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Ярославль\"/>
    </mc:Choice>
  </mc:AlternateContent>
  <xr:revisionPtr revIDLastSave="0" documentId="13_ncr:1_{080871D6-0CFB-45E1-AE3E-A3BBF9FD9B52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Свод затрат ИТОГО " sheetId="8" state="hidden" r:id="rId1"/>
    <sheet name="Свод" sheetId="10" r:id="rId2"/>
    <sheet name="ТП Р" sheetId="9" r:id="rId3"/>
    <sheet name="ТП М" sheetId="6" r:id="rId4"/>
    <sheet name="Ост Р" sheetId="11" r:id="rId5"/>
    <sheet name="Ост М" sheetId="12" r:id="rId6"/>
    <sheet name="СП Р" sheetId="13" r:id="rId7"/>
    <sheet name="СП М" sheetId="14" r:id="rId8"/>
    <sheet name="КС Р" sheetId="15" r:id="rId9"/>
    <sheet name="КС М" sheetId="16" r:id="rId10"/>
    <sheet name="НВК Р" sheetId="17" r:id="rId11"/>
    <sheet name="НВК М" sheetId="18" r:id="rId12"/>
    <sheet name="Валка Р" sheetId="19" r:id="rId13"/>
    <sheet name="Валка М" sheetId="20" r:id="rId14"/>
    <sheet name="Справка" sheetId="4" state="hidden" r:id="rId15"/>
    <sheet name="Лист1" sheetId="1" state="hidden" r:id="rId16"/>
    <sheet name="лист" sheetId="5" state="hidden" r:id="rId17"/>
    <sheet name="Лист2" sheetId="2" state="hidden" r:id="rId18"/>
    <sheet name="Лист3" sheetId="3" state="hidden" r:id="rId19"/>
  </sheets>
  <externalReferences>
    <externalReference r:id="rId20"/>
  </externalReferences>
  <definedNames>
    <definedName name="_xlnm._FilterDatabase" localSheetId="14" hidden="1">Справка!$K$4:$Y$147</definedName>
    <definedName name="_xlnm._FilterDatabase" localSheetId="3" hidden="1">'ТП М'!$E$4:$H$4</definedName>
    <definedName name="_xlnm._FilterDatabase" localSheetId="2" hidden="1">'ТП Р'!$E$4:$H$4</definedName>
    <definedName name="_xlnm.Print_Area" localSheetId="16">лист!$A$1:$AE$4</definedName>
    <definedName name="_xlnm.Print_Area" localSheetId="15">Лист1!$A$1:$P$16</definedName>
    <definedName name="_xlnm.Print_Area" localSheetId="11">'НВК М'!$A$1:$J$18</definedName>
    <definedName name="_xlnm.Print_Area" localSheetId="10">'НВК Р'!$A$1:$J$22</definedName>
    <definedName name="_xlnm.Print_Area" localSheetId="1">Свод!$A$1:$Q$11</definedName>
    <definedName name="_xlnm.Print_Area" localSheetId="0">'Свод затрат ИТОГО '!$A$1:$M$10</definedName>
    <definedName name="_xlnm.Print_Area" localSheetId="14">Справка!$A$1:$AE$1061</definedName>
    <definedName name="_xlnm.Print_Area" localSheetId="3">'ТП М'!$A$1:$J$450</definedName>
    <definedName name="_xlnm.Print_Area" localSheetId="2">'ТП Р'!$A$1:$J$594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0" l="1"/>
  <c r="Q10" i="10" s="1"/>
  <c r="P10" i="10"/>
  <c r="L10" i="10"/>
  <c r="M10" i="10"/>
  <c r="N10" i="10"/>
  <c r="K11" i="10"/>
  <c r="J11" i="10"/>
  <c r="I11" i="10"/>
  <c r="I10" i="10"/>
  <c r="K10" i="10"/>
  <c r="J10" i="10"/>
  <c r="H11" i="10"/>
  <c r="G11" i="10"/>
  <c r="F11" i="10"/>
  <c r="H9" i="10"/>
  <c r="H10" i="10"/>
  <c r="C11" i="10"/>
  <c r="D11" i="10"/>
  <c r="E11" i="10"/>
  <c r="H6" i="20"/>
  <c r="F7" i="20"/>
  <c r="D6" i="20"/>
  <c r="E6" i="20" s="1"/>
  <c r="I6" i="20" s="1"/>
  <c r="A6" i="20"/>
  <c r="H23" i="19"/>
  <c r="H7" i="19"/>
  <c r="H8" i="19"/>
  <c r="H9" i="19"/>
  <c r="H10" i="19"/>
  <c r="H11" i="19"/>
  <c r="H12" i="19"/>
  <c r="J12" i="19" s="1"/>
  <c r="H13" i="19"/>
  <c r="H14" i="19"/>
  <c r="H15" i="19"/>
  <c r="H16" i="19"/>
  <c r="H17" i="19"/>
  <c r="H18" i="19"/>
  <c r="H19" i="19"/>
  <c r="H20" i="19"/>
  <c r="J20" i="19" s="1"/>
  <c r="H21" i="19"/>
  <c r="J21" i="19" s="1"/>
  <c r="H22" i="19"/>
  <c r="D22" i="19"/>
  <c r="E21" i="19"/>
  <c r="I21" i="19" s="1"/>
  <c r="E20" i="19"/>
  <c r="I20" i="19" s="1"/>
  <c r="E19" i="19"/>
  <c r="G19" i="19" s="1"/>
  <c r="G18" i="19"/>
  <c r="J18" i="19" s="1"/>
  <c r="E18" i="19"/>
  <c r="I18" i="19" s="1"/>
  <c r="E17" i="19"/>
  <c r="G16" i="19"/>
  <c r="G17" i="19" s="1"/>
  <c r="E16" i="19"/>
  <c r="I16" i="19" s="1"/>
  <c r="I15" i="19"/>
  <c r="J15" i="19"/>
  <c r="E15" i="19"/>
  <c r="G14" i="19"/>
  <c r="D14" i="19"/>
  <c r="E14" i="19" s="1"/>
  <c r="I14" i="19" s="1"/>
  <c r="G13" i="19"/>
  <c r="F13" i="19"/>
  <c r="E13" i="19" s="1"/>
  <c r="I13" i="19" s="1"/>
  <c r="D13" i="19"/>
  <c r="D12" i="19"/>
  <c r="E12" i="19" s="1"/>
  <c r="I12" i="19" s="1"/>
  <c r="A12" i="19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G11" i="19"/>
  <c r="J11" i="19" s="1"/>
  <c r="E11" i="19"/>
  <c r="I11" i="19" s="1"/>
  <c r="G10" i="19"/>
  <c r="F10" i="19"/>
  <c r="J10" i="19" s="1"/>
  <c r="E10" i="19"/>
  <c r="I10" i="19" s="1"/>
  <c r="I9" i="19"/>
  <c r="G9" i="19"/>
  <c r="J9" i="19" s="1"/>
  <c r="E9" i="19"/>
  <c r="G8" i="19"/>
  <c r="F8" i="19"/>
  <c r="E8" i="19" s="1"/>
  <c r="I8" i="19" s="1"/>
  <c r="J7" i="19"/>
  <c r="G7" i="19"/>
  <c r="F7" i="19"/>
  <c r="E7" i="19"/>
  <c r="I7" i="19" s="1"/>
  <c r="J6" i="19"/>
  <c r="H6" i="19"/>
  <c r="F6" i="19"/>
  <c r="F23" i="19" s="1"/>
  <c r="E6" i="19"/>
  <c r="I6" i="19" s="1"/>
  <c r="J14" i="19" l="1"/>
  <c r="J22" i="19"/>
  <c r="I19" i="19"/>
  <c r="J19" i="19"/>
  <c r="J17" i="19"/>
  <c r="I17" i="19"/>
  <c r="J13" i="19"/>
  <c r="J16" i="19"/>
  <c r="E22" i="19"/>
  <c r="J8" i="19"/>
  <c r="H7" i="20" l="1"/>
  <c r="J6" i="20"/>
  <c r="J7" i="20" s="1"/>
  <c r="J23" i="19"/>
  <c r="H7" i="6" l="1"/>
  <c r="H450" i="6"/>
  <c r="H163" i="6"/>
  <c r="J8" i="10"/>
  <c r="G9" i="10"/>
  <c r="M9" i="10" s="1"/>
  <c r="F9" i="10"/>
  <c r="L9" i="10" s="1"/>
  <c r="M6" i="10"/>
  <c r="M8" i="10"/>
  <c r="H22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D17" i="18"/>
  <c r="H17" i="18" s="1"/>
  <c r="J17" i="18" s="1"/>
  <c r="H16" i="18"/>
  <c r="J16" i="18" s="1"/>
  <c r="E16" i="18"/>
  <c r="I16" i="18" s="1"/>
  <c r="H15" i="18"/>
  <c r="J15" i="18" s="1"/>
  <c r="E15" i="18"/>
  <c r="I15" i="18" s="1"/>
  <c r="H14" i="18"/>
  <c r="J14" i="18" s="1"/>
  <c r="E14" i="18"/>
  <c r="I14" i="18" s="1"/>
  <c r="H13" i="18"/>
  <c r="J13" i="18" s="1"/>
  <c r="E13" i="18"/>
  <c r="I13" i="18" s="1"/>
  <c r="D13" i="18"/>
  <c r="H12" i="18"/>
  <c r="J12" i="18" s="1"/>
  <c r="D12" i="18"/>
  <c r="E12" i="18" s="1"/>
  <c r="I12" i="18" s="1"/>
  <c r="I11" i="18"/>
  <c r="H11" i="18"/>
  <c r="J11" i="18" s="1"/>
  <c r="E11" i="18"/>
  <c r="D10" i="18"/>
  <c r="H10" i="18" s="1"/>
  <c r="J10" i="18" s="1"/>
  <c r="J9" i="18"/>
  <c r="H9" i="18"/>
  <c r="E9" i="18"/>
  <c r="I9" i="18" s="1"/>
  <c r="F8" i="18"/>
  <c r="E8" i="18" s="1"/>
  <c r="I8" i="18" s="1"/>
  <c r="D8" i="18"/>
  <c r="H8" i="18" s="1"/>
  <c r="F7" i="18"/>
  <c r="F18" i="18" s="1"/>
  <c r="E7" i="18"/>
  <c r="I7" i="18" s="1"/>
  <c r="D7" i="18"/>
  <c r="H7" i="18" s="1"/>
  <c r="A7" i="18"/>
  <c r="A8" i="18" s="1"/>
  <c r="A9" i="18" s="1"/>
  <c r="E21" i="17"/>
  <c r="E20" i="17"/>
  <c r="D19" i="17"/>
  <c r="J19" i="17" s="1"/>
  <c r="E18" i="17"/>
  <c r="I18" i="17" s="1"/>
  <c r="D18" i="17"/>
  <c r="J18" i="17" s="1"/>
  <c r="D17" i="17"/>
  <c r="E17" i="17" s="1"/>
  <c r="E16" i="17"/>
  <c r="I16" i="17" s="1"/>
  <c r="D16" i="17"/>
  <c r="E15" i="17"/>
  <c r="I15" i="17" s="1"/>
  <c r="D15" i="17"/>
  <c r="J15" i="17" s="1"/>
  <c r="J14" i="17"/>
  <c r="E14" i="17"/>
  <c r="I14" i="17" s="1"/>
  <c r="J13" i="17"/>
  <c r="D13" i="17"/>
  <c r="E13" i="17" s="1"/>
  <c r="I13" i="17" s="1"/>
  <c r="D12" i="17"/>
  <c r="J12" i="17" s="1"/>
  <c r="J11" i="17"/>
  <c r="D11" i="17"/>
  <c r="E11" i="17" s="1"/>
  <c r="I11" i="17" s="1"/>
  <c r="F10" i="17"/>
  <c r="E10" i="17" s="1"/>
  <c r="I10" i="17" s="1"/>
  <c r="D10" i="17"/>
  <c r="D9" i="17"/>
  <c r="J9" i="17" s="1"/>
  <c r="A9" i="17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E8" i="17"/>
  <c r="I8" i="17" s="1"/>
  <c r="D8" i="17"/>
  <c r="H8" i="17" s="1"/>
  <c r="I9" i="10" l="1"/>
  <c r="J9" i="10"/>
  <c r="P9" i="10" s="1"/>
  <c r="N9" i="10"/>
  <c r="J16" i="17"/>
  <c r="H18" i="18"/>
  <c r="J7" i="18"/>
  <c r="E17" i="18"/>
  <c r="I17" i="18" s="1"/>
  <c r="E10" i="18"/>
  <c r="I10" i="18" s="1"/>
  <c r="J8" i="18"/>
  <c r="G17" i="17"/>
  <c r="J17" i="17" s="1"/>
  <c r="J8" i="17"/>
  <c r="E9" i="17"/>
  <c r="I9" i="17" s="1"/>
  <c r="G21" i="17"/>
  <c r="J21" i="17" s="1"/>
  <c r="E12" i="17"/>
  <c r="I12" i="17" s="1"/>
  <c r="G20" i="17"/>
  <c r="J20" i="17" s="1"/>
  <c r="J10" i="17"/>
  <c r="F22" i="17"/>
  <c r="E19" i="17"/>
  <c r="I19" i="17" s="1"/>
  <c r="K9" i="10" l="1"/>
  <c r="O9" i="10"/>
  <c r="J18" i="18"/>
  <c r="I21" i="17"/>
  <c r="J22" i="17"/>
  <c r="I20" i="17"/>
  <c r="I17" i="17"/>
  <c r="Q9" i="10" l="1"/>
  <c r="F8" i="10"/>
  <c r="L8" i="10" s="1"/>
  <c r="N8" i="10" s="1"/>
  <c r="F7" i="10"/>
  <c r="L7" i="10" s="1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G5" i="10"/>
  <c r="H203" i="14"/>
  <c r="H204" i="14"/>
  <c r="H205" i="14"/>
  <c r="H206" i="14"/>
  <c r="H207" i="14"/>
  <c r="H208" i="14"/>
  <c r="H209" i="14"/>
  <c r="H210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H259" i="14"/>
  <c r="H260" i="14"/>
  <c r="H261" i="14"/>
  <c r="H262" i="14"/>
  <c r="H263" i="14"/>
  <c r="H264" i="14"/>
  <c r="H202" i="14"/>
  <c r="H200" i="14"/>
  <c r="H138" i="14"/>
  <c r="H139" i="14"/>
  <c r="H140" i="14"/>
  <c r="H141" i="14"/>
  <c r="H142" i="14"/>
  <c r="H143" i="14"/>
  <c r="H144" i="14"/>
  <c r="H145" i="14"/>
  <c r="H146" i="14"/>
  <c r="H147" i="14"/>
  <c r="H148" i="14"/>
  <c r="H149" i="14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H191" i="14"/>
  <c r="H192" i="14"/>
  <c r="H193" i="14"/>
  <c r="H194" i="14"/>
  <c r="H195" i="14"/>
  <c r="H196" i="14"/>
  <c r="H197" i="14"/>
  <c r="H198" i="14"/>
  <c r="H199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7" i="14"/>
  <c r="H128" i="14"/>
  <c r="H129" i="14"/>
  <c r="H130" i="14"/>
  <c r="H131" i="14"/>
  <c r="H132" i="14"/>
  <c r="H133" i="14"/>
  <c r="H134" i="14"/>
  <c r="H75" i="14"/>
  <c r="H73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" i="14"/>
  <c r="H28" i="12"/>
  <c r="H11" i="12"/>
  <c r="H421" i="6"/>
  <c r="H423" i="6"/>
  <c r="H424" i="6"/>
  <c r="H425" i="6"/>
  <c r="H426" i="6"/>
  <c r="H427" i="6"/>
  <c r="H428" i="6"/>
  <c r="H429" i="6"/>
  <c r="H438" i="6"/>
  <c r="H439" i="6"/>
  <c r="H440" i="6"/>
  <c r="H441" i="6"/>
  <c r="H444" i="6"/>
  <c r="H445" i="6"/>
  <c r="H446" i="6"/>
  <c r="H447" i="6"/>
  <c r="H448" i="6"/>
  <c r="H383" i="6"/>
  <c r="H385" i="6"/>
  <c r="H386" i="6"/>
  <c r="H387" i="6"/>
  <c r="H388" i="6"/>
  <c r="H389" i="6"/>
  <c r="H390" i="6"/>
  <c r="H391" i="6"/>
  <c r="H400" i="6"/>
  <c r="H401" i="6"/>
  <c r="H402" i="6"/>
  <c r="H403" i="6"/>
  <c r="H404" i="6"/>
  <c r="H405" i="6"/>
  <c r="H406" i="6"/>
  <c r="H407" i="6"/>
  <c r="H408" i="6"/>
  <c r="H409" i="6"/>
  <c r="H410" i="6"/>
  <c r="H413" i="6"/>
  <c r="H414" i="6"/>
  <c r="H415" i="6"/>
  <c r="H416" i="6"/>
  <c r="H417" i="6"/>
  <c r="H353" i="6"/>
  <c r="H355" i="6"/>
  <c r="H356" i="6"/>
  <c r="H357" i="6"/>
  <c r="H358" i="6"/>
  <c r="H359" i="6"/>
  <c r="H360" i="6"/>
  <c r="H361" i="6"/>
  <c r="H370" i="6"/>
  <c r="H371" i="6"/>
  <c r="H372" i="6"/>
  <c r="H373" i="6"/>
  <c r="H374" i="6"/>
  <c r="H376" i="6"/>
  <c r="H377" i="6"/>
  <c r="H378" i="6"/>
  <c r="H379" i="6"/>
  <c r="H315" i="6"/>
  <c r="H316" i="6"/>
  <c r="H317" i="6"/>
  <c r="H318" i="6"/>
  <c r="H319" i="6"/>
  <c r="H320" i="6"/>
  <c r="H321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1" i="6"/>
  <c r="H342" i="6"/>
  <c r="H343" i="6"/>
  <c r="H347" i="6"/>
  <c r="H348" i="6"/>
  <c r="H349" i="6"/>
  <c r="H314" i="6"/>
  <c r="H275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189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36" i="6"/>
  <c r="H237" i="6"/>
  <c r="H238" i="6"/>
  <c r="H239" i="6"/>
  <c r="H240" i="6"/>
  <c r="H241" i="6"/>
  <c r="H242" i="6"/>
  <c r="H243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3" i="6"/>
  <c r="H264" i="6"/>
  <c r="H265" i="6"/>
  <c r="H269" i="6"/>
  <c r="H270" i="6"/>
  <c r="H271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8" i="6"/>
  <c r="H159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1" i="6"/>
  <c r="H183" i="6"/>
  <c r="H184" i="6"/>
  <c r="H185" i="6"/>
  <c r="H89" i="6"/>
  <c r="H90" i="6"/>
  <c r="H91" i="6"/>
  <c r="H92" i="6"/>
  <c r="H93" i="6"/>
  <c r="H94" i="6"/>
  <c r="H95" i="6"/>
  <c r="H96" i="6"/>
  <c r="H97" i="6"/>
  <c r="H98" i="6"/>
  <c r="H99" i="6"/>
  <c r="H100" i="6"/>
  <c r="H109" i="6"/>
  <c r="H110" i="6"/>
  <c r="H113" i="6"/>
  <c r="H114" i="6"/>
  <c r="H115" i="6"/>
  <c r="H117" i="6"/>
  <c r="H118" i="6"/>
  <c r="H119" i="6"/>
  <c r="H120" i="6"/>
  <c r="H121" i="6"/>
  <c r="H9" i="6"/>
  <c r="H10" i="6"/>
  <c r="H11" i="6"/>
  <c r="H15" i="6"/>
  <c r="H18" i="6"/>
  <c r="H19" i="6"/>
  <c r="H22" i="6"/>
  <c r="H23" i="6"/>
  <c r="H26" i="6"/>
  <c r="H27" i="6"/>
  <c r="H28" i="6"/>
  <c r="H29" i="6"/>
  <c r="H30" i="6"/>
  <c r="H31" i="6"/>
  <c r="H32" i="6"/>
  <c r="H33" i="6"/>
  <c r="H34" i="6"/>
  <c r="H36" i="6"/>
  <c r="H46" i="6"/>
  <c r="H47" i="6"/>
  <c r="H48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2" i="6"/>
  <c r="H73" i="6"/>
  <c r="H75" i="6"/>
  <c r="H76" i="6"/>
  <c r="H77" i="6"/>
  <c r="H80" i="6"/>
  <c r="H81" i="6"/>
  <c r="F6" i="10"/>
  <c r="L6" i="10" s="1"/>
  <c r="N6" i="10" s="1"/>
  <c r="F5" i="10"/>
  <c r="L5" i="10" s="1"/>
  <c r="F4" i="10"/>
  <c r="P8" i="10"/>
  <c r="J6" i="10"/>
  <c r="P6" i="10" s="1"/>
  <c r="I6" i="10"/>
  <c r="K6" i="10" s="1"/>
  <c r="I8" i="10"/>
  <c r="K8" i="10" s="1"/>
  <c r="H6" i="10"/>
  <c r="H8" i="10"/>
  <c r="E4" i="10"/>
  <c r="E5" i="10"/>
  <c r="E6" i="10"/>
  <c r="E7" i="10"/>
  <c r="E8" i="10"/>
  <c r="I4" i="10" l="1"/>
  <c r="L4" i="10"/>
  <c r="I7" i="10"/>
  <c r="O7" i="10" s="1"/>
  <c r="J5" i="10"/>
  <c r="P5" i="10" s="1"/>
  <c r="M5" i="10"/>
  <c r="N5" i="10" s="1"/>
  <c r="O8" i="10"/>
  <c r="H5" i="10"/>
  <c r="O6" i="10"/>
  <c r="Q6" i="10" s="1"/>
  <c r="I5" i="10"/>
  <c r="O5" i="10" s="1"/>
  <c r="Q5" i="10" s="1"/>
  <c r="O4" i="10"/>
  <c r="Q8" i="10"/>
  <c r="K5" i="10" l="1"/>
  <c r="J66" i="16" l="1"/>
  <c r="E66" i="16"/>
  <c r="I66" i="16" s="1"/>
  <c r="J65" i="16"/>
  <c r="E65" i="16"/>
  <c r="I65" i="16" s="1"/>
  <c r="J64" i="16"/>
  <c r="E64" i="16"/>
  <c r="I64" i="16" s="1"/>
  <c r="J63" i="16"/>
  <c r="E63" i="16"/>
  <c r="I63" i="16" s="1"/>
  <c r="J62" i="16"/>
  <c r="I62" i="16"/>
  <c r="E62" i="16"/>
  <c r="J61" i="16"/>
  <c r="E61" i="16"/>
  <c r="I61" i="16" s="1"/>
  <c r="J60" i="16"/>
  <c r="E60" i="16"/>
  <c r="I60" i="16" s="1"/>
  <c r="J59" i="16"/>
  <c r="E59" i="16"/>
  <c r="I59" i="16" s="1"/>
  <c r="J58" i="16"/>
  <c r="I58" i="16"/>
  <c r="E58" i="16"/>
  <c r="J57" i="16"/>
  <c r="E57" i="16"/>
  <c r="I57" i="16" s="1"/>
  <c r="J56" i="16"/>
  <c r="E56" i="16"/>
  <c r="I56" i="16" s="1"/>
  <c r="J55" i="16"/>
  <c r="E55" i="16"/>
  <c r="I55" i="16" s="1"/>
  <c r="J54" i="16"/>
  <c r="I54" i="16"/>
  <c r="E54" i="16"/>
  <c r="J53" i="16"/>
  <c r="E53" i="16"/>
  <c r="I53" i="16" s="1"/>
  <c r="J52" i="16"/>
  <c r="E52" i="16"/>
  <c r="I52" i="16" s="1"/>
  <c r="J51" i="16"/>
  <c r="E51" i="16"/>
  <c r="I51" i="16" s="1"/>
  <c r="J50" i="16"/>
  <c r="E50" i="16"/>
  <c r="I50" i="16" s="1"/>
  <c r="J49" i="16"/>
  <c r="E49" i="16"/>
  <c r="I49" i="16" s="1"/>
  <c r="J48" i="16"/>
  <c r="E48" i="16"/>
  <c r="I48" i="16" s="1"/>
  <c r="J47" i="16"/>
  <c r="E47" i="16"/>
  <c r="I47" i="16" s="1"/>
  <c r="J46" i="16"/>
  <c r="I46" i="16"/>
  <c r="E46" i="16"/>
  <c r="J45" i="16"/>
  <c r="E45" i="16"/>
  <c r="I45" i="16" s="1"/>
  <c r="J44" i="16"/>
  <c r="E44" i="16"/>
  <c r="I44" i="16" s="1"/>
  <c r="J43" i="16"/>
  <c r="E43" i="16"/>
  <c r="I43" i="16" s="1"/>
  <c r="J42" i="16"/>
  <c r="I42" i="16"/>
  <c r="E42" i="16"/>
  <c r="J41" i="16"/>
  <c r="E41" i="16"/>
  <c r="I41" i="16" s="1"/>
  <c r="J40" i="16"/>
  <c r="E40" i="16"/>
  <c r="I40" i="16" s="1"/>
  <c r="J39" i="16"/>
  <c r="E39" i="16"/>
  <c r="I39" i="16" s="1"/>
  <c r="J38" i="16"/>
  <c r="I38" i="16"/>
  <c r="E38" i="16"/>
  <c r="J37" i="16"/>
  <c r="E37" i="16"/>
  <c r="I37" i="16" s="1"/>
  <c r="J36" i="16"/>
  <c r="E36" i="16"/>
  <c r="I36" i="16" s="1"/>
  <c r="J35" i="16"/>
  <c r="E35" i="16"/>
  <c r="I35" i="16" s="1"/>
  <c r="D35" i="16"/>
  <c r="J34" i="16"/>
  <c r="E34" i="16"/>
  <c r="I34" i="16" s="1"/>
  <c r="J33" i="16"/>
  <c r="E33" i="16"/>
  <c r="I33" i="16" s="1"/>
  <c r="J32" i="16"/>
  <c r="I32" i="16"/>
  <c r="E32" i="16"/>
  <c r="J31" i="16"/>
  <c r="E31" i="16"/>
  <c r="I31" i="16" s="1"/>
  <c r="J30" i="16"/>
  <c r="E30" i="16"/>
  <c r="I30" i="16" s="1"/>
  <c r="J29" i="16"/>
  <c r="E29" i="16"/>
  <c r="I29" i="16" s="1"/>
  <c r="J28" i="16"/>
  <c r="E28" i="16"/>
  <c r="I28" i="16" s="1"/>
  <c r="J27" i="16"/>
  <c r="E27" i="16"/>
  <c r="I27" i="16" s="1"/>
  <c r="J26" i="16"/>
  <c r="I26" i="16"/>
  <c r="E26" i="16"/>
  <c r="J25" i="16"/>
  <c r="I25" i="16"/>
  <c r="E25" i="16"/>
  <c r="J24" i="16"/>
  <c r="I24" i="16"/>
  <c r="E24" i="16"/>
  <c r="J23" i="16"/>
  <c r="E23" i="16"/>
  <c r="I23" i="16" s="1"/>
  <c r="J22" i="16"/>
  <c r="I22" i="16"/>
  <c r="E22" i="16"/>
  <c r="J21" i="16"/>
  <c r="E21" i="16"/>
  <c r="I21" i="16" s="1"/>
  <c r="J20" i="16"/>
  <c r="E20" i="16"/>
  <c r="I20" i="16" s="1"/>
  <c r="J19" i="16"/>
  <c r="D19" i="16"/>
  <c r="J18" i="16"/>
  <c r="D18" i="16"/>
  <c r="I17" i="16"/>
  <c r="J17" i="16"/>
  <c r="E17" i="16"/>
  <c r="J16" i="16"/>
  <c r="I16" i="16"/>
  <c r="E16" i="16"/>
  <c r="J15" i="16"/>
  <c r="E15" i="16"/>
  <c r="I15" i="16" s="1"/>
  <c r="J14" i="16"/>
  <c r="E14" i="16"/>
  <c r="I14" i="16" s="1"/>
  <c r="J13" i="16"/>
  <c r="E13" i="16"/>
  <c r="I13" i="16" s="1"/>
  <c r="J12" i="16"/>
  <c r="I12" i="16"/>
  <c r="E12" i="16"/>
  <c r="J11" i="16"/>
  <c r="I11" i="16"/>
  <c r="E11" i="16"/>
  <c r="J10" i="16"/>
  <c r="I10" i="16"/>
  <c r="E10" i="16"/>
  <c r="J9" i="16"/>
  <c r="E9" i="16"/>
  <c r="I9" i="16" s="1"/>
  <c r="F8" i="16"/>
  <c r="E8" i="16" s="1"/>
  <c r="I8" i="16" s="1"/>
  <c r="D8" i="16"/>
  <c r="D7" i="16"/>
  <c r="J7" i="16" s="1"/>
  <c r="F6" i="16"/>
  <c r="E6" i="16"/>
  <c r="I6" i="16" s="1"/>
  <c r="D6" i="16"/>
  <c r="H6" i="16" s="1"/>
  <c r="A6" i="16"/>
  <c r="A7" i="16" s="1"/>
  <c r="A8" i="16" s="1"/>
  <c r="A17" i="16" s="1"/>
  <c r="H67" i="15"/>
  <c r="J67" i="15" s="1"/>
  <c r="E67" i="15"/>
  <c r="I67" i="15" s="1"/>
  <c r="D66" i="15"/>
  <c r="H66" i="15" s="1"/>
  <c r="H65" i="15"/>
  <c r="J65" i="15" s="1"/>
  <c r="F65" i="15"/>
  <c r="E65" i="15" s="1"/>
  <c r="I65" i="15" s="1"/>
  <c r="D65" i="15"/>
  <c r="H64" i="15"/>
  <c r="J64" i="15" s="1"/>
  <c r="E64" i="15"/>
  <c r="I64" i="15" s="1"/>
  <c r="H63" i="15"/>
  <c r="J63" i="15" s="1"/>
  <c r="E63" i="15"/>
  <c r="I63" i="15" s="1"/>
  <c r="D63" i="15"/>
  <c r="D62" i="15"/>
  <c r="H62" i="15" s="1"/>
  <c r="J62" i="15" s="1"/>
  <c r="I61" i="15"/>
  <c r="H61" i="15"/>
  <c r="J61" i="15" s="1"/>
  <c r="E61" i="15"/>
  <c r="D60" i="15"/>
  <c r="H60" i="15" s="1"/>
  <c r="J60" i="15" s="1"/>
  <c r="J59" i="15"/>
  <c r="H59" i="15"/>
  <c r="E59" i="15"/>
  <c r="I59" i="15" s="1"/>
  <c r="I58" i="15"/>
  <c r="H58" i="15"/>
  <c r="J58" i="15" s="1"/>
  <c r="E58" i="15"/>
  <c r="I57" i="15"/>
  <c r="H57" i="15"/>
  <c r="J57" i="15" s="1"/>
  <c r="E57" i="15"/>
  <c r="J56" i="15"/>
  <c r="H56" i="15"/>
  <c r="F56" i="15"/>
  <c r="E56" i="15"/>
  <c r="I56" i="15" s="1"/>
  <c r="H55" i="15"/>
  <c r="F55" i="15"/>
  <c r="E55" i="15" s="1"/>
  <c r="I55" i="15" s="1"/>
  <c r="H54" i="15"/>
  <c r="F54" i="15"/>
  <c r="J54" i="15" s="1"/>
  <c r="E54" i="15"/>
  <c r="I54" i="15" s="1"/>
  <c r="H53" i="15"/>
  <c r="J53" i="15" s="1"/>
  <c r="E53" i="15"/>
  <c r="I53" i="15" s="1"/>
  <c r="J52" i="15"/>
  <c r="I52" i="15"/>
  <c r="H52" i="15"/>
  <c r="E52" i="15"/>
  <c r="J51" i="15"/>
  <c r="H51" i="15"/>
  <c r="E51" i="15"/>
  <c r="I51" i="15" s="1"/>
  <c r="J50" i="15"/>
  <c r="H50" i="15"/>
  <c r="E50" i="15"/>
  <c r="I50" i="15" s="1"/>
  <c r="I49" i="15"/>
  <c r="H49" i="15"/>
  <c r="J49" i="15" s="1"/>
  <c r="E49" i="15"/>
  <c r="I48" i="15"/>
  <c r="H48" i="15"/>
  <c r="J48" i="15" s="1"/>
  <c r="E48" i="15"/>
  <c r="J47" i="15"/>
  <c r="H47" i="15"/>
  <c r="F47" i="15"/>
  <c r="E47" i="15"/>
  <c r="I47" i="15" s="1"/>
  <c r="H46" i="15"/>
  <c r="F46" i="15"/>
  <c r="E46" i="15" s="1"/>
  <c r="I46" i="15" s="1"/>
  <c r="H45" i="15"/>
  <c r="F45" i="15"/>
  <c r="J45" i="15" s="1"/>
  <c r="E45" i="15"/>
  <c r="I45" i="15" s="1"/>
  <c r="D44" i="15"/>
  <c r="H44" i="15" s="1"/>
  <c r="H43" i="15"/>
  <c r="F43" i="15"/>
  <c r="J43" i="15" s="1"/>
  <c r="J42" i="15"/>
  <c r="I42" i="15"/>
  <c r="H42" i="15"/>
  <c r="F42" i="15"/>
  <c r="E42" i="15"/>
  <c r="H40" i="15"/>
  <c r="F40" i="15"/>
  <c r="E40" i="15" s="1"/>
  <c r="I40" i="15" s="1"/>
  <c r="D40" i="15"/>
  <c r="H39" i="15"/>
  <c r="F39" i="15"/>
  <c r="J39" i="15" s="1"/>
  <c r="E39" i="15"/>
  <c r="I39" i="15" s="1"/>
  <c r="H38" i="15"/>
  <c r="J38" i="15" s="1"/>
  <c r="D38" i="15"/>
  <c r="E38" i="15" s="1"/>
  <c r="I38" i="15" s="1"/>
  <c r="J37" i="15"/>
  <c r="H37" i="15"/>
  <c r="E37" i="15"/>
  <c r="I37" i="15" s="1"/>
  <c r="H36" i="15"/>
  <c r="J36" i="15" s="1"/>
  <c r="E36" i="15"/>
  <c r="I36" i="15" s="1"/>
  <c r="H35" i="15"/>
  <c r="J35" i="15" s="1"/>
  <c r="E35" i="15"/>
  <c r="I35" i="15" s="1"/>
  <c r="J34" i="15"/>
  <c r="I34" i="15"/>
  <c r="H34" i="15"/>
  <c r="E34" i="15"/>
  <c r="J33" i="15"/>
  <c r="H33" i="15"/>
  <c r="E33" i="15"/>
  <c r="I33" i="15" s="1"/>
  <c r="D32" i="15"/>
  <c r="I29" i="15"/>
  <c r="H29" i="15"/>
  <c r="J29" i="15" s="1"/>
  <c r="E29" i="15"/>
  <c r="J28" i="15"/>
  <c r="I28" i="15"/>
  <c r="H28" i="15"/>
  <c r="F28" i="15"/>
  <c r="E28" i="15"/>
  <c r="H27" i="15"/>
  <c r="F27" i="15"/>
  <c r="E27" i="15" s="1"/>
  <c r="I27" i="15" s="1"/>
  <c r="J26" i="15"/>
  <c r="H26" i="15"/>
  <c r="F26" i="15"/>
  <c r="E26" i="15"/>
  <c r="I26" i="15" s="1"/>
  <c r="H25" i="15"/>
  <c r="F25" i="15"/>
  <c r="J25" i="15" s="1"/>
  <c r="J24" i="15"/>
  <c r="I24" i="15"/>
  <c r="H24" i="15"/>
  <c r="F24" i="15"/>
  <c r="E24" i="15"/>
  <c r="H23" i="15"/>
  <c r="F23" i="15"/>
  <c r="E23" i="15" s="1"/>
  <c r="I23" i="15" s="1"/>
  <c r="J22" i="15"/>
  <c r="I22" i="15"/>
  <c r="H22" i="15"/>
  <c r="E22" i="15"/>
  <c r="J21" i="15"/>
  <c r="H21" i="15"/>
  <c r="F21" i="15"/>
  <c r="E21" i="15"/>
  <c r="I21" i="15" s="1"/>
  <c r="F20" i="15"/>
  <c r="H19" i="15"/>
  <c r="F19" i="15"/>
  <c r="E19" i="15" s="1"/>
  <c r="I19" i="15" s="1"/>
  <c r="D19" i="15"/>
  <c r="F18" i="15"/>
  <c r="F17" i="15"/>
  <c r="D17" i="15"/>
  <c r="D18" i="15" s="1"/>
  <c r="H16" i="15"/>
  <c r="F16" i="15"/>
  <c r="J16" i="15" s="1"/>
  <c r="J15" i="15"/>
  <c r="H15" i="15"/>
  <c r="F15" i="15"/>
  <c r="E15" i="15"/>
  <c r="I15" i="15" s="1"/>
  <c r="I14" i="15"/>
  <c r="H14" i="15"/>
  <c r="F14" i="15"/>
  <c r="J14" i="15" s="1"/>
  <c r="E14" i="15"/>
  <c r="H13" i="15"/>
  <c r="F13" i="15"/>
  <c r="J13" i="15" s="1"/>
  <c r="E13" i="15"/>
  <c r="I13" i="15" s="1"/>
  <c r="H12" i="15"/>
  <c r="J12" i="15" s="1"/>
  <c r="F12" i="15"/>
  <c r="E12" i="15" s="1"/>
  <c r="I12" i="15" s="1"/>
  <c r="F11" i="15"/>
  <c r="F10" i="15"/>
  <c r="D10" i="15"/>
  <c r="H10" i="15" s="1"/>
  <c r="J10" i="15" s="1"/>
  <c r="I9" i="15"/>
  <c r="H9" i="15"/>
  <c r="E9" i="15"/>
  <c r="J7" i="15"/>
  <c r="I7" i="15"/>
  <c r="H7" i="15"/>
  <c r="E7" i="15"/>
  <c r="A7" i="15"/>
  <c r="J6" i="15"/>
  <c r="J70" i="15" s="1"/>
  <c r="H6" i="15"/>
  <c r="H70" i="15" s="1"/>
  <c r="F6" i="15"/>
  <c r="E6" i="15"/>
  <c r="I6" i="15" s="1"/>
  <c r="A6" i="15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3" i="15" s="1"/>
  <c r="A34" i="15" s="1"/>
  <c r="A35" i="15" s="1"/>
  <c r="A36" i="15" s="1"/>
  <c r="A37" i="15" s="1"/>
  <c r="A38" i="15" s="1"/>
  <c r="A39" i="15" s="1"/>
  <c r="A40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E7" i="16" l="1"/>
  <c r="I7" i="16" s="1"/>
  <c r="H67" i="16"/>
  <c r="G7" i="10" s="1"/>
  <c r="M7" i="10" s="1"/>
  <c r="N7" i="10" s="1"/>
  <c r="J6" i="16"/>
  <c r="E19" i="16"/>
  <c r="I19" i="16" s="1"/>
  <c r="J8" i="16"/>
  <c r="J67" i="16" s="1"/>
  <c r="E18" i="16"/>
  <c r="I18" i="16" s="1"/>
  <c r="F67" i="16"/>
  <c r="E18" i="15"/>
  <c r="I18" i="15" s="1"/>
  <c r="H18" i="15"/>
  <c r="J18" i="15" s="1"/>
  <c r="E17" i="15"/>
  <c r="I17" i="15" s="1"/>
  <c r="J9" i="15"/>
  <c r="E16" i="15"/>
  <c r="I16" i="15" s="1"/>
  <c r="J46" i="15"/>
  <c r="J55" i="15"/>
  <c r="E60" i="15"/>
  <c r="I60" i="15" s="1"/>
  <c r="D11" i="15"/>
  <c r="H17" i="15"/>
  <c r="J17" i="15" s="1"/>
  <c r="J19" i="15"/>
  <c r="J23" i="15"/>
  <c r="E25" i="15"/>
  <c r="I25" i="15" s="1"/>
  <c r="J27" i="15"/>
  <c r="J40" i="15"/>
  <c r="E43" i="15"/>
  <c r="I43" i="15" s="1"/>
  <c r="F44" i="15"/>
  <c r="E10" i="15"/>
  <c r="I10" i="15" s="1"/>
  <c r="D20" i="15"/>
  <c r="H20" i="15" s="1"/>
  <c r="J20" i="15" s="1"/>
  <c r="E62" i="15"/>
  <c r="I62" i="15" s="1"/>
  <c r="F70" i="15"/>
  <c r="F66" i="15"/>
  <c r="J7" i="10" l="1"/>
  <c r="H7" i="10"/>
  <c r="J44" i="15"/>
  <c r="E44" i="15"/>
  <c r="I44" i="15" s="1"/>
  <c r="E66" i="15"/>
  <c r="I66" i="15" s="1"/>
  <c r="J66" i="15"/>
  <c r="E20" i="15"/>
  <c r="I20" i="15" s="1"/>
  <c r="H11" i="15"/>
  <c r="E11" i="15"/>
  <c r="I11" i="15" s="1"/>
  <c r="F68" i="15"/>
  <c r="F69" i="15" s="1"/>
  <c r="P7" i="10" l="1"/>
  <c r="Q7" i="10" s="1"/>
  <c r="K7" i="10"/>
  <c r="J11" i="15"/>
  <c r="J68" i="15" s="1"/>
  <c r="J69" i="15" s="1"/>
  <c r="H68" i="15"/>
  <c r="H69" i="15" s="1"/>
  <c r="E264" i="14" l="1"/>
  <c r="G264" i="14" s="1"/>
  <c r="J264" i="14" s="1"/>
  <c r="G263" i="14"/>
  <c r="J263" i="14" s="1"/>
  <c r="E263" i="14"/>
  <c r="I263" i="14" s="1"/>
  <c r="J262" i="14"/>
  <c r="E262" i="14"/>
  <c r="I262" i="14" s="1"/>
  <c r="E261" i="14"/>
  <c r="G261" i="14" s="1"/>
  <c r="G260" i="14"/>
  <c r="J260" i="14" s="1"/>
  <c r="E260" i="14"/>
  <c r="I260" i="14" s="1"/>
  <c r="E259" i="14"/>
  <c r="E258" i="14"/>
  <c r="E257" i="14"/>
  <c r="G257" i="14" s="1"/>
  <c r="J257" i="14" s="1"/>
  <c r="G256" i="14"/>
  <c r="J256" i="14" s="1"/>
  <c r="E256" i="14"/>
  <c r="E255" i="14"/>
  <c r="J254" i="14"/>
  <c r="F254" i="14"/>
  <c r="E254" i="14"/>
  <c r="I254" i="14" s="1"/>
  <c r="D254" i="14"/>
  <c r="J253" i="14"/>
  <c r="G253" i="14"/>
  <c r="F253" i="14"/>
  <c r="E253" i="14"/>
  <c r="I253" i="14" s="1"/>
  <c r="D253" i="14"/>
  <c r="G252" i="14"/>
  <c r="J252" i="14" s="1"/>
  <c r="F252" i="14"/>
  <c r="E252" i="14"/>
  <c r="I252" i="14" s="1"/>
  <c r="D252" i="14"/>
  <c r="G251" i="14"/>
  <c r="I251" i="14" s="1"/>
  <c r="E251" i="14"/>
  <c r="I250" i="14"/>
  <c r="J250" i="14"/>
  <c r="G250" i="14"/>
  <c r="E250" i="14"/>
  <c r="E249" i="14"/>
  <c r="E248" i="14"/>
  <c r="G248" i="14" s="1"/>
  <c r="D247" i="14"/>
  <c r="E247" i="14" s="1"/>
  <c r="E246" i="14"/>
  <c r="G246" i="14" s="1"/>
  <c r="J246" i="14" s="1"/>
  <c r="D246" i="14"/>
  <c r="J245" i="14"/>
  <c r="F245" i="14"/>
  <c r="E245" i="14"/>
  <c r="G245" i="14" s="1"/>
  <c r="I245" i="14" s="1"/>
  <c r="D245" i="14"/>
  <c r="F244" i="14"/>
  <c r="E244" i="14"/>
  <c r="G244" i="14" s="1"/>
  <c r="I244" i="14" s="1"/>
  <c r="D244" i="14"/>
  <c r="J243" i="14"/>
  <c r="F243" i="14"/>
  <c r="E243" i="14"/>
  <c r="G243" i="14" s="1"/>
  <c r="D243" i="14"/>
  <c r="F242" i="14"/>
  <c r="E242" i="14"/>
  <c r="G242" i="14" s="1"/>
  <c r="J242" i="14" s="1"/>
  <c r="D242" i="14"/>
  <c r="I241" i="14"/>
  <c r="J241" i="14"/>
  <c r="G241" i="14"/>
  <c r="E241" i="14"/>
  <c r="E240" i="14"/>
  <c r="E239" i="14"/>
  <c r="G239" i="14" s="1"/>
  <c r="G238" i="14"/>
  <c r="I238" i="14" s="1"/>
  <c r="E238" i="14"/>
  <c r="J237" i="14"/>
  <c r="F237" i="14"/>
  <c r="E237" i="14" s="1"/>
  <c r="I237" i="14" s="1"/>
  <c r="J236" i="14"/>
  <c r="E236" i="14"/>
  <c r="I236" i="14" s="1"/>
  <c r="J235" i="14"/>
  <c r="E235" i="14"/>
  <c r="I235" i="14" s="1"/>
  <c r="I234" i="14"/>
  <c r="J234" i="14"/>
  <c r="G234" i="14"/>
  <c r="E234" i="14"/>
  <c r="E233" i="14"/>
  <c r="E232" i="14"/>
  <c r="G232" i="14" s="1"/>
  <c r="G231" i="14"/>
  <c r="I231" i="14" s="1"/>
  <c r="E231" i="14"/>
  <c r="I230" i="14"/>
  <c r="J230" i="14"/>
  <c r="G230" i="14"/>
  <c r="E230" i="14"/>
  <c r="E229" i="14"/>
  <c r="E228" i="14"/>
  <c r="G228" i="14" s="1"/>
  <c r="G227" i="14"/>
  <c r="I227" i="14" s="1"/>
  <c r="E227" i="14"/>
  <c r="I226" i="14"/>
  <c r="J226" i="14"/>
  <c r="E226" i="14"/>
  <c r="D225" i="14"/>
  <c r="J225" i="14" s="1"/>
  <c r="J224" i="14"/>
  <c r="E224" i="14"/>
  <c r="I224" i="14" s="1"/>
  <c r="I223" i="14"/>
  <c r="J223" i="14"/>
  <c r="E223" i="14"/>
  <c r="E222" i="14"/>
  <c r="E221" i="14"/>
  <c r="E220" i="14"/>
  <c r="G220" i="14" s="1"/>
  <c r="G219" i="14"/>
  <c r="E219" i="14"/>
  <c r="D218" i="14"/>
  <c r="E218" i="14" s="1"/>
  <c r="F217" i="14"/>
  <c r="E217" i="14"/>
  <c r="D216" i="14"/>
  <c r="E216" i="14" s="1"/>
  <c r="D215" i="14"/>
  <c r="E215" i="14" s="1"/>
  <c r="I214" i="14"/>
  <c r="E214" i="14"/>
  <c r="G214" i="14" s="1"/>
  <c r="J214" i="14" s="1"/>
  <c r="D214" i="14"/>
  <c r="D213" i="14"/>
  <c r="E213" i="14" s="1"/>
  <c r="G212" i="14"/>
  <c r="E212" i="14"/>
  <c r="D212" i="14"/>
  <c r="D211" i="14"/>
  <c r="I210" i="14"/>
  <c r="J210" i="14"/>
  <c r="E210" i="14"/>
  <c r="J209" i="14"/>
  <c r="I209" i="14"/>
  <c r="E209" i="14"/>
  <c r="D208" i="14"/>
  <c r="D207" i="14"/>
  <c r="E207" i="14" s="1"/>
  <c r="J206" i="14"/>
  <c r="F206" i="14"/>
  <c r="D206" i="14"/>
  <c r="E206" i="14" s="1"/>
  <c r="I206" i="14" s="1"/>
  <c r="G205" i="14"/>
  <c r="I205" i="14" s="1"/>
  <c r="E205" i="14"/>
  <c r="J204" i="14"/>
  <c r="F204" i="14"/>
  <c r="F265" i="14" s="1"/>
  <c r="E204" i="14"/>
  <c r="G204" i="14" s="1"/>
  <c r="D204" i="14"/>
  <c r="J203" i="14"/>
  <c r="G203" i="14"/>
  <c r="I203" i="14" s="1"/>
  <c r="E203" i="14"/>
  <c r="D202" i="14"/>
  <c r="E199" i="14"/>
  <c r="E198" i="14"/>
  <c r="G198" i="14" s="1"/>
  <c r="J197" i="14"/>
  <c r="E197" i="14"/>
  <c r="I197" i="14" s="1"/>
  <c r="E196" i="14"/>
  <c r="E195" i="14"/>
  <c r="G195" i="14" s="1"/>
  <c r="G194" i="14"/>
  <c r="I194" i="14" s="1"/>
  <c r="E194" i="14"/>
  <c r="E193" i="14"/>
  <c r="G193" i="14" s="1"/>
  <c r="I193" i="14" s="1"/>
  <c r="E192" i="14"/>
  <c r="E191" i="14"/>
  <c r="G191" i="14" s="1"/>
  <c r="G190" i="14"/>
  <c r="J190" i="14" s="1"/>
  <c r="E190" i="14"/>
  <c r="I190" i="14" s="1"/>
  <c r="J189" i="14"/>
  <c r="F189" i="14"/>
  <c r="E189" i="14" s="1"/>
  <c r="I189" i="14" s="1"/>
  <c r="D189" i="14"/>
  <c r="F188" i="14"/>
  <c r="E188" i="14" s="1"/>
  <c r="D188" i="14"/>
  <c r="F187" i="14"/>
  <c r="E187" i="14" s="1"/>
  <c r="D187" i="14"/>
  <c r="G186" i="14"/>
  <c r="E186" i="14"/>
  <c r="E185" i="14"/>
  <c r="E184" i="14"/>
  <c r="E183" i="14"/>
  <c r="G183" i="14" s="1"/>
  <c r="J183" i="14" s="1"/>
  <c r="G182" i="14"/>
  <c r="E182" i="14"/>
  <c r="D182" i="14"/>
  <c r="E181" i="14"/>
  <c r="D181" i="14"/>
  <c r="F180" i="14"/>
  <c r="E180" i="14"/>
  <c r="D180" i="14"/>
  <c r="F179" i="14"/>
  <c r="E179" i="14"/>
  <c r="D179" i="14"/>
  <c r="F178" i="14"/>
  <c r="E178" i="14"/>
  <c r="D178" i="14"/>
  <c r="F177" i="14"/>
  <c r="E177" i="14"/>
  <c r="D177" i="14"/>
  <c r="E176" i="14"/>
  <c r="E175" i="14"/>
  <c r="I174" i="14"/>
  <c r="E174" i="14"/>
  <c r="G174" i="14" s="1"/>
  <c r="J174" i="14" s="1"/>
  <c r="G173" i="14"/>
  <c r="J173" i="14" s="1"/>
  <c r="E173" i="14"/>
  <c r="I173" i="14" s="1"/>
  <c r="J172" i="14"/>
  <c r="F172" i="14"/>
  <c r="E172" i="14"/>
  <c r="I172" i="14" s="1"/>
  <c r="J171" i="14"/>
  <c r="E171" i="14"/>
  <c r="I171" i="14" s="1"/>
  <c r="I170" i="14"/>
  <c r="J170" i="14"/>
  <c r="E170" i="14"/>
  <c r="E169" i="14"/>
  <c r="E168" i="14"/>
  <c r="I167" i="14"/>
  <c r="E167" i="14"/>
  <c r="G167" i="14" s="1"/>
  <c r="J167" i="14" s="1"/>
  <c r="D167" i="14"/>
  <c r="I166" i="14"/>
  <c r="J166" i="14"/>
  <c r="G166" i="14"/>
  <c r="E166" i="14"/>
  <c r="E165" i="14"/>
  <c r="E164" i="14"/>
  <c r="G164" i="14" s="1"/>
  <c r="G163" i="14"/>
  <c r="I163" i="14" s="1"/>
  <c r="E163" i="14"/>
  <c r="I162" i="14"/>
  <c r="J162" i="14"/>
  <c r="G162" i="14"/>
  <c r="E162" i="14"/>
  <c r="J161" i="14"/>
  <c r="E161" i="14"/>
  <c r="I161" i="14" s="1"/>
  <c r="J160" i="14"/>
  <c r="D160" i="14"/>
  <c r="E160" i="14" s="1"/>
  <c r="I160" i="14" s="1"/>
  <c r="J159" i="14"/>
  <c r="I159" i="14"/>
  <c r="E159" i="14"/>
  <c r="J158" i="14"/>
  <c r="E158" i="14"/>
  <c r="I158" i="14" s="1"/>
  <c r="E157" i="14"/>
  <c r="F156" i="14"/>
  <c r="E156" i="14" s="1"/>
  <c r="G156" i="14" s="1"/>
  <c r="J155" i="14"/>
  <c r="F155" i="14"/>
  <c r="E155" i="14"/>
  <c r="G155" i="14" s="1"/>
  <c r="G154" i="14"/>
  <c r="F154" i="14"/>
  <c r="E154" i="14" s="1"/>
  <c r="F153" i="14"/>
  <c r="E152" i="14"/>
  <c r="D151" i="14"/>
  <c r="E151" i="14" s="1"/>
  <c r="D150" i="14"/>
  <c r="E150" i="14" s="1"/>
  <c r="J149" i="14"/>
  <c r="E149" i="14"/>
  <c r="G149" i="14" s="1"/>
  <c r="D149" i="14"/>
  <c r="D148" i="14"/>
  <c r="E148" i="14" s="1"/>
  <c r="G148" i="14" s="1"/>
  <c r="J148" i="14" s="1"/>
  <c r="G147" i="14"/>
  <c r="E147" i="14"/>
  <c r="D147" i="14"/>
  <c r="E146" i="14"/>
  <c r="I146" i="14" s="1"/>
  <c r="D146" i="14"/>
  <c r="J146" i="14" s="1"/>
  <c r="I145" i="14"/>
  <c r="J145" i="14"/>
  <c r="E145" i="14"/>
  <c r="J144" i="14"/>
  <c r="I144" i="14"/>
  <c r="E144" i="14"/>
  <c r="D143" i="14"/>
  <c r="J143" i="14" s="1"/>
  <c r="I142" i="14"/>
  <c r="D142" i="14"/>
  <c r="E142" i="14" s="1"/>
  <c r="G142" i="14" s="1"/>
  <c r="J142" i="14" s="1"/>
  <c r="J141" i="14"/>
  <c r="F141" i="14"/>
  <c r="D141" i="14"/>
  <c r="E141" i="14" s="1"/>
  <c r="I141" i="14" s="1"/>
  <c r="G140" i="14"/>
  <c r="E140" i="14"/>
  <c r="I139" i="14"/>
  <c r="J139" i="14"/>
  <c r="F139" i="14"/>
  <c r="F200" i="14" s="1"/>
  <c r="E139" i="14"/>
  <c r="G139" i="14" s="1"/>
  <c r="J138" i="14"/>
  <c r="E138" i="14"/>
  <c r="I137" i="14"/>
  <c r="H137" i="14"/>
  <c r="E137" i="14"/>
  <c r="E134" i="14"/>
  <c r="G134" i="14" s="1"/>
  <c r="J134" i="14" s="1"/>
  <c r="G133" i="14"/>
  <c r="E133" i="14"/>
  <c r="J132" i="14"/>
  <c r="E132" i="14"/>
  <c r="I132" i="14" s="1"/>
  <c r="E131" i="14"/>
  <c r="G130" i="14"/>
  <c r="E130" i="14"/>
  <c r="G129" i="14"/>
  <c r="E129" i="14"/>
  <c r="E128" i="14"/>
  <c r="G128" i="14" s="1"/>
  <c r="I127" i="14"/>
  <c r="G127" i="14"/>
  <c r="J127" i="14" s="1"/>
  <c r="E127" i="14"/>
  <c r="G126" i="14"/>
  <c r="J126" i="14" s="1"/>
  <c r="E126" i="14"/>
  <c r="J125" i="14"/>
  <c r="G125" i="14"/>
  <c r="I125" i="14" s="1"/>
  <c r="E125" i="14"/>
  <c r="J124" i="14"/>
  <c r="I124" i="14"/>
  <c r="F124" i="14"/>
  <c r="E124" i="14"/>
  <c r="D124" i="14"/>
  <c r="I123" i="14"/>
  <c r="J123" i="14"/>
  <c r="G123" i="14"/>
  <c r="F123" i="14"/>
  <c r="E123" i="14"/>
  <c r="D123" i="14"/>
  <c r="F122" i="14"/>
  <c r="E122" i="14"/>
  <c r="G122" i="14" s="1"/>
  <c r="I122" i="14" s="1"/>
  <c r="D122" i="14"/>
  <c r="I121" i="14"/>
  <c r="J121" i="14"/>
  <c r="G121" i="14"/>
  <c r="E121" i="14"/>
  <c r="E120" i="14"/>
  <c r="E119" i="14"/>
  <c r="G119" i="14" s="1"/>
  <c r="G118" i="14"/>
  <c r="I118" i="14" s="1"/>
  <c r="E118" i="14"/>
  <c r="D117" i="14"/>
  <c r="E117" i="14" s="1"/>
  <c r="G116" i="14"/>
  <c r="J116" i="14" s="1"/>
  <c r="E116" i="14"/>
  <c r="I116" i="14" s="1"/>
  <c r="D116" i="14"/>
  <c r="F115" i="14"/>
  <c r="D115" i="14"/>
  <c r="F114" i="14"/>
  <c r="D114" i="14"/>
  <c r="F113" i="14"/>
  <c r="D113" i="14"/>
  <c r="F112" i="14"/>
  <c r="D112" i="14"/>
  <c r="E111" i="14"/>
  <c r="E110" i="14"/>
  <c r="I109" i="14"/>
  <c r="G109" i="14"/>
  <c r="J109" i="14" s="1"/>
  <c r="E109" i="14"/>
  <c r="J108" i="14"/>
  <c r="G108" i="14"/>
  <c r="I108" i="14" s="1"/>
  <c r="E108" i="14"/>
  <c r="F107" i="14"/>
  <c r="J107" i="14" s="1"/>
  <c r="E107" i="14"/>
  <c r="I107" i="14" s="1"/>
  <c r="I106" i="14"/>
  <c r="J106" i="14"/>
  <c r="E106" i="14"/>
  <c r="I105" i="14"/>
  <c r="J105" i="14"/>
  <c r="E105" i="14"/>
  <c r="E104" i="14"/>
  <c r="E103" i="14"/>
  <c r="J102" i="14"/>
  <c r="I102" i="14"/>
  <c r="G102" i="14"/>
  <c r="E102" i="14"/>
  <c r="D102" i="14"/>
  <c r="E101" i="14"/>
  <c r="G101" i="14" s="1"/>
  <c r="J101" i="14" s="1"/>
  <c r="G100" i="14"/>
  <c r="J100" i="14" s="1"/>
  <c r="E100" i="14"/>
  <c r="I100" i="14" s="1"/>
  <c r="G99" i="14"/>
  <c r="J99" i="14" s="1"/>
  <c r="E99" i="14"/>
  <c r="I99" i="14" s="1"/>
  <c r="J98" i="14"/>
  <c r="G98" i="14"/>
  <c r="E98" i="14"/>
  <c r="I98" i="14" s="1"/>
  <c r="I97" i="14"/>
  <c r="J97" i="14"/>
  <c r="E97" i="14"/>
  <c r="D96" i="14"/>
  <c r="I95" i="14"/>
  <c r="J95" i="14"/>
  <c r="E95" i="14"/>
  <c r="I94" i="14"/>
  <c r="J94" i="14"/>
  <c r="E94" i="14"/>
  <c r="E93" i="14"/>
  <c r="E92" i="14"/>
  <c r="I91" i="14"/>
  <c r="G91" i="14"/>
  <c r="J91" i="14" s="1"/>
  <c r="E91" i="14"/>
  <c r="J90" i="14"/>
  <c r="G90" i="14"/>
  <c r="I90" i="14" s="1"/>
  <c r="E90" i="14"/>
  <c r="E89" i="14"/>
  <c r="E88" i="14"/>
  <c r="E87" i="14"/>
  <c r="G87" i="14" s="1"/>
  <c r="D87" i="14"/>
  <c r="I86" i="14"/>
  <c r="D86" i="14"/>
  <c r="E86" i="14" s="1"/>
  <c r="G86" i="14" s="1"/>
  <c r="J86" i="14" s="1"/>
  <c r="D85" i="14"/>
  <c r="E85" i="14" s="1"/>
  <c r="G84" i="14"/>
  <c r="J84" i="14" s="1"/>
  <c r="E84" i="14"/>
  <c r="D84" i="14"/>
  <c r="E83" i="14"/>
  <c r="D83" i="14"/>
  <c r="E82" i="14"/>
  <c r="I82" i="14" s="1"/>
  <c r="D82" i="14"/>
  <c r="J82" i="14" s="1"/>
  <c r="J81" i="14"/>
  <c r="E81" i="14"/>
  <c r="I81" i="14" s="1"/>
  <c r="J80" i="14"/>
  <c r="E80" i="14"/>
  <c r="I80" i="14" s="1"/>
  <c r="E79" i="14"/>
  <c r="I79" i="14" s="1"/>
  <c r="D79" i="14"/>
  <c r="J79" i="14" s="1"/>
  <c r="D78" i="14"/>
  <c r="E78" i="14" s="1"/>
  <c r="F77" i="14"/>
  <c r="E77" i="14" s="1"/>
  <c r="I77" i="14" s="1"/>
  <c r="D77" i="14"/>
  <c r="J77" i="14" s="1"/>
  <c r="I76" i="14"/>
  <c r="E76" i="14"/>
  <c r="G76" i="14" s="1"/>
  <c r="J76" i="14" s="1"/>
  <c r="G75" i="14"/>
  <c r="E75" i="14"/>
  <c r="J72" i="14"/>
  <c r="G72" i="14"/>
  <c r="E72" i="14"/>
  <c r="I72" i="14" s="1"/>
  <c r="E71" i="14"/>
  <c r="J70" i="14"/>
  <c r="I70" i="14"/>
  <c r="E70" i="14"/>
  <c r="J69" i="14"/>
  <c r="G69" i="14"/>
  <c r="E69" i="14"/>
  <c r="I69" i="14" s="1"/>
  <c r="E68" i="14"/>
  <c r="E67" i="14"/>
  <c r="J66" i="14"/>
  <c r="I66" i="14"/>
  <c r="G66" i="14"/>
  <c r="E66" i="14"/>
  <c r="D66" i="14"/>
  <c r="E65" i="14"/>
  <c r="G65" i="14" s="1"/>
  <c r="J65" i="14" s="1"/>
  <c r="G64" i="14"/>
  <c r="J64" i="14" s="1"/>
  <c r="E64" i="14"/>
  <c r="I64" i="14" s="1"/>
  <c r="G63" i="14"/>
  <c r="I63" i="14" s="1"/>
  <c r="E63" i="14"/>
  <c r="J62" i="14"/>
  <c r="F62" i="14"/>
  <c r="E62" i="14" s="1"/>
  <c r="I62" i="14" s="1"/>
  <c r="D62" i="14"/>
  <c r="F61" i="14"/>
  <c r="E61" i="14" s="1"/>
  <c r="D61" i="14"/>
  <c r="F60" i="14"/>
  <c r="E60" i="14" s="1"/>
  <c r="D60" i="14"/>
  <c r="I59" i="14"/>
  <c r="G59" i="14"/>
  <c r="J59" i="14" s="1"/>
  <c r="E59" i="14"/>
  <c r="J58" i="14"/>
  <c r="G58" i="14"/>
  <c r="E58" i="14"/>
  <c r="I58" i="14" s="1"/>
  <c r="E57" i="14"/>
  <c r="E56" i="14"/>
  <c r="J55" i="14"/>
  <c r="I55" i="14"/>
  <c r="G55" i="14"/>
  <c r="E55" i="14"/>
  <c r="D55" i="14"/>
  <c r="I54" i="14"/>
  <c r="F54" i="14"/>
  <c r="E54" i="14" s="1"/>
  <c r="G54" i="14" s="1"/>
  <c r="D54" i="14"/>
  <c r="F53" i="14"/>
  <c r="E53" i="14" s="1"/>
  <c r="G53" i="14" s="1"/>
  <c r="D53" i="14"/>
  <c r="I52" i="14"/>
  <c r="E52" i="14"/>
  <c r="G52" i="14" s="1"/>
  <c r="J52" i="14" s="1"/>
  <c r="D52" i="14"/>
  <c r="F51" i="14"/>
  <c r="E51" i="14"/>
  <c r="G51" i="14" s="1"/>
  <c r="J51" i="14" s="1"/>
  <c r="D51" i="14"/>
  <c r="F50" i="14"/>
  <c r="E50" i="14"/>
  <c r="G50" i="14" s="1"/>
  <c r="J50" i="14" s="1"/>
  <c r="D50" i="14"/>
  <c r="J49" i="14"/>
  <c r="G49" i="14"/>
  <c r="E49" i="14"/>
  <c r="I49" i="14" s="1"/>
  <c r="E48" i="14"/>
  <c r="E47" i="14"/>
  <c r="G47" i="14" s="1"/>
  <c r="J47" i="14" s="1"/>
  <c r="I46" i="14"/>
  <c r="G46" i="14"/>
  <c r="J46" i="14" s="1"/>
  <c r="E46" i="14"/>
  <c r="F45" i="14"/>
  <c r="E45" i="14" s="1"/>
  <c r="I45" i="14" s="1"/>
  <c r="J44" i="14"/>
  <c r="E44" i="14"/>
  <c r="I44" i="14" s="1"/>
  <c r="J43" i="14"/>
  <c r="E43" i="14"/>
  <c r="I43" i="14" s="1"/>
  <c r="J42" i="14"/>
  <c r="G42" i="14"/>
  <c r="E42" i="14"/>
  <c r="I42" i="14" s="1"/>
  <c r="E41" i="14"/>
  <c r="I40" i="14"/>
  <c r="E40" i="14"/>
  <c r="G40" i="14" s="1"/>
  <c r="J40" i="14" s="1"/>
  <c r="I39" i="14"/>
  <c r="G39" i="14"/>
  <c r="J39" i="14" s="1"/>
  <c r="E39" i="14"/>
  <c r="J38" i="14"/>
  <c r="G38" i="14"/>
  <c r="E38" i="14"/>
  <c r="I38" i="14" s="1"/>
  <c r="E37" i="14"/>
  <c r="I36" i="14"/>
  <c r="E36" i="14"/>
  <c r="G36" i="14" s="1"/>
  <c r="J36" i="14" s="1"/>
  <c r="E35" i="14"/>
  <c r="J34" i="14"/>
  <c r="G34" i="14"/>
  <c r="E34" i="14"/>
  <c r="I34" i="14" s="1"/>
  <c r="J33" i="14"/>
  <c r="E33" i="14"/>
  <c r="I33" i="14" s="1"/>
  <c r="J32" i="14"/>
  <c r="I32" i="14"/>
  <c r="E32" i="14"/>
  <c r="D32" i="14"/>
  <c r="I31" i="14"/>
  <c r="J31" i="14"/>
  <c r="E31" i="14"/>
  <c r="J30" i="14"/>
  <c r="E30" i="14"/>
  <c r="I30" i="14" s="1"/>
  <c r="J29" i="14"/>
  <c r="G29" i="14"/>
  <c r="E29" i="14"/>
  <c r="I29" i="14" s="1"/>
  <c r="J28" i="14"/>
  <c r="E28" i="14"/>
  <c r="J27" i="14"/>
  <c r="E27" i="14"/>
  <c r="G27" i="14" s="1"/>
  <c r="J26" i="14"/>
  <c r="E26" i="14"/>
  <c r="J25" i="14"/>
  <c r="G25" i="14"/>
  <c r="E25" i="14"/>
  <c r="I25" i="14" s="1"/>
  <c r="J24" i="14"/>
  <c r="E24" i="14"/>
  <c r="J23" i="14"/>
  <c r="D23" i="14"/>
  <c r="E23" i="14" s="1"/>
  <c r="J22" i="14"/>
  <c r="D22" i="14"/>
  <c r="E22" i="14" s="1"/>
  <c r="J21" i="14"/>
  <c r="D21" i="14"/>
  <c r="E21" i="14" s="1"/>
  <c r="J20" i="14"/>
  <c r="D20" i="14"/>
  <c r="E20" i="14" s="1"/>
  <c r="J19" i="14"/>
  <c r="D19" i="14"/>
  <c r="E19" i="14" s="1"/>
  <c r="J18" i="14"/>
  <c r="D18" i="14"/>
  <c r="E18" i="14" s="1"/>
  <c r="I18" i="14" s="1"/>
  <c r="I17" i="14"/>
  <c r="J17" i="14"/>
  <c r="E17" i="14"/>
  <c r="J16" i="14"/>
  <c r="E16" i="14"/>
  <c r="I16" i="14" s="1"/>
  <c r="J15" i="14"/>
  <c r="D15" i="14"/>
  <c r="E15" i="14" s="1"/>
  <c r="I15" i="14" s="1"/>
  <c r="J14" i="14"/>
  <c r="D14" i="14"/>
  <c r="E14" i="14" s="1"/>
  <c r="J13" i="14"/>
  <c r="F13" i="14"/>
  <c r="E13" i="14"/>
  <c r="I13" i="14" s="1"/>
  <c r="D13" i="14"/>
  <c r="J12" i="14"/>
  <c r="E12" i="14"/>
  <c r="J11" i="14"/>
  <c r="E11" i="14"/>
  <c r="I11" i="14" s="1"/>
  <c r="J10" i="14"/>
  <c r="E10" i="14"/>
  <c r="J9" i="14"/>
  <c r="I9" i="14"/>
  <c r="G9" i="14"/>
  <c r="E9" i="14"/>
  <c r="J8" i="14"/>
  <c r="E8" i="14"/>
  <c r="G8" i="14" s="1"/>
  <c r="I8" i="14" s="1"/>
  <c r="F7" i="14"/>
  <c r="F73" i="14" s="1"/>
  <c r="E7" i="14"/>
  <c r="I7" i="14" s="1"/>
  <c r="D7" i="14"/>
  <c r="A7" i="14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L284" i="13"/>
  <c r="H283" i="13"/>
  <c r="H287" i="13" s="1"/>
  <c r="E283" i="13"/>
  <c r="I283" i="13" s="1"/>
  <c r="J282" i="13"/>
  <c r="H282" i="13"/>
  <c r="E282" i="13"/>
  <c r="I282" i="13" s="1"/>
  <c r="J281" i="13"/>
  <c r="H281" i="13"/>
  <c r="E281" i="13"/>
  <c r="I281" i="13" s="1"/>
  <c r="H279" i="13"/>
  <c r="J279" i="13" s="1"/>
  <c r="E279" i="13"/>
  <c r="I279" i="13" s="1"/>
  <c r="J277" i="13"/>
  <c r="I277" i="13"/>
  <c r="H277" i="13"/>
  <c r="E277" i="13"/>
  <c r="J275" i="13"/>
  <c r="H275" i="13"/>
  <c r="E275" i="13"/>
  <c r="I275" i="13" s="1"/>
  <c r="J274" i="13"/>
  <c r="I274" i="13"/>
  <c r="H274" i="13"/>
  <c r="E274" i="13"/>
  <c r="I273" i="13"/>
  <c r="H273" i="13"/>
  <c r="J273" i="13" s="1"/>
  <c r="E273" i="13"/>
  <c r="I272" i="13"/>
  <c r="H272" i="13"/>
  <c r="J272" i="13" s="1"/>
  <c r="E272" i="13"/>
  <c r="I268" i="13"/>
  <c r="H268" i="13"/>
  <c r="J268" i="13" s="1"/>
  <c r="E268" i="13"/>
  <c r="H267" i="13"/>
  <c r="J267" i="13" s="1"/>
  <c r="E267" i="13"/>
  <c r="I267" i="13" s="1"/>
  <c r="J266" i="13"/>
  <c r="H266" i="13"/>
  <c r="E266" i="13"/>
  <c r="I266" i="13" s="1"/>
  <c r="J265" i="13"/>
  <c r="H265" i="13"/>
  <c r="E265" i="13"/>
  <c r="I265" i="13" s="1"/>
  <c r="J263" i="13"/>
  <c r="H263" i="13"/>
  <c r="E263" i="13"/>
  <c r="I263" i="13" s="1"/>
  <c r="H261" i="13"/>
  <c r="F261" i="13"/>
  <c r="J260" i="13"/>
  <c r="H260" i="13"/>
  <c r="F260" i="13"/>
  <c r="E260" i="13" s="1"/>
  <c r="I260" i="13" s="1"/>
  <c r="H259" i="13"/>
  <c r="J259" i="13" s="1"/>
  <c r="E259" i="13"/>
  <c r="I259" i="13" s="1"/>
  <c r="H258" i="13"/>
  <c r="J258" i="13" s="1"/>
  <c r="E258" i="13"/>
  <c r="I258" i="13" s="1"/>
  <c r="J257" i="13"/>
  <c r="H257" i="13"/>
  <c r="E257" i="13"/>
  <c r="I257" i="13" s="1"/>
  <c r="J256" i="13"/>
  <c r="H256" i="13"/>
  <c r="E256" i="13"/>
  <c r="I256" i="13" s="1"/>
  <c r="J255" i="13"/>
  <c r="H255" i="13"/>
  <c r="E255" i="13"/>
  <c r="I255" i="13" s="1"/>
  <c r="I254" i="13"/>
  <c r="H254" i="13"/>
  <c r="J254" i="13" s="1"/>
  <c r="E254" i="13"/>
  <c r="H253" i="13"/>
  <c r="F253" i="13"/>
  <c r="J253" i="13" s="1"/>
  <c r="E253" i="13"/>
  <c r="I253" i="13" s="1"/>
  <c r="J252" i="13"/>
  <c r="I252" i="13"/>
  <c r="H252" i="13"/>
  <c r="E252" i="13"/>
  <c r="I251" i="13"/>
  <c r="H251" i="13"/>
  <c r="J251" i="13" s="1"/>
  <c r="E251" i="13"/>
  <c r="I250" i="13"/>
  <c r="H250" i="13"/>
  <c r="J250" i="13" s="1"/>
  <c r="E250" i="13"/>
  <c r="I249" i="13"/>
  <c r="H249" i="13"/>
  <c r="J249" i="13" s="1"/>
  <c r="E249" i="13"/>
  <c r="H248" i="13"/>
  <c r="J248" i="13" s="1"/>
  <c r="E248" i="13"/>
  <c r="I248" i="13" s="1"/>
  <c r="J247" i="13"/>
  <c r="H247" i="13"/>
  <c r="E247" i="13"/>
  <c r="I247" i="13" s="1"/>
  <c r="J246" i="13"/>
  <c r="H246" i="13"/>
  <c r="E246" i="13"/>
  <c r="I246" i="13" s="1"/>
  <c r="J245" i="13"/>
  <c r="H245" i="13"/>
  <c r="E245" i="13"/>
  <c r="I245" i="13" s="1"/>
  <c r="J244" i="13"/>
  <c r="H244" i="13"/>
  <c r="E244" i="13"/>
  <c r="I244" i="13" s="1"/>
  <c r="I243" i="13"/>
  <c r="H243" i="13"/>
  <c r="J243" i="13" s="1"/>
  <c r="E243" i="13"/>
  <c r="I240" i="13"/>
  <c r="H240" i="13"/>
  <c r="J240" i="13" s="1"/>
  <c r="E240" i="13"/>
  <c r="H239" i="13"/>
  <c r="J239" i="13" s="1"/>
  <c r="D239" i="13"/>
  <c r="E239" i="13" s="1"/>
  <c r="I239" i="13" s="1"/>
  <c r="I238" i="13"/>
  <c r="H238" i="13"/>
  <c r="J238" i="13" s="1"/>
  <c r="E238" i="13"/>
  <c r="I237" i="13"/>
  <c r="H237" i="13"/>
  <c r="J237" i="13" s="1"/>
  <c r="E237" i="13"/>
  <c r="H236" i="13"/>
  <c r="J236" i="13" s="1"/>
  <c r="F236" i="13"/>
  <c r="E236" i="13"/>
  <c r="I236" i="13" s="1"/>
  <c r="I235" i="13"/>
  <c r="H235" i="13"/>
  <c r="J235" i="13" s="1"/>
  <c r="E235" i="13"/>
  <c r="I233" i="13"/>
  <c r="H233" i="13"/>
  <c r="J233" i="13" s="1"/>
  <c r="E233" i="13"/>
  <c r="J232" i="13"/>
  <c r="I232" i="13"/>
  <c r="H232" i="13"/>
  <c r="E232" i="13"/>
  <c r="H231" i="13"/>
  <c r="J231" i="13" s="1"/>
  <c r="E231" i="13"/>
  <c r="I231" i="13" s="1"/>
  <c r="H230" i="13"/>
  <c r="J230" i="13" s="1"/>
  <c r="E230" i="13"/>
  <c r="I230" i="13" s="1"/>
  <c r="H226" i="13"/>
  <c r="F226" i="13"/>
  <c r="E226" i="13" s="1"/>
  <c r="I226" i="13" s="1"/>
  <c r="H225" i="13"/>
  <c r="F225" i="13"/>
  <c r="H223" i="13"/>
  <c r="F223" i="13"/>
  <c r="J223" i="13" s="1"/>
  <c r="E223" i="13"/>
  <c r="I223" i="13" s="1"/>
  <c r="J222" i="13"/>
  <c r="I222" i="13"/>
  <c r="H222" i="13"/>
  <c r="E222" i="13"/>
  <c r="I221" i="13"/>
  <c r="H221" i="13"/>
  <c r="J221" i="13" s="1"/>
  <c r="E221" i="13"/>
  <c r="F220" i="13"/>
  <c r="J220" i="13" s="1"/>
  <c r="D220" i="13"/>
  <c r="H220" i="13" s="1"/>
  <c r="J219" i="13"/>
  <c r="H219" i="13"/>
  <c r="E219" i="13"/>
  <c r="I219" i="13" s="1"/>
  <c r="J218" i="13"/>
  <c r="I218" i="13"/>
  <c r="H218" i="13"/>
  <c r="E218" i="13"/>
  <c r="D218" i="13"/>
  <c r="H217" i="13"/>
  <c r="J217" i="13" s="1"/>
  <c r="E217" i="13"/>
  <c r="I217" i="13" s="1"/>
  <c r="K213" i="13"/>
  <c r="J213" i="13"/>
  <c r="H213" i="13"/>
  <c r="E213" i="13"/>
  <c r="I213" i="13" s="1"/>
  <c r="J212" i="13"/>
  <c r="I212" i="13"/>
  <c r="H212" i="13"/>
  <c r="E212" i="13"/>
  <c r="J211" i="13"/>
  <c r="I211" i="13"/>
  <c r="H211" i="13"/>
  <c r="E211" i="13"/>
  <c r="J209" i="13"/>
  <c r="I209" i="13"/>
  <c r="H209" i="13"/>
  <c r="E209" i="13"/>
  <c r="J207" i="13"/>
  <c r="H207" i="13"/>
  <c r="E207" i="13"/>
  <c r="I207" i="13" s="1"/>
  <c r="J205" i="13"/>
  <c r="H205" i="13"/>
  <c r="E205" i="13"/>
  <c r="I205" i="13" s="1"/>
  <c r="I204" i="13"/>
  <c r="H204" i="13"/>
  <c r="J204" i="13" s="1"/>
  <c r="E204" i="13"/>
  <c r="I203" i="13"/>
  <c r="H203" i="13"/>
  <c r="J203" i="13" s="1"/>
  <c r="E203" i="13"/>
  <c r="J202" i="13"/>
  <c r="I202" i="13"/>
  <c r="H202" i="13"/>
  <c r="E202" i="13"/>
  <c r="H198" i="13"/>
  <c r="J198" i="13" s="1"/>
  <c r="E198" i="13"/>
  <c r="I198" i="13" s="1"/>
  <c r="H197" i="13"/>
  <c r="J197" i="13" s="1"/>
  <c r="E197" i="13"/>
  <c r="I197" i="13" s="1"/>
  <c r="J196" i="13"/>
  <c r="H196" i="13"/>
  <c r="E196" i="13"/>
  <c r="I196" i="13" s="1"/>
  <c r="J195" i="13"/>
  <c r="I195" i="13"/>
  <c r="H195" i="13"/>
  <c r="E195" i="13"/>
  <c r="J193" i="13"/>
  <c r="H193" i="13"/>
  <c r="E193" i="13"/>
  <c r="I193" i="13" s="1"/>
  <c r="I191" i="13"/>
  <c r="H191" i="13"/>
  <c r="F191" i="13"/>
  <c r="J191" i="13" s="1"/>
  <c r="E191" i="13"/>
  <c r="H190" i="13"/>
  <c r="F190" i="13"/>
  <c r="J190" i="13" s="1"/>
  <c r="E190" i="13"/>
  <c r="I190" i="13" s="1"/>
  <c r="H189" i="13"/>
  <c r="J189" i="13" s="1"/>
  <c r="E189" i="13"/>
  <c r="I189" i="13" s="1"/>
  <c r="J188" i="13"/>
  <c r="I188" i="13"/>
  <c r="H188" i="13"/>
  <c r="E188" i="13"/>
  <c r="J187" i="13"/>
  <c r="H187" i="13"/>
  <c r="E187" i="13"/>
  <c r="I187" i="13" s="1"/>
  <c r="J186" i="13"/>
  <c r="H186" i="13"/>
  <c r="E186" i="13"/>
  <c r="I186" i="13" s="1"/>
  <c r="I185" i="13"/>
  <c r="H185" i="13"/>
  <c r="J185" i="13" s="1"/>
  <c r="E185" i="13"/>
  <c r="I184" i="13"/>
  <c r="H184" i="13"/>
  <c r="J184" i="13" s="1"/>
  <c r="E184" i="13"/>
  <c r="F183" i="13"/>
  <c r="E183" i="13"/>
  <c r="I183" i="13" s="1"/>
  <c r="D183" i="13"/>
  <c r="H183" i="13" s="1"/>
  <c r="J183" i="13" s="1"/>
  <c r="J182" i="13"/>
  <c r="I182" i="13"/>
  <c r="H182" i="13"/>
  <c r="E182" i="13"/>
  <c r="E181" i="13"/>
  <c r="I181" i="13" s="1"/>
  <c r="D181" i="13"/>
  <c r="H181" i="13" s="1"/>
  <c r="J181" i="13" s="1"/>
  <c r="H180" i="13"/>
  <c r="J180" i="13" s="1"/>
  <c r="E180" i="13"/>
  <c r="I180" i="13" s="1"/>
  <c r="J179" i="13"/>
  <c r="H179" i="13"/>
  <c r="E179" i="13"/>
  <c r="I179" i="13" s="1"/>
  <c r="J178" i="13"/>
  <c r="I178" i="13"/>
  <c r="H178" i="13"/>
  <c r="E178" i="13"/>
  <c r="J177" i="13"/>
  <c r="H177" i="13"/>
  <c r="E177" i="13"/>
  <c r="I177" i="13" s="1"/>
  <c r="I176" i="13"/>
  <c r="H176" i="13"/>
  <c r="J176" i="13" s="1"/>
  <c r="E176" i="13"/>
  <c r="I175" i="13"/>
  <c r="H175" i="13"/>
  <c r="J175" i="13" s="1"/>
  <c r="E175" i="13"/>
  <c r="J174" i="13"/>
  <c r="I174" i="13"/>
  <c r="H174" i="13"/>
  <c r="E174" i="13"/>
  <c r="J173" i="13"/>
  <c r="H173" i="13"/>
  <c r="E173" i="13"/>
  <c r="I173" i="13" s="1"/>
  <c r="H169" i="13"/>
  <c r="J169" i="13" s="1"/>
  <c r="D169" i="13"/>
  <c r="E169" i="13" s="1"/>
  <c r="I169" i="13" s="1"/>
  <c r="I168" i="13"/>
  <c r="D168" i="13"/>
  <c r="E168" i="13" s="1"/>
  <c r="E167" i="13"/>
  <c r="I167" i="13" s="1"/>
  <c r="D167" i="13"/>
  <c r="H167" i="13" s="1"/>
  <c r="J167" i="13" s="1"/>
  <c r="H166" i="13"/>
  <c r="J166" i="13" s="1"/>
  <c r="F166" i="13"/>
  <c r="D166" i="13"/>
  <c r="D170" i="13" s="1"/>
  <c r="H170" i="13" s="1"/>
  <c r="J170" i="13" s="1"/>
  <c r="J165" i="13"/>
  <c r="I165" i="13"/>
  <c r="H165" i="13"/>
  <c r="E165" i="13"/>
  <c r="H163" i="13"/>
  <c r="F163" i="13"/>
  <c r="E163" i="13"/>
  <c r="I163" i="13" s="1"/>
  <c r="D162" i="13"/>
  <c r="H162" i="13" s="1"/>
  <c r="J162" i="13" s="1"/>
  <c r="H161" i="13"/>
  <c r="J161" i="13" s="1"/>
  <c r="E161" i="13"/>
  <c r="I161" i="13" s="1"/>
  <c r="J160" i="13"/>
  <c r="I160" i="13"/>
  <c r="H160" i="13"/>
  <c r="E160" i="13"/>
  <c r="J156" i="13"/>
  <c r="H156" i="13"/>
  <c r="E156" i="13"/>
  <c r="I156" i="13" s="1"/>
  <c r="H154" i="13"/>
  <c r="F154" i="13"/>
  <c r="J154" i="13" s="1"/>
  <c r="E154" i="13"/>
  <c r="I154" i="13" s="1"/>
  <c r="I153" i="13"/>
  <c r="H153" i="13"/>
  <c r="F153" i="13"/>
  <c r="E153" i="13" s="1"/>
  <c r="J152" i="13"/>
  <c r="H152" i="13"/>
  <c r="E152" i="13"/>
  <c r="I152" i="13" s="1"/>
  <c r="H151" i="13"/>
  <c r="J151" i="13" s="1"/>
  <c r="E151" i="13"/>
  <c r="I151" i="13" s="1"/>
  <c r="D151" i="13"/>
  <c r="I150" i="13"/>
  <c r="H150" i="13"/>
  <c r="E150" i="13"/>
  <c r="J149" i="13"/>
  <c r="H149" i="13"/>
  <c r="E149" i="13"/>
  <c r="I149" i="13" s="1"/>
  <c r="H148" i="13"/>
  <c r="F148" i="13"/>
  <c r="J148" i="13" s="1"/>
  <c r="D148" i="13"/>
  <c r="J147" i="13"/>
  <c r="H147" i="13"/>
  <c r="E147" i="13"/>
  <c r="I147" i="13" s="1"/>
  <c r="K143" i="13"/>
  <c r="I143" i="13"/>
  <c r="H143" i="13"/>
  <c r="J143" i="13" s="1"/>
  <c r="E143" i="13"/>
  <c r="J142" i="13"/>
  <c r="I142" i="13"/>
  <c r="H142" i="13"/>
  <c r="E142" i="13"/>
  <c r="H141" i="13"/>
  <c r="J141" i="13" s="1"/>
  <c r="E141" i="13"/>
  <c r="I141" i="13" s="1"/>
  <c r="I139" i="13"/>
  <c r="H139" i="13"/>
  <c r="J139" i="13" s="1"/>
  <c r="E139" i="13"/>
  <c r="I137" i="13"/>
  <c r="H137" i="13"/>
  <c r="J137" i="13" s="1"/>
  <c r="E137" i="13"/>
  <c r="H135" i="13"/>
  <c r="J135" i="13" s="1"/>
  <c r="E135" i="13"/>
  <c r="I135" i="13" s="1"/>
  <c r="H134" i="13"/>
  <c r="J134" i="13" s="1"/>
  <c r="E134" i="13"/>
  <c r="I134" i="13" s="1"/>
  <c r="J133" i="13"/>
  <c r="I133" i="13"/>
  <c r="H133" i="13"/>
  <c r="E133" i="13"/>
  <c r="J132" i="13"/>
  <c r="H132" i="13"/>
  <c r="E132" i="13"/>
  <c r="I132" i="13" s="1"/>
  <c r="J128" i="13"/>
  <c r="H128" i="13"/>
  <c r="E128" i="13"/>
  <c r="I128" i="13" s="1"/>
  <c r="I127" i="13"/>
  <c r="H127" i="13"/>
  <c r="J127" i="13" s="1"/>
  <c r="E127" i="13"/>
  <c r="I126" i="13"/>
  <c r="H126" i="13"/>
  <c r="J126" i="13" s="1"/>
  <c r="E126" i="13"/>
  <c r="J125" i="13"/>
  <c r="I125" i="13"/>
  <c r="H125" i="13"/>
  <c r="E125" i="13"/>
  <c r="J123" i="13"/>
  <c r="H123" i="13"/>
  <c r="E123" i="13"/>
  <c r="I123" i="13" s="1"/>
  <c r="J121" i="13"/>
  <c r="H121" i="13"/>
  <c r="F121" i="13"/>
  <c r="E121" i="13" s="1"/>
  <c r="I121" i="13" s="1"/>
  <c r="H120" i="13"/>
  <c r="J120" i="13" s="1"/>
  <c r="F120" i="13"/>
  <c r="E120" i="13"/>
  <c r="I120" i="13" s="1"/>
  <c r="I119" i="13"/>
  <c r="H119" i="13"/>
  <c r="J119" i="13" s="1"/>
  <c r="E119" i="13"/>
  <c r="I118" i="13"/>
  <c r="H118" i="13"/>
  <c r="J118" i="13" s="1"/>
  <c r="E118" i="13"/>
  <c r="I117" i="13"/>
  <c r="H117" i="13"/>
  <c r="J117" i="13" s="1"/>
  <c r="E117" i="13"/>
  <c r="J116" i="13"/>
  <c r="H116" i="13"/>
  <c r="E116" i="13"/>
  <c r="I116" i="13" s="1"/>
  <c r="J115" i="13"/>
  <c r="H115" i="13"/>
  <c r="E115" i="13"/>
  <c r="I115" i="13" s="1"/>
  <c r="J114" i="13"/>
  <c r="I114" i="13"/>
  <c r="H114" i="13"/>
  <c r="E114" i="13"/>
  <c r="J113" i="13"/>
  <c r="H113" i="13"/>
  <c r="E113" i="13"/>
  <c r="I113" i="13" s="1"/>
  <c r="J112" i="13"/>
  <c r="H112" i="13"/>
  <c r="E112" i="13"/>
  <c r="I112" i="13" s="1"/>
  <c r="I111" i="13"/>
  <c r="H111" i="13"/>
  <c r="J111" i="13" s="1"/>
  <c r="E111" i="13"/>
  <c r="I110" i="13"/>
  <c r="H110" i="13"/>
  <c r="J110" i="13" s="1"/>
  <c r="E110" i="13"/>
  <c r="E109" i="13"/>
  <c r="E108" i="13"/>
  <c r="G108" i="13" s="1"/>
  <c r="H108" i="13" s="1"/>
  <c r="J108" i="13" s="1"/>
  <c r="J107" i="13"/>
  <c r="I107" i="13"/>
  <c r="H107" i="13"/>
  <c r="E107" i="13"/>
  <c r="J106" i="13"/>
  <c r="H106" i="13"/>
  <c r="E106" i="13"/>
  <c r="I106" i="13" s="1"/>
  <c r="I105" i="13"/>
  <c r="H105" i="13"/>
  <c r="J105" i="13" s="1"/>
  <c r="E105" i="13"/>
  <c r="I104" i="13"/>
  <c r="H104" i="13"/>
  <c r="J104" i="13" s="1"/>
  <c r="E104" i="13"/>
  <c r="J103" i="13"/>
  <c r="I103" i="13"/>
  <c r="H103" i="13"/>
  <c r="E103" i="13"/>
  <c r="J100" i="13"/>
  <c r="H100" i="13"/>
  <c r="E100" i="13"/>
  <c r="I100" i="13" s="1"/>
  <c r="H99" i="13"/>
  <c r="J99" i="13" s="1"/>
  <c r="D99" i="13"/>
  <c r="E99" i="13" s="1"/>
  <c r="I99" i="13" s="1"/>
  <c r="I98" i="13"/>
  <c r="E98" i="13"/>
  <c r="D98" i="13"/>
  <c r="H98" i="13" s="1"/>
  <c r="J98" i="13" s="1"/>
  <c r="J97" i="13"/>
  <c r="H97" i="13"/>
  <c r="E97" i="13"/>
  <c r="I97" i="13" s="1"/>
  <c r="D97" i="13"/>
  <c r="J96" i="13"/>
  <c r="H96" i="13"/>
  <c r="E96" i="13"/>
  <c r="I96" i="13" s="1"/>
  <c r="D96" i="13"/>
  <c r="D100" i="13" s="1"/>
  <c r="H95" i="13"/>
  <c r="F95" i="13"/>
  <c r="J95" i="13" s="1"/>
  <c r="E95" i="13"/>
  <c r="I95" i="13" s="1"/>
  <c r="J93" i="13"/>
  <c r="H93" i="13"/>
  <c r="E93" i="13"/>
  <c r="I93" i="13" s="1"/>
  <c r="I92" i="13"/>
  <c r="H92" i="13"/>
  <c r="J92" i="13" s="1"/>
  <c r="E92" i="13"/>
  <c r="I91" i="13"/>
  <c r="H91" i="13"/>
  <c r="J91" i="13" s="1"/>
  <c r="E91" i="13"/>
  <c r="J90" i="13"/>
  <c r="I90" i="13"/>
  <c r="H90" i="13"/>
  <c r="E90" i="13"/>
  <c r="J86" i="13"/>
  <c r="H86" i="13"/>
  <c r="E86" i="13"/>
  <c r="I86" i="13" s="1"/>
  <c r="J84" i="13"/>
  <c r="H84" i="13"/>
  <c r="F84" i="13"/>
  <c r="E84" i="13" s="1"/>
  <c r="I84" i="13" s="1"/>
  <c r="H83" i="13"/>
  <c r="J83" i="13" s="1"/>
  <c r="F83" i="13"/>
  <c r="E83" i="13"/>
  <c r="I83" i="13" s="1"/>
  <c r="I82" i="13"/>
  <c r="H82" i="13"/>
  <c r="J82" i="13" s="1"/>
  <c r="E82" i="13"/>
  <c r="H81" i="13"/>
  <c r="F81" i="13"/>
  <c r="E81" i="13"/>
  <c r="I81" i="13" s="1"/>
  <c r="J80" i="13"/>
  <c r="I80" i="13"/>
  <c r="H80" i="13"/>
  <c r="E80" i="13"/>
  <c r="H79" i="13"/>
  <c r="J79" i="13" s="1"/>
  <c r="D79" i="13"/>
  <c r="E79" i="13" s="1"/>
  <c r="I79" i="13" s="1"/>
  <c r="J78" i="13"/>
  <c r="I78" i="13"/>
  <c r="H78" i="13"/>
  <c r="E78" i="13"/>
  <c r="L75" i="13"/>
  <c r="J74" i="13"/>
  <c r="I74" i="13"/>
  <c r="H74" i="13"/>
  <c r="E74" i="13"/>
  <c r="H73" i="13"/>
  <c r="F73" i="13"/>
  <c r="F287" i="13" s="1"/>
  <c r="J72" i="13"/>
  <c r="H72" i="13"/>
  <c r="E72" i="13"/>
  <c r="I72" i="13" s="1"/>
  <c r="I70" i="13"/>
  <c r="H70" i="13"/>
  <c r="J70" i="13" s="1"/>
  <c r="E70" i="13"/>
  <c r="H68" i="13"/>
  <c r="J68" i="13" s="1"/>
  <c r="E68" i="13"/>
  <c r="I68" i="13" s="1"/>
  <c r="H66" i="13"/>
  <c r="J66" i="13" s="1"/>
  <c r="G66" i="13"/>
  <c r="E66" i="13"/>
  <c r="E65" i="13"/>
  <c r="I64" i="13"/>
  <c r="H64" i="13"/>
  <c r="J64" i="13" s="1"/>
  <c r="E64" i="13"/>
  <c r="I63" i="13"/>
  <c r="H63" i="13"/>
  <c r="J63" i="13" s="1"/>
  <c r="E63" i="13"/>
  <c r="J59" i="13"/>
  <c r="H59" i="13"/>
  <c r="F59" i="13"/>
  <c r="E59" i="13"/>
  <c r="I59" i="13" s="1"/>
  <c r="I58" i="13"/>
  <c r="H58" i="13"/>
  <c r="J58" i="13" s="1"/>
  <c r="E58" i="13"/>
  <c r="G58" i="13" s="1"/>
  <c r="J57" i="13"/>
  <c r="H57" i="13"/>
  <c r="E57" i="13"/>
  <c r="I57" i="13" s="1"/>
  <c r="J56" i="13"/>
  <c r="H56" i="13"/>
  <c r="E56" i="13"/>
  <c r="I56" i="13" s="1"/>
  <c r="I54" i="13"/>
  <c r="H54" i="13"/>
  <c r="J54" i="13" s="1"/>
  <c r="E54" i="13"/>
  <c r="G54" i="13" s="1"/>
  <c r="G52" i="13"/>
  <c r="H52" i="13" s="1"/>
  <c r="F52" i="13"/>
  <c r="E52" i="13" s="1"/>
  <c r="I52" i="13" s="1"/>
  <c r="H51" i="13"/>
  <c r="F51" i="13"/>
  <c r="E51" i="13"/>
  <c r="I51" i="13" s="1"/>
  <c r="J50" i="13"/>
  <c r="I50" i="13"/>
  <c r="H50" i="13"/>
  <c r="E50" i="13"/>
  <c r="I49" i="13"/>
  <c r="H49" i="13"/>
  <c r="J49" i="13" s="1"/>
  <c r="E49" i="13"/>
  <c r="I48" i="13"/>
  <c r="H48" i="13"/>
  <c r="J48" i="13" s="1"/>
  <c r="E48" i="13"/>
  <c r="I47" i="13"/>
  <c r="H47" i="13"/>
  <c r="J47" i="13" s="1"/>
  <c r="E47" i="13"/>
  <c r="J46" i="13"/>
  <c r="H46" i="13"/>
  <c r="E46" i="13"/>
  <c r="I46" i="13" s="1"/>
  <c r="H45" i="13"/>
  <c r="J45" i="13" s="1"/>
  <c r="G45" i="13"/>
  <c r="E45" i="13"/>
  <c r="J44" i="13"/>
  <c r="H44" i="13"/>
  <c r="F44" i="13"/>
  <c r="E44" i="13"/>
  <c r="I44" i="13" s="1"/>
  <c r="H43" i="13"/>
  <c r="J43" i="13" s="1"/>
  <c r="E43" i="13"/>
  <c r="I43" i="13" s="1"/>
  <c r="I42" i="13"/>
  <c r="H42" i="13"/>
  <c r="J42" i="13" s="1"/>
  <c r="E42" i="13"/>
  <c r="I41" i="13"/>
  <c r="H41" i="13"/>
  <c r="J41" i="13" s="1"/>
  <c r="E41" i="13"/>
  <c r="G40" i="13"/>
  <c r="H40" i="13" s="1"/>
  <c r="J40" i="13" s="1"/>
  <c r="E40" i="13"/>
  <c r="I39" i="13"/>
  <c r="H39" i="13"/>
  <c r="J39" i="13" s="1"/>
  <c r="E39" i="13"/>
  <c r="G39" i="13" s="1"/>
  <c r="J38" i="13"/>
  <c r="I38" i="13"/>
  <c r="H38" i="13"/>
  <c r="E38" i="13"/>
  <c r="H37" i="13"/>
  <c r="J37" i="13" s="1"/>
  <c r="E37" i="13"/>
  <c r="I37" i="13" s="1"/>
  <c r="I36" i="13"/>
  <c r="H36" i="13"/>
  <c r="J36" i="13" s="1"/>
  <c r="E36" i="13"/>
  <c r="I35" i="13"/>
  <c r="H35" i="13"/>
  <c r="J35" i="13" s="1"/>
  <c r="E35" i="13"/>
  <c r="J34" i="13"/>
  <c r="H34" i="13"/>
  <c r="E34" i="13"/>
  <c r="I34" i="13" s="1"/>
  <c r="H31" i="13"/>
  <c r="J31" i="13" s="1"/>
  <c r="E31" i="13"/>
  <c r="I31" i="13" s="1"/>
  <c r="E30" i="13"/>
  <c r="I30" i="13" s="1"/>
  <c r="H29" i="13"/>
  <c r="J29" i="13" s="1"/>
  <c r="E29" i="13"/>
  <c r="I29" i="13" s="1"/>
  <c r="H28" i="13"/>
  <c r="J28" i="13" s="1"/>
  <c r="E28" i="13"/>
  <c r="I28" i="13" s="1"/>
  <c r="D28" i="13"/>
  <c r="D30" i="13" s="1"/>
  <c r="H30" i="13" s="1"/>
  <c r="J30" i="13" s="1"/>
  <c r="H27" i="13"/>
  <c r="F27" i="13"/>
  <c r="J27" i="13" s="1"/>
  <c r="E27" i="13"/>
  <c r="I27" i="13" s="1"/>
  <c r="J26" i="13"/>
  <c r="I26" i="13"/>
  <c r="H26" i="13"/>
  <c r="E26" i="13"/>
  <c r="I24" i="13"/>
  <c r="H24" i="13"/>
  <c r="J24" i="13" s="1"/>
  <c r="E24" i="13"/>
  <c r="I23" i="13"/>
  <c r="H23" i="13"/>
  <c r="J23" i="13" s="1"/>
  <c r="E23" i="13"/>
  <c r="I22" i="13"/>
  <c r="H22" i="13"/>
  <c r="J22" i="13" s="1"/>
  <c r="E22" i="13"/>
  <c r="H21" i="13"/>
  <c r="J21" i="13" s="1"/>
  <c r="E21" i="13"/>
  <c r="I21" i="13" s="1"/>
  <c r="J17" i="13"/>
  <c r="H17" i="13"/>
  <c r="F17" i="13"/>
  <c r="E17" i="13" s="1"/>
  <c r="I17" i="13" s="1"/>
  <c r="H16" i="13"/>
  <c r="J16" i="13" s="1"/>
  <c r="F16" i="13"/>
  <c r="E16" i="13"/>
  <c r="I16" i="13" s="1"/>
  <c r="H14" i="13"/>
  <c r="F14" i="13"/>
  <c r="J14" i="13" s="1"/>
  <c r="E14" i="13"/>
  <c r="I14" i="13" s="1"/>
  <c r="J13" i="13"/>
  <c r="H13" i="13"/>
  <c r="E13" i="13"/>
  <c r="I13" i="13" s="1"/>
  <c r="J12" i="13"/>
  <c r="I12" i="13"/>
  <c r="H12" i="13"/>
  <c r="E12" i="13"/>
  <c r="H11" i="13"/>
  <c r="F11" i="13"/>
  <c r="E11" i="13"/>
  <c r="I11" i="13" s="1"/>
  <c r="J10" i="13"/>
  <c r="H10" i="13"/>
  <c r="E10" i="13"/>
  <c r="I10" i="13" s="1"/>
  <c r="A10" i="13"/>
  <c r="A11" i="13" s="1"/>
  <c r="A12" i="13" s="1"/>
  <c r="A13" i="13" s="1"/>
  <c r="A14" i="13" s="1"/>
  <c r="A16" i="13" s="1"/>
  <c r="A17" i="13" s="1"/>
  <c r="A21" i="13" s="1"/>
  <c r="A22" i="13" s="1"/>
  <c r="A23" i="13" s="1"/>
  <c r="A24" i="13" s="1"/>
  <c r="A26" i="13" s="1"/>
  <c r="A27" i="13" s="1"/>
  <c r="A28" i="13" s="1"/>
  <c r="A29" i="13" s="1"/>
  <c r="A30" i="13" s="1"/>
  <c r="A31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4" i="13" s="1"/>
  <c r="A56" i="13" s="1"/>
  <c r="A57" i="13" s="1"/>
  <c r="A58" i="13" s="1"/>
  <c r="A59" i="13" s="1"/>
  <c r="A63" i="13" s="1"/>
  <c r="A64" i="13" s="1"/>
  <c r="A65" i="13" s="1"/>
  <c r="A66" i="13" s="1"/>
  <c r="A68" i="13" s="1"/>
  <c r="A70" i="13" s="1"/>
  <c r="A72" i="13" s="1"/>
  <c r="A73" i="13" s="1"/>
  <c r="A74" i="13" s="1"/>
  <c r="A78" i="13" s="1"/>
  <c r="A79" i="13" s="1"/>
  <c r="A80" i="13" s="1"/>
  <c r="A81" i="13" s="1"/>
  <c r="A82" i="13" s="1"/>
  <c r="A83" i="13" s="1"/>
  <c r="A84" i="13" s="1"/>
  <c r="A86" i="13" s="1"/>
  <c r="A90" i="13" s="1"/>
  <c r="A91" i="13" s="1"/>
  <c r="A92" i="13" s="1"/>
  <c r="A93" i="13" s="1"/>
  <c r="A95" i="13" s="1"/>
  <c r="A96" i="13" s="1"/>
  <c r="A97" i="13" s="1"/>
  <c r="A98" i="13" s="1"/>
  <c r="A99" i="13" s="1"/>
  <c r="A100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3" i="13" s="1"/>
  <c r="A125" i="13" s="1"/>
  <c r="A126" i="13" s="1"/>
  <c r="A127" i="13" s="1"/>
  <c r="A128" i="13" s="1"/>
  <c r="A132" i="13" s="1"/>
  <c r="A133" i="13" s="1"/>
  <c r="A134" i="13" s="1"/>
  <c r="A135" i="13" s="1"/>
  <c r="A137" i="13" s="1"/>
  <c r="A139" i="13" s="1"/>
  <c r="A141" i="13" s="1"/>
  <c r="A142" i="13" s="1"/>
  <c r="A143" i="13" s="1"/>
  <c r="A147" i="13" s="1"/>
  <c r="A148" i="13" s="1"/>
  <c r="A149" i="13" s="1"/>
  <c r="A150" i="13" s="1"/>
  <c r="A151" i="13" s="1"/>
  <c r="A152" i="13" s="1"/>
  <c r="A153" i="13" s="1"/>
  <c r="A154" i="13" s="1"/>
  <c r="A156" i="13" s="1"/>
  <c r="A160" i="13" s="1"/>
  <c r="A161" i="13" s="1"/>
  <c r="A162" i="13" s="1"/>
  <c r="A163" i="13" s="1"/>
  <c r="A165" i="13" s="1"/>
  <c r="A166" i="13" s="1"/>
  <c r="A167" i="13" s="1"/>
  <c r="A168" i="13" s="1"/>
  <c r="A169" i="13" s="1"/>
  <c r="A170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3" i="13" s="1"/>
  <c r="A195" i="13" s="1"/>
  <c r="A196" i="13" s="1"/>
  <c r="A197" i="13" s="1"/>
  <c r="A198" i="13" s="1"/>
  <c r="A202" i="13" s="1"/>
  <c r="A203" i="13" s="1"/>
  <c r="A204" i="13" s="1"/>
  <c r="A205" i="13" s="1"/>
  <c r="A207" i="13" s="1"/>
  <c r="A209" i="13" s="1"/>
  <c r="A211" i="13" s="1"/>
  <c r="A212" i="13" s="1"/>
  <c r="A213" i="13" s="1"/>
  <c r="A217" i="13" s="1"/>
  <c r="A218" i="13" s="1"/>
  <c r="A219" i="13" s="1"/>
  <c r="A220" i="13" s="1"/>
  <c r="A221" i="13" s="1"/>
  <c r="A222" i="13" s="1"/>
  <c r="A223" i="13" s="1"/>
  <c r="A225" i="13" s="1"/>
  <c r="A226" i="13" s="1"/>
  <c r="A230" i="13" s="1"/>
  <c r="A231" i="13" s="1"/>
  <c r="A232" i="13" s="1"/>
  <c r="A233" i="13" s="1"/>
  <c r="A235" i="13" s="1"/>
  <c r="A236" i="13" s="1"/>
  <c r="A237" i="13" s="1"/>
  <c r="A238" i="13" s="1"/>
  <c r="A239" i="13" s="1"/>
  <c r="A240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3" i="13" s="1"/>
  <c r="A265" i="13" s="1"/>
  <c r="A266" i="13" s="1"/>
  <c r="A267" i="13" s="1"/>
  <c r="A268" i="13" s="1"/>
  <c r="A272" i="13" s="1"/>
  <c r="A273" i="13" s="1"/>
  <c r="A274" i="13" s="1"/>
  <c r="A275" i="13" s="1"/>
  <c r="A277" i="13" s="1"/>
  <c r="A279" i="13" s="1"/>
  <c r="A281" i="13" s="1"/>
  <c r="A282" i="13" s="1"/>
  <c r="A283" i="13" s="1"/>
  <c r="I9" i="13"/>
  <c r="E9" i="13"/>
  <c r="D9" i="13"/>
  <c r="H9" i="13" s="1"/>
  <c r="J9" i="13" s="1"/>
  <c r="A9" i="13"/>
  <c r="J8" i="13"/>
  <c r="H8" i="13"/>
  <c r="E8" i="13"/>
  <c r="I8" i="13" s="1"/>
  <c r="G21" i="14" l="1"/>
  <c r="I21" i="14" s="1"/>
  <c r="G22" i="14"/>
  <c r="I22" i="14" s="1"/>
  <c r="I19" i="14"/>
  <c r="G19" i="14"/>
  <c r="G23" i="14"/>
  <c r="I23" i="14" s="1"/>
  <c r="G14" i="14"/>
  <c r="I14" i="14"/>
  <c r="G20" i="14"/>
  <c r="I20" i="14" s="1"/>
  <c r="E113" i="14"/>
  <c r="G117" i="14"/>
  <c r="J117" i="14" s="1"/>
  <c r="I117" i="14"/>
  <c r="I191" i="14"/>
  <c r="J191" i="14"/>
  <c r="G10" i="14"/>
  <c r="I10" i="14" s="1"/>
  <c r="G24" i="14"/>
  <c r="I24" i="14" s="1"/>
  <c r="G35" i="14"/>
  <c r="J35" i="14" s="1"/>
  <c r="I53" i="14"/>
  <c r="G71" i="14"/>
  <c r="J71" i="14" s="1"/>
  <c r="G83" i="14"/>
  <c r="J83" i="14" s="1"/>
  <c r="G68" i="14"/>
  <c r="J68" i="14" s="1"/>
  <c r="I87" i="14"/>
  <c r="J87" i="14"/>
  <c r="G104" i="14"/>
  <c r="J104" i="14" s="1"/>
  <c r="E114" i="14"/>
  <c r="G131" i="14"/>
  <c r="J131" i="14" s="1"/>
  <c r="I131" i="14"/>
  <c r="G188" i="14"/>
  <c r="J188" i="14" s="1"/>
  <c r="J220" i="14"/>
  <c r="I220" i="14"/>
  <c r="J261" i="14"/>
  <c r="I261" i="14"/>
  <c r="G12" i="14"/>
  <c r="I12" i="14" s="1"/>
  <c r="G26" i="14"/>
  <c r="I26" i="14" s="1"/>
  <c r="G28" i="14"/>
  <c r="I28" i="14" s="1"/>
  <c r="I57" i="14"/>
  <c r="G57" i="14"/>
  <c r="J57" i="14" s="1"/>
  <c r="I65" i="14"/>
  <c r="I84" i="14"/>
  <c r="I101" i="14"/>
  <c r="I140" i="14"/>
  <c r="J140" i="14"/>
  <c r="J7" i="14"/>
  <c r="G60" i="14"/>
  <c r="J60" i="14" s="1"/>
  <c r="G78" i="14"/>
  <c r="J78" i="14" s="1"/>
  <c r="I111" i="14"/>
  <c r="G111" i="14"/>
  <c r="J111" i="14" s="1"/>
  <c r="E115" i="14"/>
  <c r="I138" i="14"/>
  <c r="G138" i="14"/>
  <c r="G178" i="14"/>
  <c r="J178" i="14" s="1"/>
  <c r="I47" i="14"/>
  <c r="I75" i="14"/>
  <c r="G85" i="14"/>
  <c r="J85" i="14" s="1"/>
  <c r="I85" i="14"/>
  <c r="G89" i="14"/>
  <c r="J89" i="14" s="1"/>
  <c r="J96" i="14"/>
  <c r="E96" i="14"/>
  <c r="I96" i="14" s="1"/>
  <c r="I119" i="14"/>
  <c r="J119" i="14"/>
  <c r="I128" i="14"/>
  <c r="J128" i="14"/>
  <c r="I147" i="14"/>
  <c r="J147" i="14"/>
  <c r="J75" i="14"/>
  <c r="I93" i="14"/>
  <c r="G93" i="14"/>
  <c r="J93" i="14" s="1"/>
  <c r="E112" i="14"/>
  <c r="I120" i="14"/>
  <c r="G120" i="14"/>
  <c r="J120" i="14" s="1"/>
  <c r="J122" i="14"/>
  <c r="G165" i="14"/>
  <c r="J165" i="14" s="1"/>
  <c r="I196" i="14"/>
  <c r="G196" i="14"/>
  <c r="J196" i="14" s="1"/>
  <c r="I37" i="14"/>
  <c r="G37" i="14"/>
  <c r="J37" i="14" s="1"/>
  <c r="I27" i="14"/>
  <c r="G41" i="14"/>
  <c r="J41" i="14" s="1"/>
  <c r="J45" i="14"/>
  <c r="I48" i="14"/>
  <c r="G48" i="14"/>
  <c r="J48" i="14" s="1"/>
  <c r="I61" i="14"/>
  <c r="G61" i="14"/>
  <c r="J61" i="14" s="1"/>
  <c r="I129" i="14"/>
  <c r="J129" i="14"/>
  <c r="I50" i="14"/>
  <c r="I51" i="14"/>
  <c r="J53" i="14"/>
  <c r="J54" i="14"/>
  <c r="I150" i="14"/>
  <c r="I181" i="14"/>
  <c r="G181" i="14"/>
  <c r="J181" i="14" s="1"/>
  <c r="I185" i="14"/>
  <c r="G192" i="14"/>
  <c r="J192" i="14" s="1"/>
  <c r="I212" i="14"/>
  <c r="J212" i="14"/>
  <c r="G216" i="14"/>
  <c r="J216" i="14" s="1"/>
  <c r="I134" i="14"/>
  <c r="E143" i="14"/>
  <c r="I143" i="14" s="1"/>
  <c r="G150" i="14"/>
  <c r="J150" i="14" s="1"/>
  <c r="E153" i="14"/>
  <c r="I156" i="14"/>
  <c r="G213" i="14"/>
  <c r="J213" i="14" s="1"/>
  <c r="I228" i="14"/>
  <c r="J228" i="14"/>
  <c r="I257" i="14"/>
  <c r="G56" i="14"/>
  <c r="J56" i="14" s="1"/>
  <c r="J63" i="14"/>
  <c r="G67" i="14"/>
  <c r="J67" i="14" s="1"/>
  <c r="G88" i="14"/>
  <c r="J88" i="14" s="1"/>
  <c r="G92" i="14"/>
  <c r="J92" i="14" s="1"/>
  <c r="G103" i="14"/>
  <c r="J103" i="14" s="1"/>
  <c r="G110" i="14"/>
  <c r="J110" i="14" s="1"/>
  <c r="I126" i="14"/>
  <c r="I179" i="14"/>
  <c r="G179" i="14"/>
  <c r="J179" i="14" s="1"/>
  <c r="I186" i="14"/>
  <c r="J186" i="14"/>
  <c r="J193" i="14"/>
  <c r="I198" i="14"/>
  <c r="J198" i="14"/>
  <c r="I229" i="14"/>
  <c r="G229" i="14"/>
  <c r="J229" i="14" s="1"/>
  <c r="I232" i="14"/>
  <c r="J232" i="14"/>
  <c r="I239" i="14"/>
  <c r="J239" i="14"/>
  <c r="I246" i="14"/>
  <c r="I148" i="14"/>
  <c r="I154" i="14"/>
  <c r="I182" i="14"/>
  <c r="J182" i="14"/>
  <c r="I199" i="14"/>
  <c r="G199" i="14"/>
  <c r="J199" i="14" s="1"/>
  <c r="I222" i="14"/>
  <c r="G233" i="14"/>
  <c r="J233" i="14" s="1"/>
  <c r="G240" i="14"/>
  <c r="J240" i="14" s="1"/>
  <c r="J244" i="14"/>
  <c r="I247" i="14"/>
  <c r="G247" i="14"/>
  <c r="J247" i="14" s="1"/>
  <c r="F135" i="14"/>
  <c r="F266" i="14" s="1"/>
  <c r="I130" i="14"/>
  <c r="J130" i="14"/>
  <c r="G151" i="14"/>
  <c r="J151" i="14" s="1"/>
  <c r="G177" i="14"/>
  <c r="J177" i="14" s="1"/>
  <c r="I207" i="14"/>
  <c r="G207" i="14"/>
  <c r="J207" i="14" s="1"/>
  <c r="I218" i="14"/>
  <c r="G218" i="14"/>
  <c r="J218" i="14" s="1"/>
  <c r="J118" i="14"/>
  <c r="I133" i="14"/>
  <c r="J133" i="14"/>
  <c r="G180" i="14"/>
  <c r="J180" i="14" s="1"/>
  <c r="I183" i="14"/>
  <c r="G187" i="14"/>
  <c r="J187" i="14" s="1"/>
  <c r="J202" i="14"/>
  <c r="J208" i="14"/>
  <c r="E208" i="14"/>
  <c r="I208" i="14" s="1"/>
  <c r="J211" i="14"/>
  <c r="E211" i="14"/>
  <c r="I211" i="14" s="1"/>
  <c r="I248" i="14"/>
  <c r="J248" i="14"/>
  <c r="I149" i="14"/>
  <c r="I164" i="14"/>
  <c r="J164" i="14"/>
  <c r="I195" i="14"/>
  <c r="J195" i="14"/>
  <c r="I215" i="14"/>
  <c r="G215" i="14"/>
  <c r="J215" i="14" s="1"/>
  <c r="I219" i="14"/>
  <c r="J219" i="14"/>
  <c r="I249" i="14"/>
  <c r="G249" i="14"/>
  <c r="J249" i="14" s="1"/>
  <c r="I256" i="14"/>
  <c r="I264" i="14"/>
  <c r="I155" i="14"/>
  <c r="J156" i="14"/>
  <c r="I204" i="14"/>
  <c r="I242" i="14"/>
  <c r="I243" i="14"/>
  <c r="G152" i="14"/>
  <c r="J152" i="14" s="1"/>
  <c r="G169" i="14"/>
  <c r="J169" i="14" s="1"/>
  <c r="G176" i="14"/>
  <c r="J176" i="14" s="1"/>
  <c r="G185" i="14"/>
  <c r="J185" i="14" s="1"/>
  <c r="E202" i="14"/>
  <c r="I202" i="14" s="1"/>
  <c r="G222" i="14"/>
  <c r="J222" i="14" s="1"/>
  <c r="E225" i="14"/>
  <c r="I225" i="14" s="1"/>
  <c r="G255" i="14"/>
  <c r="J255" i="14" s="1"/>
  <c r="G259" i="14"/>
  <c r="J259" i="14" s="1"/>
  <c r="J154" i="14"/>
  <c r="G217" i="14"/>
  <c r="J217" i="14" s="1"/>
  <c r="G157" i="14"/>
  <c r="J157" i="14" s="1"/>
  <c r="G168" i="14"/>
  <c r="J168" i="14" s="1"/>
  <c r="G175" i="14"/>
  <c r="J175" i="14" s="1"/>
  <c r="G184" i="14"/>
  <c r="J184" i="14" s="1"/>
  <c r="G221" i="14"/>
  <c r="J221" i="14" s="1"/>
  <c r="G258" i="14"/>
  <c r="J258" i="14" s="1"/>
  <c r="J137" i="14"/>
  <c r="J163" i="14"/>
  <c r="J194" i="14"/>
  <c r="J205" i="14"/>
  <c r="J227" i="14"/>
  <c r="J231" i="14"/>
  <c r="J238" i="14"/>
  <c r="J251" i="14"/>
  <c r="H284" i="13"/>
  <c r="F75" i="13"/>
  <c r="I66" i="13"/>
  <c r="E73" i="13"/>
  <c r="I73" i="13" s="1"/>
  <c r="K140" i="13"/>
  <c r="K144" i="13" s="1"/>
  <c r="E162" i="13"/>
  <c r="I162" i="13" s="1"/>
  <c r="E261" i="13"/>
  <c r="I261" i="13" s="1"/>
  <c r="J261" i="13"/>
  <c r="J150" i="13"/>
  <c r="J214" i="13" s="1"/>
  <c r="K210" i="13"/>
  <c r="K214" i="13" s="1"/>
  <c r="E148" i="13"/>
  <c r="I148" i="13" s="1"/>
  <c r="J11" i="13"/>
  <c r="J75" i="13" s="1"/>
  <c r="I45" i="13"/>
  <c r="J81" i="13"/>
  <c r="J225" i="13"/>
  <c r="J284" i="13" s="1"/>
  <c r="E225" i="13"/>
  <c r="I225" i="13" s="1"/>
  <c r="I40" i="13"/>
  <c r="G65" i="13"/>
  <c r="H65" i="13" s="1"/>
  <c r="J65" i="13" s="1"/>
  <c r="I65" i="13"/>
  <c r="K71" i="13"/>
  <c r="K75" i="13" s="1"/>
  <c r="L76" i="13" s="1"/>
  <c r="J73" i="13"/>
  <c r="I108" i="13"/>
  <c r="J163" i="13"/>
  <c r="J52" i="13"/>
  <c r="E170" i="13"/>
  <c r="I170" i="13" s="1"/>
  <c r="J226" i="13"/>
  <c r="J51" i="13"/>
  <c r="G109" i="13"/>
  <c r="H109" i="13" s="1"/>
  <c r="J109" i="13" s="1"/>
  <c r="I109" i="13"/>
  <c r="H144" i="13"/>
  <c r="J153" i="13"/>
  <c r="E166" i="13"/>
  <c r="I166" i="13" s="1"/>
  <c r="H168" i="13"/>
  <c r="J168" i="13" s="1"/>
  <c r="F214" i="13"/>
  <c r="E220" i="13"/>
  <c r="I220" i="13" s="1"/>
  <c r="J283" i="13"/>
  <c r="J287" i="13" s="1"/>
  <c r="F144" i="13"/>
  <c r="K280" i="13"/>
  <c r="K284" i="13" s="1"/>
  <c r="F284" i="13"/>
  <c r="H27" i="12"/>
  <c r="F27" i="12"/>
  <c r="J27" i="12" s="1"/>
  <c r="E27" i="12"/>
  <c r="I27" i="12" s="1"/>
  <c r="D27" i="12"/>
  <c r="F26" i="12"/>
  <c r="D26" i="12"/>
  <c r="H26" i="12" s="1"/>
  <c r="F25" i="12"/>
  <c r="J25" i="12" s="1"/>
  <c r="E25" i="12"/>
  <c r="I25" i="12" s="1"/>
  <c r="D25" i="12"/>
  <c r="H25" i="12" s="1"/>
  <c r="H24" i="12"/>
  <c r="J24" i="12" s="1"/>
  <c r="E24" i="12"/>
  <c r="I24" i="12" s="1"/>
  <c r="F23" i="12"/>
  <c r="E23" i="12" s="1"/>
  <c r="I23" i="12" s="1"/>
  <c r="D23" i="12"/>
  <c r="H23" i="12" s="1"/>
  <c r="J23" i="12" s="1"/>
  <c r="H22" i="12"/>
  <c r="F22" i="12"/>
  <c r="E22" i="12" s="1"/>
  <c r="I22" i="12" s="1"/>
  <c r="D22" i="12"/>
  <c r="H21" i="12"/>
  <c r="J21" i="12" s="1"/>
  <c r="F21" i="12"/>
  <c r="E21" i="12"/>
  <c r="I21" i="12" s="1"/>
  <c r="D21" i="12"/>
  <c r="F20" i="12"/>
  <c r="E20" i="12" s="1"/>
  <c r="I20" i="12" s="1"/>
  <c r="D20" i="12"/>
  <c r="H20" i="12" s="1"/>
  <c r="J20" i="12" s="1"/>
  <c r="I19" i="12"/>
  <c r="H19" i="12"/>
  <c r="F19" i="12"/>
  <c r="J19" i="12" s="1"/>
  <c r="E19" i="12"/>
  <c r="D19" i="12"/>
  <c r="H17" i="12"/>
  <c r="J17" i="12" s="1"/>
  <c r="E17" i="12"/>
  <c r="I17" i="12" s="1"/>
  <c r="I16" i="12"/>
  <c r="H16" i="12"/>
  <c r="J16" i="12" s="1"/>
  <c r="E16" i="12"/>
  <c r="E15" i="12"/>
  <c r="I15" i="12" s="1"/>
  <c r="D15" i="12"/>
  <c r="H15" i="12" s="1"/>
  <c r="J15" i="12" s="1"/>
  <c r="H14" i="12"/>
  <c r="F14" i="12"/>
  <c r="J14" i="12" s="1"/>
  <c r="D13" i="12"/>
  <c r="H13" i="12" s="1"/>
  <c r="J13" i="12" s="1"/>
  <c r="J11" i="12"/>
  <c r="E11" i="12"/>
  <c r="I11" i="12" s="1"/>
  <c r="I10" i="12"/>
  <c r="H10" i="12"/>
  <c r="J10" i="12" s="1"/>
  <c r="E10" i="12"/>
  <c r="J9" i="12"/>
  <c r="H9" i="12"/>
  <c r="E9" i="12"/>
  <c r="I9" i="12" s="1"/>
  <c r="H8" i="12"/>
  <c r="J8" i="12" s="1"/>
  <c r="F8" i="12"/>
  <c r="F28" i="12" s="1"/>
  <c r="E8" i="12"/>
  <c r="I8" i="12" s="1"/>
  <c r="D7" i="12"/>
  <c r="H7" i="12" s="1"/>
  <c r="A7" i="12"/>
  <c r="A8" i="12" s="1"/>
  <c r="A9" i="12" s="1"/>
  <c r="A10" i="12" s="1"/>
  <c r="A11" i="12" s="1"/>
  <c r="A13" i="12" s="1"/>
  <c r="A14" i="12" s="1"/>
  <c r="A15" i="12" s="1"/>
  <c r="A16" i="12" s="1"/>
  <c r="A17" i="12" s="1"/>
  <c r="A19" i="12" s="1"/>
  <c r="A20" i="12" s="1"/>
  <c r="A21" i="12" s="1"/>
  <c r="A22" i="12" s="1"/>
  <c r="A23" i="12" s="1"/>
  <c r="A24" i="12" s="1"/>
  <c r="A25" i="12" s="1"/>
  <c r="A26" i="12" s="1"/>
  <c r="A27" i="12" s="1"/>
  <c r="J44" i="11"/>
  <c r="H44" i="11"/>
  <c r="E44" i="11"/>
  <c r="I44" i="11" s="1"/>
  <c r="J42" i="11"/>
  <c r="H42" i="11"/>
  <c r="E42" i="11"/>
  <c r="I42" i="11" s="1"/>
  <c r="H40" i="11"/>
  <c r="F40" i="11"/>
  <c r="J40" i="11" s="1"/>
  <c r="J39" i="11"/>
  <c r="I39" i="11"/>
  <c r="H39" i="11"/>
  <c r="F39" i="11"/>
  <c r="E39" i="11"/>
  <c r="H38" i="11"/>
  <c r="J38" i="11" s="1"/>
  <c r="E38" i="11"/>
  <c r="I38" i="11" s="1"/>
  <c r="D38" i="11"/>
  <c r="H37" i="11"/>
  <c r="F37" i="11"/>
  <c r="E37" i="11" s="1"/>
  <c r="J35" i="11"/>
  <c r="H35" i="11"/>
  <c r="E35" i="11"/>
  <c r="I35" i="11" s="1"/>
  <c r="H33" i="11"/>
  <c r="J33" i="11" s="1"/>
  <c r="E33" i="11"/>
  <c r="I33" i="11" s="1"/>
  <c r="H32" i="11"/>
  <c r="J32" i="11" s="1"/>
  <c r="E32" i="11"/>
  <c r="I32" i="11" s="1"/>
  <c r="I31" i="11"/>
  <c r="E31" i="11"/>
  <c r="D31" i="11"/>
  <c r="H31" i="11" s="1"/>
  <c r="J31" i="11" s="1"/>
  <c r="H30" i="11"/>
  <c r="J30" i="11" s="1"/>
  <c r="E30" i="11"/>
  <c r="I30" i="11" s="1"/>
  <c r="J29" i="11"/>
  <c r="H29" i="11"/>
  <c r="E29" i="11"/>
  <c r="I29" i="11" s="1"/>
  <c r="D29" i="11"/>
  <c r="J28" i="11"/>
  <c r="H28" i="11"/>
  <c r="F28" i="11"/>
  <c r="E28" i="11" s="1"/>
  <c r="I28" i="11" s="1"/>
  <c r="I27" i="11"/>
  <c r="H27" i="11"/>
  <c r="F27" i="11"/>
  <c r="J27" i="11" s="1"/>
  <c r="E27" i="11"/>
  <c r="J25" i="11"/>
  <c r="H25" i="11"/>
  <c r="E25" i="11"/>
  <c r="I25" i="11" s="1"/>
  <c r="D23" i="11"/>
  <c r="H23" i="11" s="1"/>
  <c r="J23" i="11" s="1"/>
  <c r="I21" i="11"/>
  <c r="E21" i="11"/>
  <c r="D21" i="11"/>
  <c r="H21" i="11" s="1"/>
  <c r="J21" i="11" s="1"/>
  <c r="H20" i="11"/>
  <c r="J20" i="11" s="1"/>
  <c r="E20" i="11"/>
  <c r="I20" i="11" s="1"/>
  <c r="D20" i="11"/>
  <c r="D19" i="11"/>
  <c r="E19" i="11" s="1"/>
  <c r="I19" i="11" s="1"/>
  <c r="I16" i="11"/>
  <c r="H16" i="11"/>
  <c r="J16" i="11" s="1"/>
  <c r="E16" i="11"/>
  <c r="I14" i="11"/>
  <c r="H14" i="11"/>
  <c r="J14" i="11" s="1"/>
  <c r="E14" i="11"/>
  <c r="D12" i="11"/>
  <c r="E12" i="11" s="1"/>
  <c r="I12" i="11" s="1"/>
  <c r="D11" i="11"/>
  <c r="H11" i="11" s="1"/>
  <c r="J11" i="11" s="1"/>
  <c r="I10" i="11"/>
  <c r="E10" i="11"/>
  <c r="D10" i="11"/>
  <c r="H10" i="11" s="1"/>
  <c r="J10" i="11" s="1"/>
  <c r="H7" i="11"/>
  <c r="F7" i="11"/>
  <c r="F45" i="11" s="1"/>
  <c r="A7" i="11"/>
  <c r="A10" i="11" s="1"/>
  <c r="A11" i="11" s="1"/>
  <c r="A12" i="11" s="1"/>
  <c r="A14" i="11" s="1"/>
  <c r="A16" i="11" s="1"/>
  <c r="A19" i="11" s="1"/>
  <c r="A20" i="11" s="1"/>
  <c r="A21" i="11" s="1"/>
  <c r="A23" i="11" s="1"/>
  <c r="A25" i="11" s="1"/>
  <c r="A27" i="11" s="1"/>
  <c r="A28" i="11" s="1"/>
  <c r="A29" i="11" s="1"/>
  <c r="A30" i="11" s="1"/>
  <c r="A31" i="11" s="1"/>
  <c r="A32" i="11" s="1"/>
  <c r="A33" i="11" s="1"/>
  <c r="A35" i="11" s="1"/>
  <c r="A37" i="11" s="1"/>
  <c r="A38" i="11" s="1"/>
  <c r="A39" i="11" s="1"/>
  <c r="A40" i="11" s="1"/>
  <c r="A41" i="11" s="1"/>
  <c r="A42" i="11" s="1"/>
  <c r="A44" i="11" s="1"/>
  <c r="J73" i="14" l="1"/>
  <c r="I221" i="14"/>
  <c r="I184" i="14"/>
  <c r="I180" i="14"/>
  <c r="I233" i="14"/>
  <c r="I213" i="14"/>
  <c r="I41" i="14"/>
  <c r="I165" i="14"/>
  <c r="I188" i="14"/>
  <c r="I83" i="14"/>
  <c r="I187" i="14"/>
  <c r="I258" i="14"/>
  <c r="I217" i="14"/>
  <c r="I176" i="14"/>
  <c r="I169" i="14"/>
  <c r="I216" i="14"/>
  <c r="I175" i="14"/>
  <c r="I92" i="14"/>
  <c r="I178" i="14"/>
  <c r="I88" i="14"/>
  <c r="I110" i="14"/>
  <c r="I68" i="14"/>
  <c r="I71" i="14"/>
  <c r="H265" i="14"/>
  <c r="I157" i="14"/>
  <c r="I152" i="14"/>
  <c r="I56" i="14"/>
  <c r="I67" i="14"/>
  <c r="I35" i="14"/>
  <c r="I255" i="14"/>
  <c r="J265" i="14"/>
  <c r="I177" i="14"/>
  <c r="I89" i="14"/>
  <c r="I78" i="14"/>
  <c r="G114" i="14"/>
  <c r="J114" i="14" s="1"/>
  <c r="I115" i="14"/>
  <c r="G115" i="14"/>
  <c r="J115" i="14" s="1"/>
  <c r="I259" i="14"/>
  <c r="I153" i="14"/>
  <c r="G153" i="14"/>
  <c r="I112" i="14"/>
  <c r="G112" i="14"/>
  <c r="J112" i="14" s="1"/>
  <c r="J135" i="14" s="1"/>
  <c r="G113" i="14"/>
  <c r="J113" i="14" s="1"/>
  <c r="I151" i="14"/>
  <c r="I240" i="14"/>
  <c r="I192" i="14"/>
  <c r="I168" i="14"/>
  <c r="I60" i="14"/>
  <c r="I104" i="14"/>
  <c r="I103" i="14"/>
  <c r="F285" i="13"/>
  <c r="F286" i="13" s="1"/>
  <c r="K285" i="13"/>
  <c r="H75" i="13"/>
  <c r="J144" i="13"/>
  <c r="J285" i="13" s="1"/>
  <c r="J286" i="13" s="1"/>
  <c r="H214" i="13"/>
  <c r="H285" i="13" s="1"/>
  <c r="H286" i="13" s="1"/>
  <c r="J26" i="12"/>
  <c r="J7" i="12"/>
  <c r="G4" i="10"/>
  <c r="M4" i="10" s="1"/>
  <c r="N4" i="10" s="1"/>
  <c r="H19" i="11"/>
  <c r="J19" i="11" s="1"/>
  <c r="E11" i="11"/>
  <c r="I11" i="11" s="1"/>
  <c r="E23" i="11"/>
  <c r="I23" i="11" s="1"/>
  <c r="E26" i="12"/>
  <c r="I26" i="12" s="1"/>
  <c r="J37" i="11"/>
  <c r="J7" i="11"/>
  <c r="E7" i="12"/>
  <c r="I7" i="12" s="1"/>
  <c r="E14" i="12"/>
  <c r="I14" i="12" s="1"/>
  <c r="J22" i="12"/>
  <c r="H12" i="11"/>
  <c r="J12" i="11" s="1"/>
  <c r="E7" i="11"/>
  <c r="I7" i="11" s="1"/>
  <c r="E13" i="12"/>
  <c r="I13" i="12" s="1"/>
  <c r="J4" i="10" l="1"/>
  <c r="H4" i="10"/>
  <c r="I114" i="14"/>
  <c r="I113" i="14"/>
  <c r="H135" i="14"/>
  <c r="J153" i="14"/>
  <c r="J200" i="14" s="1"/>
  <c r="J266" i="14" s="1"/>
  <c r="H266" i="14"/>
  <c r="J28" i="12"/>
  <c r="J45" i="11"/>
  <c r="H45" i="11"/>
  <c r="P4" i="10" l="1"/>
  <c r="Q4" i="10" s="1"/>
  <c r="K4" i="10"/>
  <c r="E7" i="6" l="1"/>
  <c r="F379" i="6"/>
  <c r="F448" i="6"/>
  <c r="F417" i="6"/>
  <c r="F587" i="9" l="1"/>
  <c r="E448" i="6"/>
  <c r="I448" i="6" s="1"/>
  <c r="F549" i="9"/>
  <c r="F393" i="6"/>
  <c r="J417" i="6"/>
  <c r="F478" i="9"/>
  <c r="J379" i="6"/>
  <c r="H502" i="9"/>
  <c r="F489" i="9"/>
  <c r="F485" i="9"/>
  <c r="F484" i="9"/>
  <c r="F483" i="9"/>
  <c r="H307" i="6"/>
  <c r="F307" i="6"/>
  <c r="E312" i="6"/>
  <c r="D313" i="6"/>
  <c r="D312" i="6"/>
  <c r="D308" i="6"/>
  <c r="D309" i="6"/>
  <c r="D310" i="6"/>
  <c r="D311" i="6"/>
  <c r="F403" i="9"/>
  <c r="H443" i="9"/>
  <c r="F349" i="6"/>
  <c r="E349" i="6" s="1"/>
  <c r="I349" i="6" s="1"/>
  <c r="D307" i="6"/>
  <c r="J349" i="6" l="1"/>
  <c r="J448" i="6"/>
  <c r="E417" i="6"/>
  <c r="I417" i="6" s="1"/>
  <c r="E379" i="6"/>
  <c r="I379" i="6" s="1"/>
  <c r="F318" i="9" l="1"/>
  <c r="F314" i="9"/>
  <c r="F298" i="9"/>
  <c r="F300" i="9"/>
  <c r="F296" i="9"/>
  <c r="F271" i="6"/>
  <c r="J271" i="6" s="1"/>
  <c r="F185" i="6"/>
  <c r="E185" i="6" s="1"/>
  <c r="F254" i="9"/>
  <c r="F151" i="6"/>
  <c r="G161" i="6"/>
  <c r="G160" i="6"/>
  <c r="G151" i="6"/>
  <c r="G152" i="6"/>
  <c r="G153" i="6"/>
  <c r="G154" i="6"/>
  <c r="G155" i="6"/>
  <c r="G156" i="6"/>
  <c r="G157" i="6"/>
  <c r="F102" i="6"/>
  <c r="F164" i="9"/>
  <c r="F121" i="6"/>
  <c r="E121" i="6" s="1"/>
  <c r="I121" i="6" s="1"/>
  <c r="F81" i="6"/>
  <c r="E81" i="6" s="1"/>
  <c r="I81" i="6" s="1"/>
  <c r="F108" i="9"/>
  <c r="E87" i="9"/>
  <c r="H584" i="9"/>
  <c r="F571" i="9"/>
  <c r="H569" i="9"/>
  <c r="J121" i="6" l="1"/>
  <c r="E271" i="6"/>
  <c r="I271" i="6" s="1"/>
  <c r="I185" i="6"/>
  <c r="J185" i="6"/>
  <c r="J81" i="6"/>
  <c r="H541" i="9" l="1"/>
  <c r="F535" i="9"/>
  <c r="F502" i="9"/>
  <c r="F443" i="9"/>
  <c r="F408" i="9"/>
  <c r="H392" i="9"/>
  <c r="F304" i="9"/>
  <c r="F294" i="9"/>
  <c r="H291" i="9"/>
  <c r="F291" i="9"/>
  <c r="F288" i="9"/>
  <c r="F286" i="9"/>
  <c r="F244" i="9"/>
  <c r="H244" i="9"/>
  <c r="F215" i="9"/>
  <c r="F156" i="9" l="1"/>
  <c r="H156" i="9"/>
  <c r="F144" i="9"/>
  <c r="F142" i="9"/>
  <c r="F141" i="9"/>
  <c r="H117" i="9"/>
  <c r="H92" i="9"/>
  <c r="F65" i="9"/>
  <c r="F64" i="9"/>
  <c r="F54" i="9"/>
  <c r="H43" i="9"/>
  <c r="E28" i="9"/>
  <c r="I28" i="9" s="1"/>
  <c r="H26" i="9"/>
  <c r="H7" i="9"/>
  <c r="H592" i="9"/>
  <c r="H593" i="9" s="1"/>
  <c r="H589" i="9"/>
  <c r="H588" i="9"/>
  <c r="H587" i="9"/>
  <c r="H583" i="9"/>
  <c r="H581" i="9"/>
  <c r="H580" i="9"/>
  <c r="H578" i="9"/>
  <c r="H576" i="9"/>
  <c r="H575" i="9"/>
  <c r="H574" i="9"/>
  <c r="H573" i="9"/>
  <c r="H571" i="9"/>
  <c r="H567" i="9"/>
  <c r="H566" i="9"/>
  <c r="H565" i="9"/>
  <c r="H563" i="9"/>
  <c r="H561" i="9"/>
  <c r="H559" i="9"/>
  <c r="H558" i="9"/>
  <c r="H555" i="9"/>
  <c r="H554" i="9"/>
  <c r="H553" i="9"/>
  <c r="H552" i="9"/>
  <c r="H551" i="9"/>
  <c r="H547" i="9"/>
  <c r="H546" i="9"/>
  <c r="H545" i="9"/>
  <c r="H544" i="9"/>
  <c r="H540" i="9"/>
  <c r="H538" i="9"/>
  <c r="H537" i="9"/>
  <c r="H535" i="9"/>
  <c r="H534" i="9"/>
  <c r="H532" i="9"/>
  <c r="H531" i="9"/>
  <c r="H530" i="9"/>
  <c r="H529" i="9"/>
  <c r="H528" i="9"/>
  <c r="H526" i="9"/>
  <c r="J526" i="9" s="1"/>
  <c r="H522" i="9"/>
  <c r="H521" i="9"/>
  <c r="H520" i="9"/>
  <c r="H518" i="9"/>
  <c r="H516" i="9"/>
  <c r="H515" i="9"/>
  <c r="H513" i="9"/>
  <c r="H511" i="9"/>
  <c r="H510" i="9"/>
  <c r="H507" i="9"/>
  <c r="H506" i="9"/>
  <c r="H501" i="9"/>
  <c r="H499" i="9"/>
  <c r="H497" i="9"/>
  <c r="H495" i="9"/>
  <c r="H494" i="9"/>
  <c r="H493" i="9"/>
  <c r="H492" i="9"/>
  <c r="H485" i="9"/>
  <c r="H484" i="9"/>
  <c r="H483" i="9"/>
  <c r="H482" i="9"/>
  <c r="H481" i="9"/>
  <c r="H479" i="9"/>
  <c r="H477" i="9"/>
  <c r="H475" i="9"/>
  <c r="H474" i="9"/>
  <c r="H471" i="9"/>
  <c r="H470" i="9"/>
  <c r="H469" i="9"/>
  <c r="H468" i="9"/>
  <c r="H467" i="9"/>
  <c r="H462" i="9"/>
  <c r="H460" i="9"/>
  <c r="H455" i="9"/>
  <c r="H454" i="9"/>
  <c r="H453" i="9"/>
  <c r="H452" i="9"/>
  <c r="H451" i="9"/>
  <c r="H450" i="9"/>
  <c r="H449" i="9"/>
  <c r="H445" i="9"/>
  <c r="H442" i="9"/>
  <c r="H440" i="9"/>
  <c r="H438" i="9"/>
  <c r="H436" i="9"/>
  <c r="H435" i="9"/>
  <c r="H434" i="9"/>
  <c r="H433" i="9"/>
  <c r="H432" i="9"/>
  <c r="H431" i="9"/>
  <c r="H430" i="9"/>
  <c r="H429" i="9"/>
  <c r="H428" i="9"/>
  <c r="H427" i="9"/>
  <c r="H426" i="9"/>
  <c r="H425" i="9"/>
  <c r="H424" i="9"/>
  <c r="H423" i="9"/>
  <c r="H422" i="9"/>
  <c r="H421" i="9"/>
  <c r="H419" i="9"/>
  <c r="H418" i="9"/>
  <c r="H416" i="9"/>
  <c r="H415" i="9"/>
  <c r="H414" i="9"/>
  <c r="H413" i="9"/>
  <c r="H412" i="9"/>
  <c r="H411" i="9"/>
  <c r="H409" i="9"/>
  <c r="H408" i="9"/>
  <c r="H407" i="9"/>
  <c r="H406" i="9"/>
  <c r="H405" i="9"/>
  <c r="H396" i="9"/>
  <c r="H391" i="9"/>
  <c r="H390" i="9"/>
  <c r="H389" i="9"/>
  <c r="H388" i="9"/>
  <c r="H387" i="9"/>
  <c r="H386" i="9"/>
  <c r="H385" i="9"/>
  <c r="H384" i="9"/>
  <c r="H383" i="9"/>
  <c r="H382" i="9"/>
  <c r="H380" i="9"/>
  <c r="H377" i="9"/>
  <c r="H375" i="9"/>
  <c r="H373" i="9"/>
  <c r="H371" i="9"/>
  <c r="H370" i="9"/>
  <c r="H367" i="9"/>
  <c r="H366" i="9"/>
  <c r="H365" i="9"/>
  <c r="H364" i="9"/>
  <c r="H363" i="9"/>
  <c r="H358" i="9"/>
  <c r="H356" i="9"/>
  <c r="H351" i="9"/>
  <c r="H350" i="9"/>
  <c r="H349" i="9"/>
  <c r="H348" i="9"/>
  <c r="H347" i="9"/>
  <c r="H346" i="9"/>
  <c r="H345" i="9"/>
  <c r="H339" i="9"/>
  <c r="J339" i="9" s="1"/>
  <c r="H343" i="9"/>
  <c r="H341" i="9"/>
  <c r="H338" i="9"/>
  <c r="H336" i="9"/>
  <c r="H335" i="9"/>
  <c r="H334" i="9"/>
  <c r="H332" i="9"/>
  <c r="H331" i="9"/>
  <c r="H330" i="9"/>
  <c r="H329" i="9"/>
  <c r="H328" i="9"/>
  <c r="H327" i="9"/>
  <c r="H326" i="9"/>
  <c r="H325" i="9"/>
  <c r="H324" i="9"/>
  <c r="H323" i="9"/>
  <c r="H322" i="9"/>
  <c r="H321" i="9"/>
  <c r="H320" i="9"/>
  <c r="H319" i="9"/>
  <c r="H318" i="9"/>
  <c r="H317" i="9"/>
  <c r="H315" i="9"/>
  <c r="H314" i="9"/>
  <c r="H312" i="9"/>
  <c r="H311" i="9"/>
  <c r="H310" i="9"/>
  <c r="H309" i="9"/>
  <c r="H308" i="9"/>
  <c r="H307" i="9"/>
  <c r="H305" i="9"/>
  <c r="H304" i="9"/>
  <c r="H303" i="9"/>
  <c r="H302" i="9"/>
  <c r="H301" i="9"/>
  <c r="H300" i="9"/>
  <c r="H299" i="9"/>
  <c r="H298" i="9"/>
  <c r="H289" i="9"/>
  <c r="H288" i="9"/>
  <c r="H296" i="9"/>
  <c r="H294" i="9"/>
  <c r="H292" i="9"/>
  <c r="H284" i="9"/>
  <c r="H283" i="9"/>
  <c r="H282" i="9"/>
  <c r="H281" i="9"/>
  <c r="H280" i="9"/>
  <c r="H279" i="9"/>
  <c r="H278" i="9"/>
  <c r="H277" i="9"/>
  <c r="H276" i="9"/>
  <c r="H275" i="9"/>
  <c r="H274" i="9"/>
  <c r="H273" i="9"/>
  <c r="H272" i="9"/>
  <c r="H270" i="9"/>
  <c r="H266" i="9"/>
  <c r="H264" i="9"/>
  <c r="H263" i="9"/>
  <c r="H254" i="9"/>
  <c r="H260" i="9"/>
  <c r="H259" i="9"/>
  <c r="H258" i="9"/>
  <c r="H257" i="9"/>
  <c r="H256" i="9"/>
  <c r="H252" i="9"/>
  <c r="H251" i="9"/>
  <c r="H250" i="9"/>
  <c r="H249" i="9"/>
  <c r="H248" i="9"/>
  <c r="H247" i="9"/>
  <c r="H243" i="9"/>
  <c r="H241" i="9"/>
  <c r="H239" i="9"/>
  <c r="H238" i="9"/>
  <c r="H237" i="9"/>
  <c r="H236" i="9"/>
  <c r="H235" i="9"/>
  <c r="H234" i="9"/>
  <c r="H233" i="9"/>
  <c r="H232" i="9"/>
  <c r="H231" i="9"/>
  <c r="H230" i="9"/>
  <c r="H229" i="9"/>
  <c r="H228" i="9"/>
  <c r="H227" i="9"/>
  <c r="H225" i="9"/>
  <c r="H224" i="9"/>
  <c r="H222" i="9"/>
  <c r="H221" i="9"/>
  <c r="H220" i="9"/>
  <c r="H219" i="9"/>
  <c r="H218" i="9"/>
  <c r="H217" i="9"/>
  <c r="H215" i="9"/>
  <c r="H214" i="9"/>
  <c r="H213" i="9"/>
  <c r="H212" i="9"/>
  <c r="H211" i="9"/>
  <c r="H210" i="9"/>
  <c r="H208" i="9"/>
  <c r="H206" i="9"/>
  <c r="H204" i="9"/>
  <c r="H202" i="9"/>
  <c r="H201" i="9"/>
  <c r="H200" i="9"/>
  <c r="H199" i="9"/>
  <c r="H198" i="9"/>
  <c r="H197" i="9"/>
  <c r="H196" i="9"/>
  <c r="H195" i="9"/>
  <c r="H194" i="9"/>
  <c r="H193" i="9"/>
  <c r="H191" i="9"/>
  <c r="H186" i="9"/>
  <c r="H185" i="9"/>
  <c r="H184" i="9"/>
  <c r="H183" i="9"/>
  <c r="H182" i="9"/>
  <c r="H181" i="9"/>
  <c r="H180" i="9"/>
  <c r="H177" i="9"/>
  <c r="H176" i="9"/>
  <c r="H174" i="9"/>
  <c r="H173" i="9"/>
  <c r="H170" i="9"/>
  <c r="H169" i="9"/>
  <c r="H168" i="9"/>
  <c r="H167" i="9"/>
  <c r="H166" i="9"/>
  <c r="H164" i="9"/>
  <c r="H162" i="9"/>
  <c r="H161" i="9"/>
  <c r="H160" i="9"/>
  <c r="H159" i="9"/>
  <c r="H155" i="9"/>
  <c r="H153" i="9"/>
  <c r="H152" i="9"/>
  <c r="H144" i="9"/>
  <c r="H142" i="9"/>
  <c r="H150" i="9"/>
  <c r="H149" i="9"/>
  <c r="H148" i="9"/>
  <c r="H147" i="9"/>
  <c r="H141" i="9"/>
  <c r="H139" i="9"/>
  <c r="H138" i="9"/>
  <c r="H137" i="9"/>
  <c r="H136" i="9"/>
  <c r="H135" i="9"/>
  <c r="H134" i="9"/>
  <c r="H132" i="9"/>
  <c r="H130" i="9"/>
  <c r="H129" i="9"/>
  <c r="H128" i="9"/>
  <c r="H125" i="9"/>
  <c r="H124" i="9"/>
  <c r="H121" i="9"/>
  <c r="H120" i="9"/>
  <c r="H118" i="9"/>
  <c r="H108" i="9"/>
  <c r="H114" i="9"/>
  <c r="H113" i="9"/>
  <c r="H112" i="9"/>
  <c r="H111" i="9"/>
  <c r="H110" i="9"/>
  <c r="H106" i="9"/>
  <c r="H101" i="9"/>
  <c r="H100" i="9"/>
  <c r="H99" i="9"/>
  <c r="H98" i="9"/>
  <c r="H97" i="9"/>
  <c r="H96" i="9"/>
  <c r="H95" i="9"/>
  <c r="H91" i="9"/>
  <c r="H89" i="9"/>
  <c r="H88" i="9"/>
  <c r="H87" i="9"/>
  <c r="H86" i="9"/>
  <c r="H85" i="9"/>
  <c r="H83" i="9"/>
  <c r="H82" i="9"/>
  <c r="H81" i="9"/>
  <c r="H79" i="9"/>
  <c r="H78" i="9"/>
  <c r="H77" i="9"/>
  <c r="H76" i="9"/>
  <c r="H75" i="9"/>
  <c r="H74" i="9"/>
  <c r="H73" i="9"/>
  <c r="H72" i="9"/>
  <c r="H71" i="9"/>
  <c r="H70" i="9"/>
  <c r="H69" i="9"/>
  <c r="H68" i="9"/>
  <c r="H67" i="9"/>
  <c r="H65" i="9"/>
  <c r="H64" i="9"/>
  <c r="H62" i="9"/>
  <c r="H61" i="9"/>
  <c r="H60" i="9"/>
  <c r="H59" i="9"/>
  <c r="H58" i="9"/>
  <c r="H57" i="9"/>
  <c r="H56" i="9"/>
  <c r="H46" i="9"/>
  <c r="H44" i="9"/>
  <c r="H54" i="9"/>
  <c r="H53" i="9"/>
  <c r="H52" i="9"/>
  <c r="H51" i="9"/>
  <c r="H50" i="9"/>
  <c r="H49" i="9"/>
  <c r="H48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5" i="9"/>
  <c r="H24" i="9"/>
  <c r="H23" i="9"/>
  <c r="H12" i="9"/>
  <c r="H13" i="9"/>
  <c r="H14" i="9"/>
  <c r="H15" i="9"/>
  <c r="H16" i="9"/>
  <c r="H17" i="9"/>
  <c r="H18" i="9"/>
  <c r="H19" i="9"/>
  <c r="H20" i="9"/>
  <c r="H21" i="9"/>
  <c r="H11" i="9"/>
  <c r="H10" i="9"/>
  <c r="J10" i="9" s="1"/>
  <c r="H8" i="9"/>
  <c r="I542" i="9"/>
  <c r="E339" i="9"/>
  <c r="I339" i="9" s="1"/>
  <c r="I202" i="9"/>
  <c r="I201" i="9"/>
  <c r="I200" i="9"/>
  <c r="I199" i="9"/>
  <c r="I198" i="9"/>
  <c r="I197" i="9"/>
  <c r="I196" i="9"/>
  <c r="I93" i="9"/>
  <c r="F576" i="9"/>
  <c r="F575" i="9"/>
  <c r="F545" i="9"/>
  <c r="F544" i="9"/>
  <c r="F532" i="9"/>
  <c r="F531" i="9"/>
  <c r="F495" i="9"/>
  <c r="F494" i="9"/>
  <c r="F453" i="9"/>
  <c r="F452" i="9"/>
  <c r="F451" i="9"/>
  <c r="F450" i="9"/>
  <c r="F449" i="9"/>
  <c r="F436" i="9"/>
  <c r="F435" i="9"/>
  <c r="F434" i="9"/>
  <c r="F433" i="9"/>
  <c r="F432" i="9"/>
  <c r="F431" i="9"/>
  <c r="F429" i="9"/>
  <c r="F428" i="9"/>
  <c r="F427" i="9"/>
  <c r="F426" i="9"/>
  <c r="F425" i="9"/>
  <c r="F424" i="9"/>
  <c r="F423" i="9"/>
  <c r="F422" i="9"/>
  <c r="F349" i="9"/>
  <c r="F348" i="9"/>
  <c r="F347" i="9"/>
  <c r="F346" i="9"/>
  <c r="F345" i="9"/>
  <c r="F332" i="9"/>
  <c r="F331" i="9"/>
  <c r="F330" i="9"/>
  <c r="F329" i="9"/>
  <c r="F328" i="9"/>
  <c r="F327" i="9"/>
  <c r="F325" i="9"/>
  <c r="F324" i="9"/>
  <c r="F323" i="9"/>
  <c r="F322" i="9"/>
  <c r="F321" i="9"/>
  <c r="F320" i="9"/>
  <c r="F319" i="9"/>
  <c r="F284" i="9"/>
  <c r="F283" i="9"/>
  <c r="F282" i="9"/>
  <c r="F281" i="9"/>
  <c r="F280" i="9"/>
  <c r="F279" i="9"/>
  <c r="F278" i="9"/>
  <c r="F277" i="9"/>
  <c r="F276" i="9"/>
  <c r="F275" i="9"/>
  <c r="F274" i="9"/>
  <c r="F250" i="9"/>
  <c r="F249" i="9"/>
  <c r="F248" i="9"/>
  <c r="F247" i="9"/>
  <c r="F239" i="9"/>
  <c r="F238" i="9"/>
  <c r="F237" i="9"/>
  <c r="F236" i="9"/>
  <c r="F234" i="9"/>
  <c r="F233" i="9"/>
  <c r="F232" i="9"/>
  <c r="F231" i="9"/>
  <c r="F230" i="9"/>
  <c r="F229" i="9"/>
  <c r="F228" i="9"/>
  <c r="F227" i="9"/>
  <c r="F186" i="9"/>
  <c r="F185" i="9"/>
  <c r="F184" i="9"/>
  <c r="F183" i="9"/>
  <c r="F182" i="9"/>
  <c r="F181" i="9"/>
  <c r="F180" i="9"/>
  <c r="F161" i="9"/>
  <c r="F160" i="9"/>
  <c r="F153" i="9"/>
  <c r="F129" i="9"/>
  <c r="F128" i="9"/>
  <c r="F125" i="9"/>
  <c r="F124" i="9"/>
  <c r="F99" i="9"/>
  <c r="F98" i="9"/>
  <c r="F97" i="9"/>
  <c r="F96" i="9"/>
  <c r="F95" i="9"/>
  <c r="F86" i="9"/>
  <c r="F85" i="9"/>
  <c r="F82" i="9"/>
  <c r="F83" i="9"/>
  <c r="F81" i="9"/>
  <c r="F79" i="9"/>
  <c r="F78" i="9"/>
  <c r="F77" i="9"/>
  <c r="F75" i="9"/>
  <c r="F74" i="9"/>
  <c r="F73" i="9"/>
  <c r="F72" i="9"/>
  <c r="F71" i="9"/>
  <c r="J522" i="9" l="1"/>
  <c r="G437" i="6"/>
  <c r="G436" i="6"/>
  <c r="G435" i="6"/>
  <c r="G434" i="6"/>
  <c r="G433" i="6"/>
  <c r="G432" i="6"/>
  <c r="G431" i="6"/>
  <c r="G399" i="6"/>
  <c r="G398" i="6"/>
  <c r="G397" i="6"/>
  <c r="G396" i="6"/>
  <c r="G395" i="6"/>
  <c r="G394" i="6"/>
  <c r="G393" i="6"/>
  <c r="G369" i="6"/>
  <c r="H369" i="6" s="1"/>
  <c r="G368" i="6"/>
  <c r="H368" i="6" s="1"/>
  <c r="G367" i="6"/>
  <c r="H367" i="6" s="1"/>
  <c r="G366" i="6"/>
  <c r="H366" i="6" s="1"/>
  <c r="G365" i="6"/>
  <c r="H365" i="6" s="1"/>
  <c r="G364" i="6"/>
  <c r="H364" i="6" s="1"/>
  <c r="G363" i="6"/>
  <c r="H363" i="6" s="1"/>
  <c r="G235" i="6"/>
  <c r="G234" i="6"/>
  <c r="G233" i="6"/>
  <c r="G232" i="6"/>
  <c r="G231" i="6"/>
  <c r="G230" i="6"/>
  <c r="G229" i="6"/>
  <c r="G108" i="6"/>
  <c r="G107" i="6"/>
  <c r="G106" i="6"/>
  <c r="G105" i="6"/>
  <c r="G104" i="6"/>
  <c r="G103" i="6"/>
  <c r="G102" i="6"/>
  <c r="G45" i="6"/>
  <c r="G44" i="6"/>
  <c r="G43" i="6"/>
  <c r="G42" i="6"/>
  <c r="G41" i="6"/>
  <c r="G40" i="6"/>
  <c r="G39" i="6"/>
  <c r="J26" i="9"/>
  <c r="E559" i="9"/>
  <c r="I559" i="9" s="1"/>
  <c r="H435" i="6" l="1"/>
  <c r="F411" i="6"/>
  <c r="D411" i="6"/>
  <c r="H411" i="6" s="1"/>
  <c r="F412" i="6"/>
  <c r="D412" i="6"/>
  <c r="H412" i="6" s="1"/>
  <c r="D244" i="6"/>
  <c r="H244" i="6" s="1"/>
  <c r="F13" i="6"/>
  <c r="F592" i="9"/>
  <c r="H591" i="9"/>
  <c r="F580" i="9"/>
  <c r="J581" i="9"/>
  <c r="E581" i="9"/>
  <c r="I581" i="9" s="1"/>
  <c r="E576" i="9"/>
  <c r="I576" i="9" s="1"/>
  <c r="E575" i="9"/>
  <c r="I575" i="9" s="1"/>
  <c r="F443" i="6"/>
  <c r="D443" i="6"/>
  <c r="H443" i="6" s="1"/>
  <c r="J589" i="9"/>
  <c r="E589" i="9"/>
  <c r="I589" i="9" s="1"/>
  <c r="J588" i="9"/>
  <c r="E588" i="9"/>
  <c r="I588" i="9" s="1"/>
  <c r="J584" i="9"/>
  <c r="E584" i="9"/>
  <c r="I584" i="9" s="1"/>
  <c r="J583" i="9"/>
  <c r="E583" i="9"/>
  <c r="I583" i="9" s="1"/>
  <c r="F578" i="9"/>
  <c r="J447" i="6"/>
  <c r="E447" i="6"/>
  <c r="I447" i="6" s="1"/>
  <c r="D442" i="6"/>
  <c r="E446" i="6"/>
  <c r="I446" i="6" s="1"/>
  <c r="E445" i="6"/>
  <c r="J444" i="6"/>
  <c r="E444" i="6"/>
  <c r="I444" i="6" s="1"/>
  <c r="J441" i="6"/>
  <c r="E441" i="6"/>
  <c r="I441" i="6" s="1"/>
  <c r="J440" i="6"/>
  <c r="E440" i="6"/>
  <c r="I440" i="6" s="1"/>
  <c r="J438" i="6"/>
  <c r="E438" i="6"/>
  <c r="I438" i="6" s="1"/>
  <c r="J439" i="6"/>
  <c r="E439" i="6"/>
  <c r="I439" i="6" s="1"/>
  <c r="F431" i="6"/>
  <c r="D437" i="6"/>
  <c r="H437" i="6" s="1"/>
  <c r="D436" i="6"/>
  <c r="H436" i="6" s="1"/>
  <c r="D435" i="6"/>
  <c r="D434" i="6"/>
  <c r="H434" i="6" s="1"/>
  <c r="D433" i="6"/>
  <c r="H433" i="6" s="1"/>
  <c r="D432" i="6"/>
  <c r="H432" i="6" s="1"/>
  <c r="D431" i="6"/>
  <c r="H431" i="6" s="1"/>
  <c r="F430" i="6"/>
  <c r="E430" i="6" s="1"/>
  <c r="I430" i="6" s="1"/>
  <c r="D430" i="6"/>
  <c r="H430" i="6" s="1"/>
  <c r="J574" i="9"/>
  <c r="E574" i="9"/>
  <c r="I574" i="9" s="1"/>
  <c r="J573" i="9"/>
  <c r="E573" i="9"/>
  <c r="I573" i="9" s="1"/>
  <c r="E437" i="6"/>
  <c r="E436" i="6"/>
  <c r="E435" i="6"/>
  <c r="E434" i="6"/>
  <c r="E433" i="6"/>
  <c r="E432" i="6"/>
  <c r="E431" i="6"/>
  <c r="F427" i="6"/>
  <c r="F423" i="6"/>
  <c r="J429" i="6"/>
  <c r="E429" i="6"/>
  <c r="I429" i="6" s="1"/>
  <c r="J428" i="6"/>
  <c r="E428" i="6"/>
  <c r="I428" i="6" s="1"/>
  <c r="J426" i="6"/>
  <c r="E426" i="6"/>
  <c r="I426" i="6" s="1"/>
  <c r="J425" i="6"/>
  <c r="E425" i="6"/>
  <c r="I425" i="6" s="1"/>
  <c r="J424" i="6"/>
  <c r="E424" i="6"/>
  <c r="I424" i="6" s="1"/>
  <c r="D422" i="6"/>
  <c r="F420" i="6"/>
  <c r="D420" i="6"/>
  <c r="H420" i="6" s="1"/>
  <c r="J567" i="9"/>
  <c r="E567" i="9"/>
  <c r="I567" i="9" s="1"/>
  <c r="J566" i="9"/>
  <c r="E566" i="9"/>
  <c r="I566" i="9" s="1"/>
  <c r="J565" i="9"/>
  <c r="E565" i="9"/>
  <c r="I565" i="9" s="1"/>
  <c r="J563" i="9"/>
  <c r="E563" i="9"/>
  <c r="I563" i="9" s="1"/>
  <c r="D562" i="9"/>
  <c r="J561" i="9"/>
  <c r="E561" i="9"/>
  <c r="I561" i="9" s="1"/>
  <c r="J559" i="9"/>
  <c r="J558" i="9"/>
  <c r="E558" i="9"/>
  <c r="I558" i="9" s="1"/>
  <c r="J421" i="6"/>
  <c r="E421" i="6"/>
  <c r="I421" i="6" s="1"/>
  <c r="J416" i="6"/>
  <c r="E416" i="6"/>
  <c r="I416" i="6" s="1"/>
  <c r="J555" i="9"/>
  <c r="E555" i="9"/>
  <c r="I555" i="9" s="1"/>
  <c r="J554" i="9"/>
  <c r="E554" i="9"/>
  <c r="I554" i="9" s="1"/>
  <c r="J553" i="9"/>
  <c r="E553" i="9"/>
  <c r="I553" i="9" s="1"/>
  <c r="J552" i="9"/>
  <c r="E552" i="9"/>
  <c r="I552" i="9" s="1"/>
  <c r="J551" i="9"/>
  <c r="E551" i="9"/>
  <c r="I551" i="9" s="1"/>
  <c r="H549" i="9"/>
  <c r="E545" i="9"/>
  <c r="I545" i="9" s="1"/>
  <c r="E415" i="6"/>
  <c r="I415" i="6" s="1"/>
  <c r="E414" i="6"/>
  <c r="F414" i="6" s="1"/>
  <c r="J413" i="6"/>
  <c r="E413" i="6"/>
  <c r="I413" i="6" s="1"/>
  <c r="J410" i="6"/>
  <c r="E410" i="6"/>
  <c r="I410" i="6" s="1"/>
  <c r="J409" i="6"/>
  <c r="E409" i="6"/>
  <c r="I409" i="6" s="1"/>
  <c r="J408" i="6"/>
  <c r="E408" i="6"/>
  <c r="I408" i="6" s="1"/>
  <c r="F537" i="9"/>
  <c r="E537" i="9" s="1"/>
  <c r="I537" i="9" s="1"/>
  <c r="E532" i="9"/>
  <c r="I532" i="9" s="1"/>
  <c r="F534" i="9"/>
  <c r="J407" i="6"/>
  <c r="E407" i="6"/>
  <c r="I407" i="6" s="1"/>
  <c r="J406" i="6"/>
  <c r="E406" i="6"/>
  <c r="I406" i="6" s="1"/>
  <c r="J405" i="6"/>
  <c r="E405" i="6"/>
  <c r="I405" i="6" s="1"/>
  <c r="E404" i="6"/>
  <c r="F404" i="6" s="1"/>
  <c r="E403" i="6"/>
  <c r="J402" i="6"/>
  <c r="E402" i="6"/>
  <c r="I402" i="6" s="1"/>
  <c r="J401" i="6"/>
  <c r="E401" i="6"/>
  <c r="I401" i="6" s="1"/>
  <c r="D392" i="6"/>
  <c r="H392" i="6" s="1"/>
  <c r="F392" i="6"/>
  <c r="J529" i="9"/>
  <c r="E529" i="9"/>
  <c r="I529" i="9" s="1"/>
  <c r="D399" i="6"/>
  <c r="H399" i="6" s="1"/>
  <c r="D398" i="6"/>
  <c r="H398" i="6" s="1"/>
  <c r="D397" i="6"/>
  <c r="H397" i="6" s="1"/>
  <c r="D396" i="6"/>
  <c r="H396" i="6" s="1"/>
  <c r="D395" i="6"/>
  <c r="H395" i="6" s="1"/>
  <c r="D394" i="6"/>
  <c r="H394" i="6" s="1"/>
  <c r="D393" i="6"/>
  <c r="H393" i="6" s="1"/>
  <c r="J400" i="6"/>
  <c r="E400" i="6"/>
  <c r="I400" i="6" s="1"/>
  <c r="E399" i="6"/>
  <c r="E398" i="6"/>
  <c r="E397" i="6"/>
  <c r="E396" i="6"/>
  <c r="E395" i="6"/>
  <c r="E394" i="6"/>
  <c r="E393" i="6"/>
  <c r="F389" i="6"/>
  <c r="F385" i="6"/>
  <c r="J391" i="6"/>
  <c r="E391" i="6"/>
  <c r="I391" i="6" s="1"/>
  <c r="J390" i="6"/>
  <c r="E390" i="6"/>
  <c r="I390" i="6" s="1"/>
  <c r="J388" i="6"/>
  <c r="E388" i="6"/>
  <c r="I388" i="6" s="1"/>
  <c r="J387" i="6"/>
  <c r="E387" i="6"/>
  <c r="I387" i="6" s="1"/>
  <c r="J386" i="6"/>
  <c r="E386" i="6"/>
  <c r="I386" i="6" s="1"/>
  <c r="J547" i="9"/>
  <c r="E547" i="9"/>
  <c r="I547" i="9" s="1"/>
  <c r="J546" i="9"/>
  <c r="E546" i="9"/>
  <c r="I546" i="9" s="1"/>
  <c r="K541" i="9"/>
  <c r="J541" i="9"/>
  <c r="J540" i="9"/>
  <c r="E540" i="9"/>
  <c r="I540" i="9" s="1"/>
  <c r="J538" i="9"/>
  <c r="E538" i="9"/>
  <c r="I538" i="9" s="1"/>
  <c r="J530" i="9"/>
  <c r="E530" i="9"/>
  <c r="I530" i="9" s="1"/>
  <c r="J528" i="9"/>
  <c r="E528" i="9"/>
  <c r="I528" i="9" s="1"/>
  <c r="D384" i="6"/>
  <c r="F382" i="6"/>
  <c r="D382" i="6"/>
  <c r="H382" i="6" s="1"/>
  <c r="J383" i="6"/>
  <c r="E383" i="6"/>
  <c r="I383" i="6" s="1"/>
  <c r="E522" i="9"/>
  <c r="I522" i="9" s="1"/>
  <c r="J521" i="9"/>
  <c r="E521" i="9"/>
  <c r="I521" i="9" s="1"/>
  <c r="J520" i="9"/>
  <c r="E520" i="9"/>
  <c r="I520" i="9" s="1"/>
  <c r="J518" i="9"/>
  <c r="E518" i="9"/>
  <c r="I518" i="9" s="1"/>
  <c r="D517" i="9"/>
  <c r="J516" i="9"/>
  <c r="E516" i="9"/>
  <c r="I516" i="9" s="1"/>
  <c r="J515" i="9"/>
  <c r="E515" i="9"/>
  <c r="I515" i="9" s="1"/>
  <c r="D514" i="9"/>
  <c r="J513" i="9"/>
  <c r="E513" i="9"/>
  <c r="I513" i="9" s="1"/>
  <c r="J511" i="9"/>
  <c r="E511" i="9"/>
  <c r="I511" i="9" s="1"/>
  <c r="J510" i="9"/>
  <c r="E510" i="9"/>
  <c r="I510" i="9" s="1"/>
  <c r="H384" i="6" l="1"/>
  <c r="J384" i="6" s="1"/>
  <c r="H422" i="6"/>
  <c r="J422" i="6" s="1"/>
  <c r="H442" i="6"/>
  <c r="H449" i="6" s="1"/>
  <c r="F556" i="9"/>
  <c r="F590" i="9"/>
  <c r="H418" i="6"/>
  <c r="F591" i="9"/>
  <c r="F593" i="9"/>
  <c r="J592" i="9"/>
  <c r="J593" i="9" s="1"/>
  <c r="I403" i="6"/>
  <c r="F403" i="6"/>
  <c r="E534" i="9"/>
  <c r="I534" i="9" s="1"/>
  <c r="H517" i="9"/>
  <c r="J517" i="9" s="1"/>
  <c r="E514" i="9"/>
  <c r="I514" i="9" s="1"/>
  <c r="H514" i="9"/>
  <c r="H556" i="9" s="1"/>
  <c r="E562" i="9"/>
  <c r="I562" i="9" s="1"/>
  <c r="H562" i="9"/>
  <c r="F446" i="6"/>
  <c r="J446" i="6" s="1"/>
  <c r="E443" i="6"/>
  <c r="I443" i="6" s="1"/>
  <c r="J412" i="6"/>
  <c r="F445" i="6"/>
  <c r="E412" i="6"/>
  <c r="I412" i="6" s="1"/>
  <c r="E592" i="9"/>
  <c r="I592" i="9" s="1"/>
  <c r="J580" i="9"/>
  <c r="E569" i="9"/>
  <c r="I569" i="9" s="1"/>
  <c r="J578" i="9"/>
  <c r="E580" i="9"/>
  <c r="I580" i="9" s="1"/>
  <c r="J443" i="6"/>
  <c r="J544" i="9"/>
  <c r="J587" i="9"/>
  <c r="E587" i="9"/>
  <c r="I587" i="9" s="1"/>
  <c r="E578" i="9"/>
  <c r="I578" i="9" s="1"/>
  <c r="I445" i="6"/>
  <c r="E422" i="6"/>
  <c r="I422" i="6" s="1"/>
  <c r="E442" i="6"/>
  <c r="I442" i="6" s="1"/>
  <c r="J427" i="6"/>
  <c r="J423" i="6"/>
  <c r="J575" i="9"/>
  <c r="J430" i="6"/>
  <c r="I431" i="6"/>
  <c r="J431" i="6"/>
  <c r="J576" i="9"/>
  <c r="I414" i="6"/>
  <c r="E423" i="6"/>
  <c r="I423" i="6" s="1"/>
  <c r="E427" i="6"/>
  <c r="I427" i="6" s="1"/>
  <c r="J569" i="9"/>
  <c r="J571" i="9"/>
  <c r="E571" i="9"/>
  <c r="I571" i="9" s="1"/>
  <c r="J545" i="9"/>
  <c r="J549" i="9"/>
  <c r="J420" i="6"/>
  <c r="E420" i="6"/>
  <c r="I420" i="6" s="1"/>
  <c r="J414" i="6"/>
  <c r="F415" i="6"/>
  <c r="E549" i="9"/>
  <c r="I549" i="9" s="1"/>
  <c r="J531" i="9"/>
  <c r="J411" i="6"/>
  <c r="E411" i="6"/>
  <c r="I411" i="6" s="1"/>
  <c r="J537" i="9"/>
  <c r="J535" i="9"/>
  <c r="I393" i="6"/>
  <c r="J392" i="6"/>
  <c r="J389" i="6"/>
  <c r="I404" i="6"/>
  <c r="J404" i="6"/>
  <c r="J385" i="6"/>
  <c r="J403" i="6"/>
  <c r="J534" i="9"/>
  <c r="E535" i="9"/>
  <c r="I535" i="9" s="1"/>
  <c r="E382" i="6"/>
  <c r="I382" i="6" s="1"/>
  <c r="E392" i="6"/>
  <c r="I392" i="6" s="1"/>
  <c r="E385" i="6"/>
  <c r="I385" i="6" s="1"/>
  <c r="E389" i="6"/>
  <c r="I389" i="6" s="1"/>
  <c r="J532" i="9"/>
  <c r="E526" i="9"/>
  <c r="I526" i="9" s="1"/>
  <c r="E544" i="9"/>
  <c r="I544" i="9" s="1"/>
  <c r="E524" i="9"/>
  <c r="I524" i="9" s="1"/>
  <c r="E531" i="9"/>
  <c r="I531" i="9" s="1"/>
  <c r="E541" i="9"/>
  <c r="I541" i="9" s="1"/>
  <c r="J382" i="6"/>
  <c r="E384" i="6"/>
  <c r="I384" i="6" s="1"/>
  <c r="E517" i="9"/>
  <c r="I517" i="9" s="1"/>
  <c r="J442" i="6" l="1"/>
  <c r="F449" i="6"/>
  <c r="F418" i="6"/>
  <c r="J562" i="9"/>
  <c r="H590" i="9"/>
  <c r="J590" i="9"/>
  <c r="K590" i="9"/>
  <c r="J449" i="6"/>
  <c r="J514" i="9"/>
  <c r="J556" i="9" s="1"/>
  <c r="J445" i="6"/>
  <c r="J415" i="6"/>
  <c r="J418" i="6" s="1"/>
  <c r="K556" i="9" l="1"/>
  <c r="F505" i="9"/>
  <c r="E505" i="9" s="1"/>
  <c r="I505" i="9" s="1"/>
  <c r="F375" i="6"/>
  <c r="D375" i="6"/>
  <c r="H375" i="6" s="1"/>
  <c r="J507" i="9"/>
  <c r="E507" i="9"/>
  <c r="I507" i="9" s="1"/>
  <c r="J506" i="9"/>
  <c r="E506" i="9"/>
  <c r="I506" i="9" s="1"/>
  <c r="H505" i="9"/>
  <c r="E378" i="6"/>
  <c r="I378" i="6" s="1"/>
  <c r="E377" i="6"/>
  <c r="F377" i="6" s="1"/>
  <c r="J376" i="6"/>
  <c r="E376" i="6"/>
  <c r="I376" i="6" s="1"/>
  <c r="E502" i="9"/>
  <c r="I502" i="9" s="1"/>
  <c r="K502" i="9"/>
  <c r="J501" i="9"/>
  <c r="E501" i="9"/>
  <c r="I501" i="9" s="1"/>
  <c r="J374" i="6"/>
  <c r="E374" i="6"/>
  <c r="I374" i="6" s="1"/>
  <c r="F499" i="9"/>
  <c r="F508" i="9" s="1"/>
  <c r="J373" i="6"/>
  <c r="E373" i="6"/>
  <c r="I373" i="6" s="1"/>
  <c r="J497" i="9"/>
  <c r="E497" i="9"/>
  <c r="I497" i="9" s="1"/>
  <c r="E495" i="9"/>
  <c r="I495" i="9" s="1"/>
  <c r="J372" i="6"/>
  <c r="E372" i="6"/>
  <c r="I372" i="6" s="1"/>
  <c r="J371" i="6"/>
  <c r="E371" i="6"/>
  <c r="I371" i="6" s="1"/>
  <c r="J370" i="6"/>
  <c r="E370" i="6"/>
  <c r="I370" i="6" s="1"/>
  <c r="F362" i="6"/>
  <c r="E362" i="6" s="1"/>
  <c r="I362" i="6" s="1"/>
  <c r="D362" i="6"/>
  <c r="H362" i="6" s="1"/>
  <c r="F363" i="6"/>
  <c r="E369" i="6"/>
  <c r="E368" i="6"/>
  <c r="E367" i="6"/>
  <c r="E366" i="6"/>
  <c r="E365" i="6"/>
  <c r="E364" i="6"/>
  <c r="E363" i="6"/>
  <c r="J493" i="9"/>
  <c r="E493" i="9"/>
  <c r="I493" i="9" s="1"/>
  <c r="J492" i="9"/>
  <c r="E492" i="9"/>
  <c r="I492" i="9" s="1"/>
  <c r="F359" i="6"/>
  <c r="E359" i="6" s="1"/>
  <c r="I359" i="6" s="1"/>
  <c r="F355" i="6"/>
  <c r="E487" i="9"/>
  <c r="I487" i="9" s="1"/>
  <c r="J361" i="6"/>
  <c r="E361" i="6"/>
  <c r="I361" i="6" s="1"/>
  <c r="J360" i="6"/>
  <c r="E360" i="6"/>
  <c r="I360" i="6" s="1"/>
  <c r="J358" i="6"/>
  <c r="E358" i="6"/>
  <c r="I358" i="6" s="1"/>
  <c r="J357" i="6"/>
  <c r="E357" i="6"/>
  <c r="I357" i="6" s="1"/>
  <c r="J356" i="6"/>
  <c r="E356" i="6"/>
  <c r="I356" i="6" s="1"/>
  <c r="H489" i="9"/>
  <c r="D354" i="6"/>
  <c r="F352" i="6"/>
  <c r="D352" i="6"/>
  <c r="H352" i="6" s="1"/>
  <c r="J353" i="6"/>
  <c r="E353" i="6"/>
  <c r="I353" i="6" s="1"/>
  <c r="J482" i="9"/>
  <c r="E482" i="9"/>
  <c r="I482" i="9" s="1"/>
  <c r="J481" i="9"/>
  <c r="E481" i="9"/>
  <c r="I481" i="9" s="1"/>
  <c r="J479" i="9"/>
  <c r="E479" i="9"/>
  <c r="I479" i="9" s="1"/>
  <c r="D478" i="9"/>
  <c r="J477" i="9"/>
  <c r="E477" i="9"/>
  <c r="I477" i="9" s="1"/>
  <c r="J475" i="9"/>
  <c r="E475" i="9"/>
  <c r="I475" i="9" s="1"/>
  <c r="J474" i="9"/>
  <c r="E474" i="9"/>
  <c r="I474" i="9" s="1"/>
  <c r="F465" i="9"/>
  <c r="D463" i="9"/>
  <c r="D346" i="6"/>
  <c r="H346" i="6" s="1"/>
  <c r="F346" i="6"/>
  <c r="F322" i="6"/>
  <c r="D322" i="6"/>
  <c r="H322" i="6" s="1"/>
  <c r="D439" i="9"/>
  <c r="F340" i="6"/>
  <c r="D340" i="6"/>
  <c r="H340" i="6" s="1"/>
  <c r="K443" i="9"/>
  <c r="E443" i="9"/>
  <c r="I443" i="9" s="1"/>
  <c r="D345" i="6"/>
  <c r="H345" i="6" s="1"/>
  <c r="D344" i="6"/>
  <c r="H344" i="6" s="1"/>
  <c r="F460" i="9"/>
  <c r="D459" i="9"/>
  <c r="D458" i="9"/>
  <c r="D457" i="9"/>
  <c r="E450" i="9"/>
  <c r="I450" i="9" s="1"/>
  <c r="D447" i="9"/>
  <c r="D446" i="9"/>
  <c r="E343" i="6"/>
  <c r="F343" i="6" s="1"/>
  <c r="E342" i="6"/>
  <c r="F342" i="6" s="1"/>
  <c r="J471" i="9"/>
  <c r="E471" i="9"/>
  <c r="I471" i="9" s="1"/>
  <c r="J470" i="9"/>
  <c r="E470" i="9"/>
  <c r="I470" i="9" s="1"/>
  <c r="J469" i="9"/>
  <c r="E469" i="9"/>
  <c r="I469" i="9" s="1"/>
  <c r="J468" i="9"/>
  <c r="E468" i="9"/>
  <c r="I468" i="9" s="1"/>
  <c r="J467" i="9"/>
  <c r="E467" i="9"/>
  <c r="I467" i="9" s="1"/>
  <c r="H465" i="9"/>
  <c r="J462" i="9"/>
  <c r="E462" i="9"/>
  <c r="I462" i="9" s="1"/>
  <c r="J455" i="9"/>
  <c r="E455" i="9"/>
  <c r="I455" i="9" s="1"/>
  <c r="J454" i="9"/>
  <c r="E454" i="9"/>
  <c r="I454" i="9" s="1"/>
  <c r="J453" i="9"/>
  <c r="J445" i="9"/>
  <c r="E445" i="9"/>
  <c r="I445" i="9" s="1"/>
  <c r="J442" i="9"/>
  <c r="E442" i="9"/>
  <c r="I442" i="9" s="1"/>
  <c r="F438" i="9"/>
  <c r="E438" i="9" s="1"/>
  <c r="I438" i="9" s="1"/>
  <c r="J440" i="9"/>
  <c r="E440" i="9"/>
  <c r="I440" i="9" s="1"/>
  <c r="F430" i="9"/>
  <c r="K425" i="9"/>
  <c r="N422" i="9"/>
  <c r="K227" i="9"/>
  <c r="O319" i="9"/>
  <c r="H354" i="6" l="1"/>
  <c r="J354" i="6" s="1"/>
  <c r="H380" i="6"/>
  <c r="E460" i="9"/>
  <c r="I460" i="9" s="1"/>
  <c r="H447" i="9"/>
  <c r="J447" i="9" s="1"/>
  <c r="H459" i="9"/>
  <c r="J459" i="9" s="1"/>
  <c r="E439" i="9"/>
  <c r="I439" i="9" s="1"/>
  <c r="H439" i="9"/>
  <c r="H463" i="9"/>
  <c r="J463" i="9" s="1"/>
  <c r="H478" i="9"/>
  <c r="H508" i="9" s="1"/>
  <c r="E457" i="9"/>
  <c r="I457" i="9" s="1"/>
  <c r="H457" i="9"/>
  <c r="H446" i="9"/>
  <c r="J446" i="9" s="1"/>
  <c r="H458" i="9"/>
  <c r="J458" i="9" s="1"/>
  <c r="I377" i="6"/>
  <c r="J502" i="9"/>
  <c r="J375" i="6"/>
  <c r="J377" i="6"/>
  <c r="J505" i="9"/>
  <c r="F378" i="6"/>
  <c r="J378" i="6" s="1"/>
  <c r="E375" i="6"/>
  <c r="I375" i="6" s="1"/>
  <c r="J362" i="6"/>
  <c r="J499" i="9"/>
  <c r="E499" i="9"/>
  <c r="I499" i="9" s="1"/>
  <c r="J495" i="9"/>
  <c r="J494" i="9"/>
  <c r="J359" i="6"/>
  <c r="I363" i="6"/>
  <c r="E494" i="9"/>
  <c r="I494" i="9" s="1"/>
  <c r="J363" i="6"/>
  <c r="J355" i="6"/>
  <c r="J483" i="9"/>
  <c r="E355" i="6"/>
  <c r="I355" i="6" s="1"/>
  <c r="J489" i="9"/>
  <c r="J487" i="9"/>
  <c r="E489" i="9"/>
  <c r="I489" i="9" s="1"/>
  <c r="J484" i="9"/>
  <c r="J485" i="9"/>
  <c r="E354" i="6"/>
  <c r="I354" i="6" s="1"/>
  <c r="E484" i="9"/>
  <c r="I484" i="9" s="1"/>
  <c r="J352" i="6"/>
  <c r="E352" i="6"/>
  <c r="I352" i="6" s="1"/>
  <c r="J452" i="9"/>
  <c r="E483" i="9"/>
  <c r="I483" i="9" s="1"/>
  <c r="E485" i="9"/>
  <c r="I485" i="9" s="1"/>
  <c r="E478" i="9"/>
  <c r="I478" i="9" s="1"/>
  <c r="J460" i="9"/>
  <c r="J449" i="9"/>
  <c r="J465" i="9"/>
  <c r="J443" i="9"/>
  <c r="E459" i="9"/>
  <c r="I459" i="9" s="1"/>
  <c r="J450" i="9"/>
  <c r="J451" i="9"/>
  <c r="E447" i="9"/>
  <c r="I447" i="9" s="1"/>
  <c r="E452" i="9"/>
  <c r="I452" i="9" s="1"/>
  <c r="E446" i="9"/>
  <c r="I446" i="9" s="1"/>
  <c r="E463" i="9"/>
  <c r="I463" i="9" s="1"/>
  <c r="E458" i="9"/>
  <c r="I458" i="9" s="1"/>
  <c r="E465" i="9"/>
  <c r="I465" i="9" s="1"/>
  <c r="E449" i="9"/>
  <c r="I449" i="9" s="1"/>
  <c r="E451" i="9"/>
  <c r="I451" i="9" s="1"/>
  <c r="E453" i="9"/>
  <c r="I453" i="9" s="1"/>
  <c r="J438" i="9"/>
  <c r="F418" i="9"/>
  <c r="E418" i="9" s="1"/>
  <c r="I418" i="9" s="1"/>
  <c r="E421" i="9"/>
  <c r="I421" i="9" s="1"/>
  <c r="E422" i="9"/>
  <c r="I422" i="9" s="1"/>
  <c r="E423" i="9"/>
  <c r="I423" i="9" s="1"/>
  <c r="J424" i="9"/>
  <c r="E425" i="9"/>
  <c r="I425" i="9" s="1"/>
  <c r="E426" i="9"/>
  <c r="I426" i="9" s="1"/>
  <c r="J426" i="9"/>
  <c r="E427" i="9"/>
  <c r="I427" i="9" s="1"/>
  <c r="E428" i="9"/>
  <c r="I428" i="9" s="1"/>
  <c r="E429" i="9"/>
  <c r="I429" i="9" s="1"/>
  <c r="E430" i="9"/>
  <c r="I430" i="9" s="1"/>
  <c r="J430" i="9"/>
  <c r="E431" i="9"/>
  <c r="I431" i="9" s="1"/>
  <c r="E432" i="9"/>
  <c r="I432" i="9" s="1"/>
  <c r="J432" i="9"/>
  <c r="E433" i="9"/>
  <c r="I433" i="9" s="1"/>
  <c r="E434" i="9"/>
  <c r="I434" i="9" s="1"/>
  <c r="J434" i="9"/>
  <c r="F306" i="6"/>
  <c r="D306" i="6"/>
  <c r="H306" i="6" s="1"/>
  <c r="F411" i="9"/>
  <c r="J416" i="9"/>
  <c r="E416" i="9"/>
  <c r="I416" i="9" s="1"/>
  <c r="J415" i="9"/>
  <c r="E415" i="9"/>
  <c r="I415" i="9" s="1"/>
  <c r="J414" i="9"/>
  <c r="E414" i="9"/>
  <c r="I414" i="9" s="1"/>
  <c r="J413" i="9"/>
  <c r="E413" i="9"/>
  <c r="I413" i="9" s="1"/>
  <c r="J412" i="9"/>
  <c r="E412" i="9"/>
  <c r="I412" i="9" s="1"/>
  <c r="F299" i="6"/>
  <c r="F405" i="9"/>
  <c r="F407" i="9"/>
  <c r="F302" i="6"/>
  <c r="F296" i="6"/>
  <c r="F292" i="6"/>
  <c r="F380" i="6" l="1"/>
  <c r="F472" i="9"/>
  <c r="J380" i="6"/>
  <c r="K381" i="6"/>
  <c r="J439" i="9"/>
  <c r="J457" i="9"/>
  <c r="J478" i="9"/>
  <c r="J508" i="9" s="1"/>
  <c r="K351" i="6"/>
  <c r="J418" i="9"/>
  <c r="J419" i="9"/>
  <c r="E419" i="9"/>
  <c r="I419" i="9" s="1"/>
  <c r="J422" i="9"/>
  <c r="J435" i="9"/>
  <c r="E424" i="9"/>
  <c r="I424" i="9" s="1"/>
  <c r="J436" i="9"/>
  <c r="J428" i="9"/>
  <c r="J433" i="9"/>
  <c r="J431" i="9"/>
  <c r="J429" i="9"/>
  <c r="J427" i="9"/>
  <c r="J425" i="9"/>
  <c r="J423" i="9"/>
  <c r="J421" i="9"/>
  <c r="E435" i="9"/>
  <c r="I435" i="9" s="1"/>
  <c r="E436" i="9"/>
  <c r="I436" i="9" s="1"/>
  <c r="J411" i="9"/>
  <c r="E411" i="9"/>
  <c r="I411" i="9" s="1"/>
  <c r="K508" i="9" l="1"/>
  <c r="F25" i="6"/>
  <c r="D25" i="6"/>
  <c r="H25" i="6" s="1"/>
  <c r="F21" i="6"/>
  <c r="D21" i="6"/>
  <c r="H21" i="6" s="1"/>
  <c r="F24" i="6"/>
  <c r="F20" i="6"/>
  <c r="D24" i="6"/>
  <c r="H24" i="6" s="1"/>
  <c r="D20" i="6"/>
  <c r="H20" i="6" s="1"/>
  <c r="F17" i="6"/>
  <c r="D17" i="6"/>
  <c r="H17" i="6" s="1"/>
  <c r="D13" i="6"/>
  <c r="H13" i="6" s="1"/>
  <c r="F16" i="6"/>
  <c r="F14" i="6"/>
  <c r="D16" i="6"/>
  <c r="H16" i="6" s="1"/>
  <c r="D14" i="6"/>
  <c r="H14" i="6" s="1"/>
  <c r="F11" i="6"/>
  <c r="F23" i="6"/>
  <c r="F19" i="6"/>
  <c r="D42" i="9"/>
  <c r="F288" i="6"/>
  <c r="E288" i="6" s="1"/>
  <c r="I288" i="6" s="1"/>
  <c r="F284" i="6"/>
  <c r="F281" i="6"/>
  <c r="E281" i="6" s="1"/>
  <c r="I281" i="6" s="1"/>
  <c r="E394" i="9"/>
  <c r="I394" i="9" s="1"/>
  <c r="J409" i="9"/>
  <c r="E409" i="9"/>
  <c r="I409" i="9" s="1"/>
  <c r="E408" i="9"/>
  <c r="I408" i="9" s="1"/>
  <c r="E407" i="9"/>
  <c r="I407" i="9" s="1"/>
  <c r="J406" i="9"/>
  <c r="E406" i="9"/>
  <c r="I406" i="9" s="1"/>
  <c r="H403" i="9"/>
  <c r="E403" i="9"/>
  <c r="I403" i="9" s="1"/>
  <c r="E401" i="9"/>
  <c r="I401" i="9" s="1"/>
  <c r="F277" i="6"/>
  <c r="E385" i="9"/>
  <c r="I385" i="9" s="1"/>
  <c r="E386" i="9"/>
  <c r="I386" i="9" s="1"/>
  <c r="E387" i="9"/>
  <c r="I387" i="9" s="1"/>
  <c r="D276" i="6"/>
  <c r="J348" i="6"/>
  <c r="E348" i="6"/>
  <c r="I348" i="6" s="1"/>
  <c r="J347" i="6"/>
  <c r="E347" i="6"/>
  <c r="I347" i="6" s="1"/>
  <c r="J345" i="6"/>
  <c r="J344" i="6"/>
  <c r="I343" i="6"/>
  <c r="J341" i="6"/>
  <c r="E341" i="6"/>
  <c r="I341" i="6" s="1"/>
  <c r="J339" i="6"/>
  <c r="E339" i="6"/>
  <c r="I339" i="6" s="1"/>
  <c r="J338" i="6"/>
  <c r="E338" i="6"/>
  <c r="I338" i="6" s="1"/>
  <c r="J337" i="6"/>
  <c r="E337" i="6"/>
  <c r="I337" i="6" s="1"/>
  <c r="J336" i="6"/>
  <c r="E336" i="6"/>
  <c r="I336" i="6" s="1"/>
  <c r="J335" i="6"/>
  <c r="E335" i="6"/>
  <c r="I335" i="6" s="1"/>
  <c r="J334" i="6"/>
  <c r="E334" i="6"/>
  <c r="I334" i="6" s="1"/>
  <c r="J333" i="6"/>
  <c r="E333" i="6"/>
  <c r="I333" i="6" s="1"/>
  <c r="J332" i="6"/>
  <c r="E332" i="6"/>
  <c r="I332" i="6" s="1"/>
  <c r="J331" i="6"/>
  <c r="E331" i="6"/>
  <c r="I331" i="6" s="1"/>
  <c r="J330" i="6"/>
  <c r="E330" i="6"/>
  <c r="I330" i="6" s="1"/>
  <c r="J329" i="6"/>
  <c r="E329" i="6"/>
  <c r="I329" i="6" s="1"/>
  <c r="J328" i="6"/>
  <c r="E328" i="6"/>
  <c r="I328" i="6" s="1"/>
  <c r="J327" i="6"/>
  <c r="E327" i="6"/>
  <c r="I327" i="6" s="1"/>
  <c r="J326" i="6"/>
  <c r="E326" i="6"/>
  <c r="I326" i="6" s="1"/>
  <c r="J325" i="6"/>
  <c r="E325" i="6"/>
  <c r="I325" i="6" s="1"/>
  <c r="J324" i="6"/>
  <c r="E324" i="6"/>
  <c r="I324" i="6" s="1"/>
  <c r="J323" i="6"/>
  <c r="E323" i="6"/>
  <c r="I323" i="6" s="1"/>
  <c r="J321" i="6"/>
  <c r="E321" i="6"/>
  <c r="I321" i="6" s="1"/>
  <c r="J320" i="6"/>
  <c r="E320" i="6"/>
  <c r="I320" i="6" s="1"/>
  <c r="J319" i="6"/>
  <c r="E319" i="6"/>
  <c r="I319" i="6" s="1"/>
  <c r="J318" i="6"/>
  <c r="E318" i="6"/>
  <c r="I318" i="6" s="1"/>
  <c r="E317" i="6"/>
  <c r="E316" i="6"/>
  <c r="F316" i="6" s="1"/>
  <c r="J315" i="6"/>
  <c r="E315" i="6"/>
  <c r="I315" i="6" s="1"/>
  <c r="J314" i="6"/>
  <c r="E314" i="6"/>
  <c r="I314" i="6" s="1"/>
  <c r="E313" i="6"/>
  <c r="E311" i="6"/>
  <c r="E310" i="6"/>
  <c r="E309" i="6"/>
  <c r="E308" i="6"/>
  <c r="E307" i="6"/>
  <c r="J305" i="6"/>
  <c r="E305" i="6"/>
  <c r="I305" i="6" s="1"/>
  <c r="J304" i="6"/>
  <c r="E304" i="6"/>
  <c r="I304" i="6" s="1"/>
  <c r="J303" i="6"/>
  <c r="E303" i="6"/>
  <c r="I303" i="6" s="1"/>
  <c r="J302" i="6"/>
  <c r="J301" i="6"/>
  <c r="E301" i="6"/>
  <c r="I301" i="6" s="1"/>
  <c r="J300" i="6"/>
  <c r="J299" i="6"/>
  <c r="E299" i="6"/>
  <c r="I299" i="6" s="1"/>
  <c r="J298" i="6"/>
  <c r="E298" i="6"/>
  <c r="I298" i="6" s="1"/>
  <c r="J297" i="6"/>
  <c r="E297" i="6"/>
  <c r="I297" i="6" s="1"/>
  <c r="J296" i="6"/>
  <c r="J295" i="6"/>
  <c r="E295" i="6"/>
  <c r="I295" i="6" s="1"/>
  <c r="J294" i="6"/>
  <c r="E294" i="6"/>
  <c r="I294" i="6" s="1"/>
  <c r="J293" i="6"/>
  <c r="E293" i="6"/>
  <c r="I293" i="6" s="1"/>
  <c r="J292" i="6"/>
  <c r="J291" i="6"/>
  <c r="E291" i="6"/>
  <c r="I291" i="6" s="1"/>
  <c r="J290" i="6"/>
  <c r="E290" i="6"/>
  <c r="I290" i="6" s="1"/>
  <c r="J289" i="6"/>
  <c r="E289" i="6"/>
  <c r="I289" i="6" s="1"/>
  <c r="J287" i="6"/>
  <c r="E287" i="6"/>
  <c r="I287" i="6" s="1"/>
  <c r="J286" i="6"/>
  <c r="E286" i="6"/>
  <c r="I286" i="6" s="1"/>
  <c r="J285" i="6"/>
  <c r="E285" i="6"/>
  <c r="I285" i="6" s="1"/>
  <c r="J283" i="6"/>
  <c r="E283" i="6"/>
  <c r="I283" i="6" s="1"/>
  <c r="J282" i="6"/>
  <c r="E282" i="6"/>
  <c r="I282" i="6" s="1"/>
  <c r="J280" i="6"/>
  <c r="E280" i="6"/>
  <c r="I280" i="6" s="1"/>
  <c r="J279" i="6"/>
  <c r="E279" i="6"/>
  <c r="I279" i="6" s="1"/>
  <c r="J278" i="6"/>
  <c r="E278" i="6"/>
  <c r="I278" i="6" s="1"/>
  <c r="J275" i="6"/>
  <c r="E275" i="6"/>
  <c r="I275" i="6" s="1"/>
  <c r="D274" i="6"/>
  <c r="H274" i="6" s="1"/>
  <c r="F274" i="6"/>
  <c r="D379" i="9"/>
  <c r="J383" i="9"/>
  <c r="E383" i="9"/>
  <c r="I383" i="9" s="1"/>
  <c r="J382" i="9"/>
  <c r="E382" i="9"/>
  <c r="I382" i="9" s="1"/>
  <c r="D378" i="9"/>
  <c r="J377" i="9"/>
  <c r="E377" i="9"/>
  <c r="I377" i="9" s="1"/>
  <c r="D376" i="9"/>
  <c r="J380" i="9"/>
  <c r="E380" i="9"/>
  <c r="I380" i="9" s="1"/>
  <c r="J375" i="9"/>
  <c r="D374" i="9"/>
  <c r="J373" i="9"/>
  <c r="E373" i="9"/>
  <c r="I373" i="9" s="1"/>
  <c r="J371" i="9"/>
  <c r="E371" i="9"/>
  <c r="I371" i="9" s="1"/>
  <c r="E370" i="9"/>
  <c r="I370" i="9" s="1"/>
  <c r="E276" i="6" l="1"/>
  <c r="I276" i="6" s="1"/>
  <c r="H276" i="6"/>
  <c r="H350" i="6" s="1"/>
  <c r="I317" i="6"/>
  <c r="F317" i="6"/>
  <c r="E374" i="9"/>
  <c r="I374" i="9" s="1"/>
  <c r="H374" i="9"/>
  <c r="H376" i="9"/>
  <c r="J376" i="9" s="1"/>
  <c r="H379" i="9"/>
  <c r="J379" i="9" s="1"/>
  <c r="H378" i="9"/>
  <c r="J378" i="9" s="1"/>
  <c r="E384" i="9"/>
  <c r="I384" i="9" s="1"/>
  <c r="J370" i="9"/>
  <c r="J20" i="6"/>
  <c r="E20" i="6"/>
  <c r="I20" i="6" s="1"/>
  <c r="J13" i="6"/>
  <c r="E13" i="6"/>
  <c r="I13" i="6" s="1"/>
  <c r="J16" i="6"/>
  <c r="J21" i="6"/>
  <c r="E16" i="6"/>
  <c r="I16" i="6" s="1"/>
  <c r="J284" i="6"/>
  <c r="E346" i="6"/>
  <c r="I346" i="6" s="1"/>
  <c r="E21" i="6"/>
  <c r="I21" i="6" s="1"/>
  <c r="J316" i="6"/>
  <c r="J276" i="6"/>
  <c r="J343" i="6"/>
  <c r="J11" i="6"/>
  <c r="J342" i="6"/>
  <c r="J277" i="6"/>
  <c r="E340" i="6"/>
  <c r="I340" i="6" s="1"/>
  <c r="E345" i="6"/>
  <c r="I345" i="6" s="1"/>
  <c r="E11" i="6"/>
  <c r="I11" i="6" s="1"/>
  <c r="J23" i="6"/>
  <c r="J340" i="6"/>
  <c r="J346" i="6"/>
  <c r="J322" i="6"/>
  <c r="E23" i="6"/>
  <c r="I23" i="6" s="1"/>
  <c r="J405" i="9"/>
  <c r="J396" i="9"/>
  <c r="J399" i="9"/>
  <c r="J401" i="9"/>
  <c r="J407" i="9"/>
  <c r="E399" i="9"/>
  <c r="I399" i="9" s="1"/>
  <c r="J408" i="9"/>
  <c r="J394" i="9"/>
  <c r="J403" i="9"/>
  <c r="J288" i="6"/>
  <c r="J387" i="9"/>
  <c r="J385" i="9"/>
  <c r="J281" i="6"/>
  <c r="J397" i="9"/>
  <c r="E397" i="9"/>
  <c r="I397" i="9" s="1"/>
  <c r="E396" i="9"/>
  <c r="I396" i="9" s="1"/>
  <c r="E405" i="9"/>
  <c r="I405" i="9" s="1"/>
  <c r="J384" i="9"/>
  <c r="J306" i="6"/>
  <c r="E284" i="6"/>
  <c r="I284" i="6" s="1"/>
  <c r="E296" i="6"/>
  <c r="I296" i="6" s="1"/>
  <c r="E302" i="6"/>
  <c r="I302" i="6" s="1"/>
  <c r="E306" i="6"/>
  <c r="I306" i="6" s="1"/>
  <c r="I316" i="6"/>
  <c r="E322" i="6"/>
  <c r="I322" i="6" s="1"/>
  <c r="I342" i="6"/>
  <c r="E344" i="6"/>
  <c r="I344" i="6" s="1"/>
  <c r="E277" i="6"/>
  <c r="I277" i="6" s="1"/>
  <c r="E292" i="6"/>
  <c r="I292" i="6" s="1"/>
  <c r="E300" i="6"/>
  <c r="I300" i="6" s="1"/>
  <c r="E274" i="6"/>
  <c r="I274" i="6" s="1"/>
  <c r="E379" i="9"/>
  <c r="I379" i="9" s="1"/>
  <c r="J386" i="9"/>
  <c r="E378" i="9"/>
  <c r="I378" i="9" s="1"/>
  <c r="E376" i="9"/>
  <c r="I376" i="9" s="1"/>
  <c r="E375" i="9"/>
  <c r="I375" i="9" s="1"/>
  <c r="F264" i="6"/>
  <c r="E264" i="6" s="1"/>
  <c r="I264" i="6" s="1"/>
  <c r="F229" i="6"/>
  <c r="F361" i="9"/>
  <c r="J269" i="6"/>
  <c r="E269" i="6"/>
  <c r="I269" i="6" s="1"/>
  <c r="F268" i="6"/>
  <c r="D268" i="6"/>
  <c r="H268" i="6" s="1"/>
  <c r="D359" i="9"/>
  <c r="H359" i="9" s="1"/>
  <c r="J358" i="9"/>
  <c r="D267" i="6"/>
  <c r="D266" i="6"/>
  <c r="F356" i="9"/>
  <c r="E356" i="9" s="1"/>
  <c r="I356" i="9" s="1"/>
  <c r="D355" i="9"/>
  <c r="D354" i="9"/>
  <c r="D353" i="9"/>
  <c r="J162" i="9"/>
  <c r="E162" i="9"/>
  <c r="I162" i="9" s="1"/>
  <c r="F244" i="6"/>
  <c r="F262" i="6"/>
  <c r="D262" i="6"/>
  <c r="H262" i="6" s="1"/>
  <c r="E347" i="9"/>
  <c r="I347" i="9" s="1"/>
  <c r="E348" i="9"/>
  <c r="I348" i="9" s="1"/>
  <c r="J343" i="9"/>
  <c r="E343" i="9"/>
  <c r="I343" i="9" s="1"/>
  <c r="D342" i="9"/>
  <c r="J341" i="9"/>
  <c r="E341" i="9"/>
  <c r="I341" i="9" s="1"/>
  <c r="J335" i="9"/>
  <c r="F334" i="9"/>
  <c r="E331" i="9"/>
  <c r="I331" i="9" s="1"/>
  <c r="E332" i="9"/>
  <c r="I332" i="9" s="1"/>
  <c r="J260" i="6"/>
  <c r="E260" i="6"/>
  <c r="I260" i="6" s="1"/>
  <c r="J259" i="6"/>
  <c r="E259" i="6"/>
  <c r="I259" i="6" s="1"/>
  <c r="E325" i="9"/>
  <c r="I325" i="9" s="1"/>
  <c r="F326" i="9"/>
  <c r="E321" i="9"/>
  <c r="I321" i="9" s="1"/>
  <c r="K321" i="9"/>
  <c r="F317" i="9"/>
  <c r="E317" i="9" s="1"/>
  <c r="I317" i="9" s="1"/>
  <c r="E319" i="9"/>
  <c r="I319" i="9" s="1"/>
  <c r="E320" i="9"/>
  <c r="I320" i="9" s="1"/>
  <c r="E318" i="9"/>
  <c r="I318" i="9" s="1"/>
  <c r="J243" i="6"/>
  <c r="E243" i="6"/>
  <c r="I243" i="6" s="1"/>
  <c r="E315" i="9"/>
  <c r="I315" i="9" s="1"/>
  <c r="J270" i="6"/>
  <c r="E270" i="6"/>
  <c r="I270" i="6" s="1"/>
  <c r="E265" i="6"/>
  <c r="I265" i="6" s="1"/>
  <c r="J263" i="6"/>
  <c r="E263" i="6"/>
  <c r="I263" i="6" s="1"/>
  <c r="J261" i="6"/>
  <c r="E261" i="6"/>
  <c r="I261" i="6" s="1"/>
  <c r="J258" i="6"/>
  <c r="E258" i="6"/>
  <c r="I258" i="6" s="1"/>
  <c r="J257" i="6"/>
  <c r="E257" i="6"/>
  <c r="I257" i="6" s="1"/>
  <c r="J256" i="6"/>
  <c r="E256" i="6"/>
  <c r="I256" i="6" s="1"/>
  <c r="J255" i="6"/>
  <c r="E255" i="6"/>
  <c r="I255" i="6" s="1"/>
  <c r="J254" i="6"/>
  <c r="E254" i="6"/>
  <c r="I254" i="6" s="1"/>
  <c r="J253" i="6"/>
  <c r="E253" i="6"/>
  <c r="I253" i="6" s="1"/>
  <c r="J252" i="6"/>
  <c r="E252" i="6"/>
  <c r="I252" i="6" s="1"/>
  <c r="J251" i="6"/>
  <c r="E251" i="6"/>
  <c r="I251" i="6" s="1"/>
  <c r="J250" i="6"/>
  <c r="E250" i="6"/>
  <c r="I250" i="6" s="1"/>
  <c r="J249" i="6"/>
  <c r="E249" i="6"/>
  <c r="I249" i="6" s="1"/>
  <c r="J248" i="6"/>
  <c r="E248" i="6"/>
  <c r="I248" i="6" s="1"/>
  <c r="J247" i="6"/>
  <c r="E247" i="6"/>
  <c r="I247" i="6" s="1"/>
  <c r="J246" i="6"/>
  <c r="E246" i="6"/>
  <c r="I246" i="6" s="1"/>
  <c r="J245" i="6"/>
  <c r="E245" i="6"/>
  <c r="I245" i="6" s="1"/>
  <c r="J242" i="6"/>
  <c r="E242" i="6"/>
  <c r="I242" i="6" s="1"/>
  <c r="J241" i="6"/>
  <c r="E241" i="6"/>
  <c r="I241" i="6" s="1"/>
  <c r="J240" i="6"/>
  <c r="E239" i="6"/>
  <c r="I239" i="6" s="1"/>
  <c r="E238" i="6"/>
  <c r="F238" i="6" s="1"/>
  <c r="J237" i="6"/>
  <c r="E237" i="6"/>
  <c r="I237" i="6" s="1"/>
  <c r="J236" i="6"/>
  <c r="E236" i="6"/>
  <c r="I236" i="6" s="1"/>
  <c r="E314" i="9"/>
  <c r="I314" i="9" s="1"/>
  <c r="J367" i="9"/>
  <c r="E367" i="9"/>
  <c r="I367" i="9" s="1"/>
  <c r="J366" i="9"/>
  <c r="E366" i="9"/>
  <c r="I366" i="9" s="1"/>
  <c r="J365" i="9"/>
  <c r="E365" i="9"/>
  <c r="I365" i="9" s="1"/>
  <c r="J364" i="9"/>
  <c r="E364" i="9"/>
  <c r="I364" i="9" s="1"/>
  <c r="J363" i="9"/>
  <c r="E363" i="9"/>
  <c r="I363" i="9" s="1"/>
  <c r="H361" i="9"/>
  <c r="J351" i="9"/>
  <c r="E351" i="9"/>
  <c r="I351" i="9" s="1"/>
  <c r="E350" i="9"/>
  <c r="I350" i="9" s="1"/>
  <c r="J338" i="9"/>
  <c r="E338" i="9"/>
  <c r="I338" i="9" s="1"/>
  <c r="J336" i="9"/>
  <c r="E336" i="9"/>
  <c r="I336" i="9" s="1"/>
  <c r="F228" i="6"/>
  <c r="E228" i="6" s="1"/>
  <c r="I228" i="6" s="1"/>
  <c r="D228" i="6"/>
  <c r="H228" i="6" s="1"/>
  <c r="D235" i="6"/>
  <c r="H235" i="6" s="1"/>
  <c r="D234" i="6"/>
  <c r="H234" i="6" s="1"/>
  <c r="D233" i="6"/>
  <c r="H233" i="6" s="1"/>
  <c r="D232" i="6"/>
  <c r="H232" i="6" s="1"/>
  <c r="D231" i="6"/>
  <c r="H231" i="6" s="1"/>
  <c r="D230" i="6"/>
  <c r="H230" i="6" s="1"/>
  <c r="D229" i="6"/>
  <c r="H229" i="6" s="1"/>
  <c r="E235" i="6"/>
  <c r="E234" i="6"/>
  <c r="E233" i="6"/>
  <c r="E232" i="6"/>
  <c r="E231" i="6"/>
  <c r="E230" i="6"/>
  <c r="E229" i="6"/>
  <c r="F307" i="9"/>
  <c r="J227" i="6"/>
  <c r="E227" i="6"/>
  <c r="I227" i="6" s="1"/>
  <c r="F302" i="9"/>
  <c r="J302" i="9" s="1"/>
  <c r="F224" i="6"/>
  <c r="J226" i="6"/>
  <c r="E226" i="6"/>
  <c r="I226" i="6" s="1"/>
  <c r="J225" i="6"/>
  <c r="E225" i="6"/>
  <c r="I225" i="6" s="1"/>
  <c r="F221" i="6"/>
  <c r="F301" i="9"/>
  <c r="F368" i="9" s="1"/>
  <c r="J223" i="6"/>
  <c r="E223" i="6"/>
  <c r="I223" i="6" s="1"/>
  <c r="J222" i="6"/>
  <c r="J300" i="9"/>
  <c r="F217" i="6"/>
  <c r="F219" i="6"/>
  <c r="F218" i="6"/>
  <c r="E218" i="6" s="1"/>
  <c r="I218" i="6" s="1"/>
  <c r="J220" i="6"/>
  <c r="F214" i="6"/>
  <c r="J216" i="6"/>
  <c r="E216" i="6"/>
  <c r="I216" i="6" s="1"/>
  <c r="J215" i="6"/>
  <c r="E215" i="6"/>
  <c r="I215" i="6" s="1"/>
  <c r="E294" i="9"/>
  <c r="I294" i="9" s="1"/>
  <c r="E292" i="9"/>
  <c r="I292" i="9" s="1"/>
  <c r="F210" i="6"/>
  <c r="J213" i="6"/>
  <c r="E213" i="6"/>
  <c r="I213" i="6" s="1"/>
  <c r="J212" i="6"/>
  <c r="E212" i="6"/>
  <c r="I212" i="6" s="1"/>
  <c r="J211" i="6"/>
  <c r="E211" i="6"/>
  <c r="I211" i="6" s="1"/>
  <c r="F206" i="6"/>
  <c r="E209" i="6"/>
  <c r="I209" i="6" s="1"/>
  <c r="J208" i="6"/>
  <c r="E208" i="6"/>
  <c r="I208" i="6" s="1"/>
  <c r="J207" i="6"/>
  <c r="E207" i="6"/>
  <c r="I207" i="6" s="1"/>
  <c r="F202" i="6"/>
  <c r="J205" i="6"/>
  <c r="E205" i="6"/>
  <c r="I205" i="6" s="1"/>
  <c r="J204" i="6"/>
  <c r="E204" i="6"/>
  <c r="I204" i="6" s="1"/>
  <c r="J203" i="6"/>
  <c r="E203" i="6"/>
  <c r="I203" i="6" s="1"/>
  <c r="F198" i="6"/>
  <c r="J201" i="6"/>
  <c r="E201" i="6"/>
  <c r="I201" i="6" s="1"/>
  <c r="J200" i="6"/>
  <c r="E200" i="6"/>
  <c r="I200" i="6" s="1"/>
  <c r="J199" i="6"/>
  <c r="E199" i="6"/>
  <c r="I199" i="6" s="1"/>
  <c r="E288" i="9"/>
  <c r="I288" i="9" s="1"/>
  <c r="F195" i="6"/>
  <c r="J197" i="6"/>
  <c r="E197" i="6"/>
  <c r="I197" i="6" s="1"/>
  <c r="J196" i="6"/>
  <c r="E196" i="6"/>
  <c r="I196" i="6" s="1"/>
  <c r="F191" i="6"/>
  <c r="J194" i="6"/>
  <c r="E194" i="6"/>
  <c r="I194" i="6" s="1"/>
  <c r="J193" i="6"/>
  <c r="E193" i="6"/>
  <c r="I193" i="6" s="1"/>
  <c r="J192" i="6"/>
  <c r="E192" i="6"/>
  <c r="I192" i="6" s="1"/>
  <c r="D190" i="6"/>
  <c r="E312" i="9"/>
  <c r="I312" i="9" s="1"/>
  <c r="E310" i="9"/>
  <c r="I310" i="9" s="1"/>
  <c r="J305" i="9"/>
  <c r="E305" i="9"/>
  <c r="I305" i="9" s="1"/>
  <c r="J303" i="9"/>
  <c r="E303" i="9"/>
  <c r="I303" i="9" s="1"/>
  <c r="J299" i="9"/>
  <c r="E299" i="9"/>
  <c r="I299" i="9" s="1"/>
  <c r="K274" i="9"/>
  <c r="J189" i="6"/>
  <c r="E189" i="6"/>
  <c r="I189" i="6" s="1"/>
  <c r="F188" i="6"/>
  <c r="D188" i="6"/>
  <c r="H188" i="6" s="1"/>
  <c r="J273" i="9"/>
  <c r="E273" i="9"/>
  <c r="I273" i="9" s="1"/>
  <c r="J272" i="9"/>
  <c r="E272" i="9"/>
  <c r="I272" i="9" s="1"/>
  <c r="J270" i="9"/>
  <c r="E270" i="9"/>
  <c r="I270" i="9" s="1"/>
  <c r="D268" i="9"/>
  <c r="D269" i="9"/>
  <c r="H269" i="9" s="1"/>
  <c r="D267" i="9"/>
  <c r="J266" i="9"/>
  <c r="E266" i="9"/>
  <c r="I266" i="9" s="1"/>
  <c r="J264" i="9"/>
  <c r="E264" i="9"/>
  <c r="I264" i="9" s="1"/>
  <c r="E263" i="9"/>
  <c r="I263" i="9" s="1"/>
  <c r="J184" i="6"/>
  <c r="E184" i="6"/>
  <c r="I184" i="6" s="1"/>
  <c r="J260" i="9"/>
  <c r="E260" i="9"/>
  <c r="I260" i="9" s="1"/>
  <c r="J259" i="9"/>
  <c r="E259" i="9"/>
  <c r="I259" i="9" s="1"/>
  <c r="J258" i="9"/>
  <c r="E258" i="9"/>
  <c r="I258" i="9" s="1"/>
  <c r="J257" i="9"/>
  <c r="E257" i="9"/>
  <c r="I257" i="9" s="1"/>
  <c r="J256" i="9"/>
  <c r="E256" i="9"/>
  <c r="I256" i="9" s="1"/>
  <c r="F180" i="6"/>
  <c r="D180" i="6"/>
  <c r="H180" i="6" s="1"/>
  <c r="E247" i="9"/>
  <c r="I247" i="9" s="1"/>
  <c r="J252" i="9"/>
  <c r="E252" i="9"/>
  <c r="I252" i="9" s="1"/>
  <c r="J251" i="9"/>
  <c r="E251" i="9"/>
  <c r="I251" i="9" s="1"/>
  <c r="D182" i="6"/>
  <c r="H182" i="6" s="1"/>
  <c r="E244" i="9"/>
  <c r="I244" i="9" s="1"/>
  <c r="J243" i="9"/>
  <c r="E243" i="9"/>
  <c r="I243" i="9" s="1"/>
  <c r="E238" i="9"/>
  <c r="I238" i="9" s="1"/>
  <c r="E236" i="9"/>
  <c r="I236" i="9" s="1"/>
  <c r="F235" i="9"/>
  <c r="E234" i="9"/>
  <c r="I234" i="9" s="1"/>
  <c r="K230" i="9"/>
  <c r="E183" i="6"/>
  <c r="I183" i="6" s="1"/>
  <c r="E182" i="6"/>
  <c r="I182" i="6" s="1"/>
  <c r="J181" i="6"/>
  <c r="E181" i="6"/>
  <c r="I181" i="6" s="1"/>
  <c r="J179" i="6"/>
  <c r="E179" i="6"/>
  <c r="I179" i="6" s="1"/>
  <c r="J178" i="6"/>
  <c r="E178" i="6"/>
  <c r="I178" i="6" s="1"/>
  <c r="J177" i="6"/>
  <c r="J176" i="6"/>
  <c r="E176" i="6"/>
  <c r="I176" i="6" s="1"/>
  <c r="J175" i="6"/>
  <c r="E175" i="6"/>
  <c r="I175" i="6" s="1"/>
  <c r="J174" i="6"/>
  <c r="E174" i="6"/>
  <c r="I174" i="6" s="1"/>
  <c r="J173" i="6"/>
  <c r="E173" i="6"/>
  <c r="I173" i="6" s="1"/>
  <c r="J172" i="6"/>
  <c r="E172" i="6"/>
  <c r="I172" i="6" s="1"/>
  <c r="J171" i="6"/>
  <c r="E171" i="6"/>
  <c r="I171" i="6" s="1"/>
  <c r="J170" i="6"/>
  <c r="E170" i="6"/>
  <c r="I170" i="6" s="1"/>
  <c r="J169" i="6"/>
  <c r="E169" i="6"/>
  <c r="I169" i="6" s="1"/>
  <c r="J168" i="6"/>
  <c r="E168" i="6"/>
  <c r="I168" i="6" s="1"/>
  <c r="J167" i="6"/>
  <c r="E167" i="6"/>
  <c r="I167" i="6" s="1"/>
  <c r="J166" i="6"/>
  <c r="E166" i="6"/>
  <c r="I166" i="6" s="1"/>
  <c r="J165" i="6"/>
  <c r="E165" i="6"/>
  <c r="I165" i="6" s="1"/>
  <c r="J241" i="9"/>
  <c r="E241" i="9"/>
  <c r="I241" i="9" s="1"/>
  <c r="J164" i="6"/>
  <c r="E164" i="6"/>
  <c r="I164" i="6" s="1"/>
  <c r="E163" i="6"/>
  <c r="F162" i="6"/>
  <c r="E162" i="6" s="1"/>
  <c r="E161" i="6"/>
  <c r="I161" i="6" s="1"/>
  <c r="D161" i="6"/>
  <c r="H161" i="6" s="1"/>
  <c r="E160" i="6"/>
  <c r="I160" i="6" s="1"/>
  <c r="D160" i="6"/>
  <c r="H160" i="6" s="1"/>
  <c r="J159" i="6"/>
  <c r="E159" i="6"/>
  <c r="I159" i="6" s="1"/>
  <c r="J158" i="6"/>
  <c r="E158" i="6"/>
  <c r="I158" i="6" s="1"/>
  <c r="F224" i="9"/>
  <c r="E224" i="9" s="1"/>
  <c r="I224" i="9" s="1"/>
  <c r="F221" i="9"/>
  <c r="F150" i="6"/>
  <c r="E150" i="6" s="1"/>
  <c r="I150" i="6" s="1"/>
  <c r="D150" i="6"/>
  <c r="H150" i="6" s="1"/>
  <c r="F222" i="9"/>
  <c r="D157" i="6"/>
  <c r="H157" i="6" s="1"/>
  <c r="D156" i="6"/>
  <c r="H156" i="6" s="1"/>
  <c r="D155" i="6"/>
  <c r="H155" i="6" s="1"/>
  <c r="D154" i="6"/>
  <c r="H154" i="6" s="1"/>
  <c r="D153" i="6"/>
  <c r="H153" i="6" s="1"/>
  <c r="D152" i="6"/>
  <c r="H152" i="6" s="1"/>
  <c r="D151" i="6"/>
  <c r="H151" i="6" s="1"/>
  <c r="F220" i="9"/>
  <c r="E157" i="6"/>
  <c r="E156" i="6"/>
  <c r="E155" i="6"/>
  <c r="E154" i="6"/>
  <c r="E153" i="6"/>
  <c r="E152" i="6"/>
  <c r="E151" i="6"/>
  <c r="F219" i="9"/>
  <c r="F218" i="9"/>
  <c r="F217" i="9"/>
  <c r="E217" i="9" s="1"/>
  <c r="I217" i="9" s="1"/>
  <c r="F214" i="9"/>
  <c r="F148" i="6"/>
  <c r="E148" i="6" s="1"/>
  <c r="I148" i="6" s="1"/>
  <c r="J149" i="6"/>
  <c r="E149" i="6"/>
  <c r="I149" i="6" s="1"/>
  <c r="F212" i="9"/>
  <c r="E212" i="9" s="1"/>
  <c r="I212" i="9" s="1"/>
  <c r="F144" i="6"/>
  <c r="F147" i="6"/>
  <c r="F146" i="6"/>
  <c r="F145" i="6"/>
  <c r="E145" i="6" s="1"/>
  <c r="I145" i="6" s="1"/>
  <c r="F210" i="9"/>
  <c r="F142" i="6"/>
  <c r="F141" i="6"/>
  <c r="F143" i="6"/>
  <c r="E143" i="6" s="1"/>
  <c r="I143" i="6" s="1"/>
  <c r="J213" i="9"/>
  <c r="E213" i="9"/>
  <c r="I213" i="9" s="1"/>
  <c r="J211" i="9"/>
  <c r="E211" i="9"/>
  <c r="I211" i="9" s="1"/>
  <c r="F137" i="6"/>
  <c r="J140" i="6"/>
  <c r="E140" i="6"/>
  <c r="I140" i="6" s="1"/>
  <c r="J139" i="6"/>
  <c r="E139" i="6"/>
  <c r="I139" i="6" s="1"/>
  <c r="J138" i="6"/>
  <c r="E138" i="6"/>
  <c r="I138" i="6" s="1"/>
  <c r="F133" i="6"/>
  <c r="J136" i="6"/>
  <c r="E136" i="6"/>
  <c r="I136" i="6" s="1"/>
  <c r="J135" i="6"/>
  <c r="E135" i="6"/>
  <c r="I135" i="6" s="1"/>
  <c r="J134" i="6"/>
  <c r="E134" i="6"/>
  <c r="I134" i="6" s="1"/>
  <c r="F129" i="6"/>
  <c r="J132" i="6"/>
  <c r="E132" i="6"/>
  <c r="I132" i="6" s="1"/>
  <c r="J131" i="6"/>
  <c r="E131" i="6"/>
  <c r="I131" i="6" s="1"/>
  <c r="J130" i="6"/>
  <c r="E130" i="6"/>
  <c r="I130" i="6" s="1"/>
  <c r="E204" i="9"/>
  <c r="I204" i="9" s="1"/>
  <c r="E195" i="9"/>
  <c r="I195" i="9" s="1"/>
  <c r="D128" i="6"/>
  <c r="D127" i="6"/>
  <c r="E194" i="9"/>
  <c r="I194" i="9" s="1"/>
  <c r="J194" i="9"/>
  <c r="J193" i="9"/>
  <c r="E193" i="9"/>
  <c r="I193" i="9" s="1"/>
  <c r="F126" i="6"/>
  <c r="D126" i="6"/>
  <c r="H126" i="6" s="1"/>
  <c r="D125" i="6"/>
  <c r="D124" i="6"/>
  <c r="D190" i="9"/>
  <c r="D189" i="9"/>
  <c r="D188" i="9"/>
  <c r="D187" i="9"/>
  <c r="H187" i="9" s="1"/>
  <c r="E182" i="9"/>
  <c r="I182" i="9" s="1"/>
  <c r="J191" i="9"/>
  <c r="E191" i="9"/>
  <c r="I191" i="9" s="1"/>
  <c r="D178" i="9"/>
  <c r="J177" i="9"/>
  <c r="E177" i="9"/>
  <c r="I177" i="9" s="1"/>
  <c r="J176" i="9"/>
  <c r="E176" i="9"/>
  <c r="I176" i="9" s="1"/>
  <c r="J174" i="9"/>
  <c r="E174" i="9"/>
  <c r="I174" i="9" s="1"/>
  <c r="E173" i="9"/>
  <c r="I173" i="9" s="1"/>
  <c r="F116" i="6"/>
  <c r="J120" i="6"/>
  <c r="E120" i="6"/>
  <c r="I120" i="6" s="1"/>
  <c r="D116" i="6"/>
  <c r="H116" i="6" s="1"/>
  <c r="F159" i="9"/>
  <c r="F113" i="6"/>
  <c r="J114" i="6"/>
  <c r="E114" i="6"/>
  <c r="I114" i="6" s="1"/>
  <c r="E119" i="6"/>
  <c r="I119" i="6" s="1"/>
  <c r="E118" i="6"/>
  <c r="F118" i="6" s="1"/>
  <c r="E117" i="6"/>
  <c r="I117" i="6" s="1"/>
  <c r="J115" i="6"/>
  <c r="E115" i="6"/>
  <c r="I115" i="6" s="1"/>
  <c r="D112" i="6"/>
  <c r="H112" i="6" s="1"/>
  <c r="D111" i="6"/>
  <c r="H111" i="6" s="1"/>
  <c r="E112" i="6"/>
  <c r="I112" i="6" s="1"/>
  <c r="E111" i="6"/>
  <c r="I111" i="6" s="1"/>
  <c r="F152" i="9"/>
  <c r="J109" i="6"/>
  <c r="E109" i="6"/>
  <c r="I109" i="6" s="1"/>
  <c r="F149" i="9"/>
  <c r="F147" i="9"/>
  <c r="F148" i="9"/>
  <c r="D108" i="6"/>
  <c r="H108" i="6" s="1"/>
  <c r="D107" i="6"/>
  <c r="H107" i="6" s="1"/>
  <c r="D106" i="6"/>
  <c r="H106" i="6" s="1"/>
  <c r="D105" i="6"/>
  <c r="H105" i="6" s="1"/>
  <c r="D104" i="6"/>
  <c r="H104" i="6" s="1"/>
  <c r="D103" i="6"/>
  <c r="H103" i="6" s="1"/>
  <c r="D102" i="6"/>
  <c r="H102" i="6" s="1"/>
  <c r="F101" i="6"/>
  <c r="D101" i="6"/>
  <c r="H101" i="6" s="1"/>
  <c r="E108" i="6"/>
  <c r="E107" i="6"/>
  <c r="E106" i="6"/>
  <c r="E105" i="6"/>
  <c r="E104" i="6"/>
  <c r="E103" i="6"/>
  <c r="E102" i="6"/>
  <c r="F150" i="9"/>
  <c r="H128" i="6" l="1"/>
  <c r="J128" i="6" s="1"/>
  <c r="H125" i="6"/>
  <c r="J125" i="6" s="1"/>
  <c r="H266" i="6"/>
  <c r="J266" i="6" s="1"/>
  <c r="J190" i="6"/>
  <c r="H190" i="6"/>
  <c r="H272" i="6" s="1"/>
  <c r="H267" i="6"/>
  <c r="J267" i="6" s="1"/>
  <c r="E124" i="6"/>
  <c r="I124" i="6" s="1"/>
  <c r="H124" i="6"/>
  <c r="H127" i="6"/>
  <c r="J127" i="6" s="1"/>
  <c r="H472" i="9"/>
  <c r="F350" i="6"/>
  <c r="J117" i="6"/>
  <c r="J317" i="6"/>
  <c r="J374" i="9"/>
  <c r="J301" i="9"/>
  <c r="J209" i="6"/>
  <c r="H178" i="9"/>
  <c r="E268" i="9"/>
  <c r="I268" i="9" s="1"/>
  <c r="H268" i="9"/>
  <c r="J268" i="9" s="1"/>
  <c r="E342" i="9"/>
  <c r="I342" i="9" s="1"/>
  <c r="H342" i="9"/>
  <c r="H354" i="9"/>
  <c r="J354" i="9" s="1"/>
  <c r="H190" i="9"/>
  <c r="F190" i="9"/>
  <c r="E190" i="9" s="1"/>
  <c r="I190" i="9" s="1"/>
  <c r="H355" i="9"/>
  <c r="J355" i="9" s="1"/>
  <c r="E188" i="9"/>
  <c r="I188" i="9" s="1"/>
  <c r="H188" i="9"/>
  <c r="J188" i="9" s="1"/>
  <c r="H189" i="9"/>
  <c r="F189" i="9"/>
  <c r="F261" i="9" s="1"/>
  <c r="H267" i="9"/>
  <c r="E353" i="9"/>
  <c r="I353" i="9" s="1"/>
  <c r="H353" i="9"/>
  <c r="J353" i="9" s="1"/>
  <c r="E101" i="6"/>
  <c r="I101" i="6" s="1"/>
  <c r="J101" i="6"/>
  <c r="E274" i="9"/>
  <c r="I274" i="9" s="1"/>
  <c r="F262" i="9"/>
  <c r="J274" i="6"/>
  <c r="E267" i="6"/>
  <c r="I267" i="6" s="1"/>
  <c r="E355" i="9"/>
  <c r="I355" i="9" s="1"/>
  <c r="F265" i="6"/>
  <c r="E268" i="6"/>
  <c r="I268" i="6" s="1"/>
  <c r="J268" i="6"/>
  <c r="E266" i="6"/>
  <c r="I266" i="6" s="1"/>
  <c r="E359" i="9"/>
  <c r="I359" i="9" s="1"/>
  <c r="J332" i="9"/>
  <c r="E358" i="9"/>
  <c r="I358" i="9" s="1"/>
  <c r="J262" i="6"/>
  <c r="J264" i="6"/>
  <c r="J356" i="9"/>
  <c r="E354" i="9"/>
  <c r="I354" i="9" s="1"/>
  <c r="J347" i="9"/>
  <c r="J350" i="9"/>
  <c r="J331" i="9"/>
  <c r="J320" i="9"/>
  <c r="J325" i="9"/>
  <c r="J315" i="9"/>
  <c r="E335" i="9"/>
  <c r="I335" i="9" s="1"/>
  <c r="J334" i="9"/>
  <c r="J317" i="9"/>
  <c r="J345" i="9"/>
  <c r="E334" i="9"/>
  <c r="I334" i="9" s="1"/>
  <c r="J244" i="6"/>
  <c r="J304" i="9"/>
  <c r="J318" i="9"/>
  <c r="J324" i="9"/>
  <c r="J328" i="9"/>
  <c r="J348" i="9"/>
  <c r="J346" i="9"/>
  <c r="J361" i="9"/>
  <c r="J238" i="6"/>
  <c r="F239" i="6"/>
  <c r="J239" i="6" s="1"/>
  <c r="E244" i="6"/>
  <c r="I244" i="6" s="1"/>
  <c r="J329" i="9"/>
  <c r="J327" i="9"/>
  <c r="J323" i="9"/>
  <c r="J221" i="6"/>
  <c r="I238" i="6"/>
  <c r="J298" i="9"/>
  <c r="E345" i="9"/>
  <c r="I345" i="9" s="1"/>
  <c r="J349" i="9"/>
  <c r="J314" i="9"/>
  <c r="I229" i="6"/>
  <c r="J319" i="9"/>
  <c r="J321" i="9"/>
  <c r="E323" i="9"/>
  <c r="I323" i="9" s="1"/>
  <c r="J326" i="9"/>
  <c r="E329" i="9"/>
  <c r="I329" i="9" s="1"/>
  <c r="J322" i="9"/>
  <c r="E327" i="9"/>
  <c r="I327" i="9" s="1"/>
  <c r="J330" i="9"/>
  <c r="E262" i="6"/>
  <c r="I262" i="6" s="1"/>
  <c r="J228" i="6"/>
  <c r="E240" i="6"/>
  <c r="I240" i="6" s="1"/>
  <c r="E322" i="9"/>
  <c r="I322" i="9" s="1"/>
  <c r="E324" i="9"/>
  <c r="I324" i="9" s="1"/>
  <c r="E326" i="9"/>
  <c r="I326" i="9" s="1"/>
  <c r="E328" i="9"/>
  <c r="I328" i="9" s="1"/>
  <c r="E330" i="9"/>
  <c r="I330" i="9" s="1"/>
  <c r="E346" i="9"/>
  <c r="I346" i="9" s="1"/>
  <c r="E349" i="9"/>
  <c r="I349" i="9" s="1"/>
  <c r="E361" i="9"/>
  <c r="I361" i="9" s="1"/>
  <c r="J224" i="6"/>
  <c r="J217" i="6"/>
  <c r="E302" i="9"/>
  <c r="I302" i="9" s="1"/>
  <c r="J218" i="6"/>
  <c r="E224" i="6"/>
  <c r="I224" i="6" s="1"/>
  <c r="E301" i="9"/>
  <c r="I301" i="9" s="1"/>
  <c r="J219" i="6"/>
  <c r="E221" i="6"/>
  <c r="I221" i="6" s="1"/>
  <c r="J206" i="6"/>
  <c r="E222" i="6"/>
  <c r="I222" i="6" s="1"/>
  <c r="E300" i="9"/>
  <c r="I300" i="9" s="1"/>
  <c r="E219" i="6"/>
  <c r="I219" i="6" s="1"/>
  <c r="E217" i="6"/>
  <c r="I217" i="6" s="1"/>
  <c r="J195" i="6"/>
  <c r="J214" i="6"/>
  <c r="E220" i="6"/>
  <c r="I220" i="6" s="1"/>
  <c r="J210" i="6"/>
  <c r="E214" i="6"/>
  <c r="I214" i="6" s="1"/>
  <c r="J296" i="9"/>
  <c r="J292" i="9"/>
  <c r="E296" i="9"/>
  <c r="I296" i="9" s="1"/>
  <c r="J291" i="9"/>
  <c r="J202" i="6"/>
  <c r="E210" i="6"/>
  <c r="I210" i="6" s="1"/>
  <c r="J294" i="9"/>
  <c r="J308" i="9"/>
  <c r="J288" i="9"/>
  <c r="J310" i="9"/>
  <c r="J286" i="9"/>
  <c r="J198" i="6"/>
  <c r="E206" i="6"/>
  <c r="I206" i="6" s="1"/>
  <c r="J281" i="9"/>
  <c r="E202" i="6"/>
  <c r="I202" i="6" s="1"/>
  <c r="E198" i="6"/>
  <c r="I198" i="6" s="1"/>
  <c r="J191" i="6"/>
  <c r="E195" i="6"/>
  <c r="I195" i="6" s="1"/>
  <c r="J284" i="9"/>
  <c r="E191" i="6"/>
  <c r="I191" i="6" s="1"/>
  <c r="J289" i="9"/>
  <c r="J307" i="9"/>
  <c r="J312" i="9"/>
  <c r="E308" i="9"/>
  <c r="I308" i="9" s="1"/>
  <c r="J311" i="9"/>
  <c r="J309" i="9"/>
  <c r="E286" i="9"/>
  <c r="I286" i="9" s="1"/>
  <c r="E289" i="9"/>
  <c r="I289" i="9" s="1"/>
  <c r="E291" i="9"/>
  <c r="I291" i="9" s="1"/>
  <c r="E298" i="9"/>
  <c r="I298" i="9" s="1"/>
  <c r="E304" i="9"/>
  <c r="I304" i="9" s="1"/>
  <c r="E307" i="9"/>
  <c r="I307" i="9" s="1"/>
  <c r="E309" i="9"/>
  <c r="I309" i="9" s="1"/>
  <c r="E311" i="9"/>
  <c r="I311" i="9" s="1"/>
  <c r="J278" i="9"/>
  <c r="E284" i="9"/>
  <c r="I284" i="9" s="1"/>
  <c r="J276" i="9"/>
  <c r="J279" i="9"/>
  <c r="E281" i="9"/>
  <c r="I281" i="9" s="1"/>
  <c r="E278" i="9"/>
  <c r="I278" i="9" s="1"/>
  <c r="J283" i="9"/>
  <c r="E283" i="9"/>
  <c r="I283" i="9" s="1"/>
  <c r="J277" i="9"/>
  <c r="J275" i="9"/>
  <c r="J274" i="9"/>
  <c r="E190" i="6"/>
  <c r="I190" i="6" s="1"/>
  <c r="J188" i="6"/>
  <c r="E188" i="6"/>
  <c r="I188" i="6" s="1"/>
  <c r="E279" i="9"/>
  <c r="I279" i="9" s="1"/>
  <c r="J282" i="9"/>
  <c r="E276" i="9"/>
  <c r="I276" i="9" s="1"/>
  <c r="J280" i="9"/>
  <c r="E275" i="9"/>
  <c r="I275" i="9" s="1"/>
  <c r="E277" i="9"/>
  <c r="I277" i="9" s="1"/>
  <c r="E280" i="9"/>
  <c r="I280" i="9" s="1"/>
  <c r="E282" i="9"/>
  <c r="I282" i="9" s="1"/>
  <c r="E267" i="9"/>
  <c r="I267" i="9" s="1"/>
  <c r="J249" i="9"/>
  <c r="J254" i="9"/>
  <c r="J263" i="9"/>
  <c r="J248" i="9"/>
  <c r="E254" i="9"/>
  <c r="I254" i="9" s="1"/>
  <c r="J239" i="9"/>
  <c r="E180" i="6"/>
  <c r="I180" i="6" s="1"/>
  <c r="E249" i="9"/>
  <c r="I249" i="9" s="1"/>
  <c r="J247" i="9"/>
  <c r="F182" i="6"/>
  <c r="J182" i="6" s="1"/>
  <c r="F183" i="6"/>
  <c r="J183" i="6" s="1"/>
  <c r="J180" i="6"/>
  <c r="J244" i="9"/>
  <c r="E248" i="9"/>
  <c r="I248" i="9" s="1"/>
  <c r="J228" i="9"/>
  <c r="J236" i="9"/>
  <c r="J232" i="9"/>
  <c r="J233" i="9"/>
  <c r="E232" i="9"/>
  <c r="I232" i="9" s="1"/>
  <c r="J237" i="9"/>
  <c r="J137" i="6"/>
  <c r="J231" i="9"/>
  <c r="J230" i="9"/>
  <c r="J150" i="6"/>
  <c r="J229" i="9"/>
  <c r="J222" i="9"/>
  <c r="J250" i="9"/>
  <c r="J133" i="6"/>
  <c r="J146" i="6"/>
  <c r="E177" i="6"/>
  <c r="I177" i="6" s="1"/>
  <c r="J234" i="9"/>
  <c r="J238" i="9"/>
  <c r="J227" i="9"/>
  <c r="J235" i="9"/>
  <c r="E228" i="9"/>
  <c r="I228" i="9" s="1"/>
  <c r="E229" i="9"/>
  <c r="I229" i="9" s="1"/>
  <c r="E231" i="9"/>
  <c r="I231" i="9" s="1"/>
  <c r="E250" i="9"/>
  <c r="I250" i="9" s="1"/>
  <c r="J225" i="9"/>
  <c r="E227" i="9"/>
  <c r="I227" i="9" s="1"/>
  <c r="E233" i="9"/>
  <c r="I233" i="9" s="1"/>
  <c r="E235" i="9"/>
  <c r="I235" i="9" s="1"/>
  <c r="E237" i="9"/>
  <c r="I237" i="9" s="1"/>
  <c r="E239" i="9"/>
  <c r="I239" i="9" s="1"/>
  <c r="J218" i="9"/>
  <c r="J224" i="9"/>
  <c r="E230" i="9"/>
  <c r="I230" i="9" s="1"/>
  <c r="J148" i="6"/>
  <c r="I151" i="6"/>
  <c r="F161" i="6"/>
  <c r="F160" i="6"/>
  <c r="J219" i="9"/>
  <c r="J221" i="9"/>
  <c r="E225" i="9"/>
  <c r="I225" i="9" s="1"/>
  <c r="J142" i="6"/>
  <c r="J147" i="6"/>
  <c r="J144" i="6"/>
  <c r="E221" i="9"/>
  <c r="I221" i="9" s="1"/>
  <c r="J220" i="9"/>
  <c r="J217" i="9"/>
  <c r="E219" i="9"/>
  <c r="I219" i="9" s="1"/>
  <c r="E220" i="9"/>
  <c r="I220" i="9" s="1"/>
  <c r="E218" i="9"/>
  <c r="I218" i="9" s="1"/>
  <c r="E222" i="9"/>
  <c r="I222" i="9" s="1"/>
  <c r="J214" i="9"/>
  <c r="E214" i="9"/>
  <c r="I214" i="9" s="1"/>
  <c r="J204" i="9"/>
  <c r="J129" i="6"/>
  <c r="J113" i="6"/>
  <c r="J141" i="6"/>
  <c r="J143" i="6"/>
  <c r="E141" i="6"/>
  <c r="I141" i="6" s="1"/>
  <c r="E147" i="6"/>
  <c r="I147" i="6" s="1"/>
  <c r="J145" i="6"/>
  <c r="E142" i="6"/>
  <c r="I142" i="6" s="1"/>
  <c r="E146" i="6"/>
  <c r="I146" i="6" s="1"/>
  <c r="E144" i="6"/>
  <c r="I144" i="6" s="1"/>
  <c r="J210" i="9"/>
  <c r="J202" i="9"/>
  <c r="J215" i="9"/>
  <c r="J183" i="9"/>
  <c r="J201" i="9"/>
  <c r="J212" i="9"/>
  <c r="E210" i="9"/>
  <c r="I210" i="9" s="1"/>
  <c r="E215" i="9"/>
  <c r="I215" i="9" s="1"/>
  <c r="E137" i="6"/>
  <c r="I137" i="6" s="1"/>
  <c r="J206" i="9"/>
  <c r="E133" i="6"/>
  <c r="I133" i="6" s="1"/>
  <c r="J200" i="9"/>
  <c r="E129" i="6"/>
  <c r="I129" i="6" s="1"/>
  <c r="J208" i="9"/>
  <c r="E206" i="9"/>
  <c r="I206" i="9" s="1"/>
  <c r="E208" i="9"/>
  <c r="I208" i="9" s="1"/>
  <c r="J195" i="9"/>
  <c r="J196" i="9"/>
  <c r="J199" i="9"/>
  <c r="J197" i="9"/>
  <c r="J198" i="9"/>
  <c r="E127" i="6"/>
  <c r="I127" i="6" s="1"/>
  <c r="E128" i="6"/>
  <c r="I128" i="6" s="1"/>
  <c r="J184" i="9"/>
  <c r="J186" i="9"/>
  <c r="J185" i="9"/>
  <c r="J126" i="6"/>
  <c r="E125" i="6"/>
  <c r="I125" i="6" s="1"/>
  <c r="E126" i="6"/>
  <c r="I126" i="6" s="1"/>
  <c r="E186" i="9"/>
  <c r="I186" i="9" s="1"/>
  <c r="E185" i="9"/>
  <c r="I185" i="9" s="1"/>
  <c r="J181" i="9"/>
  <c r="E184" i="9"/>
  <c r="I184" i="9" s="1"/>
  <c r="J182" i="9"/>
  <c r="E178" i="9"/>
  <c r="I178" i="9" s="1"/>
  <c r="J180" i="9"/>
  <c r="E183" i="9"/>
  <c r="I183" i="9" s="1"/>
  <c r="J187" i="9"/>
  <c r="E187" i="9"/>
  <c r="I187" i="9" s="1"/>
  <c r="E181" i="9"/>
  <c r="I181" i="9" s="1"/>
  <c r="E180" i="9"/>
  <c r="I180" i="9" s="1"/>
  <c r="J173" i="9"/>
  <c r="J118" i="6"/>
  <c r="F119" i="6"/>
  <c r="J119" i="6" s="1"/>
  <c r="I118" i="6"/>
  <c r="E113" i="6"/>
  <c r="I113" i="6" s="1"/>
  <c r="J116" i="6"/>
  <c r="F112" i="6"/>
  <c r="J112" i="6" s="1"/>
  <c r="E116" i="6"/>
  <c r="I116" i="6" s="1"/>
  <c r="F111" i="6"/>
  <c r="J110" i="6"/>
  <c r="I102" i="6"/>
  <c r="E110" i="6"/>
  <c r="I110" i="6" s="1"/>
  <c r="H261" i="9" l="1"/>
  <c r="K472" i="9"/>
  <c r="H368" i="9"/>
  <c r="J350" i="6"/>
  <c r="F272" i="6"/>
  <c r="F186" i="6"/>
  <c r="J267" i="9"/>
  <c r="J368" i="9" s="1"/>
  <c r="K368" i="9"/>
  <c r="J265" i="6"/>
  <c r="J178" i="9"/>
  <c r="E189" i="9"/>
  <c r="I189" i="9" s="1"/>
  <c r="J342" i="9"/>
  <c r="J160" i="6"/>
  <c r="J111" i="6"/>
  <c r="J190" i="9"/>
  <c r="J261" i="9" s="1"/>
  <c r="J359" i="9"/>
  <c r="K187" i="6"/>
  <c r="E269" i="9"/>
  <c r="I269" i="9" s="1"/>
  <c r="J269" i="9"/>
  <c r="J124" i="6"/>
  <c r="J189" i="9"/>
  <c r="K261" i="9" l="1"/>
  <c r="J272" i="6"/>
  <c r="J161" i="6"/>
  <c r="J262" i="9"/>
  <c r="H262" i="9"/>
  <c r="J100" i="6"/>
  <c r="E100" i="6"/>
  <c r="I100" i="6" s="1"/>
  <c r="J99" i="6"/>
  <c r="E99" i="6"/>
  <c r="I99" i="6" s="1"/>
  <c r="J98" i="6"/>
  <c r="E98" i="6"/>
  <c r="I98" i="6" s="1"/>
  <c r="F97" i="6"/>
  <c r="J96" i="6"/>
  <c r="E96" i="6"/>
  <c r="I96" i="6" s="1"/>
  <c r="J95" i="6"/>
  <c r="E95" i="6"/>
  <c r="I95" i="6" s="1"/>
  <c r="J94" i="6"/>
  <c r="E94" i="6"/>
  <c r="I94" i="6" s="1"/>
  <c r="F93" i="6"/>
  <c r="J92" i="6"/>
  <c r="E92" i="6"/>
  <c r="I92" i="6" s="1"/>
  <c r="J91" i="6"/>
  <c r="E91" i="6"/>
  <c r="I91" i="6" s="1"/>
  <c r="F89" i="6"/>
  <c r="E89" i="6" s="1"/>
  <c r="F51" i="9"/>
  <c r="F32" i="6"/>
  <c r="F29" i="6"/>
  <c r="F50" i="9"/>
  <c r="F48" i="9"/>
  <c r="F26" i="6"/>
  <c r="F22" i="6"/>
  <c r="F18" i="6"/>
  <c r="F15" i="6"/>
  <c r="F86" i="6"/>
  <c r="D88" i="6"/>
  <c r="H88" i="6" s="1"/>
  <c r="F88" i="6"/>
  <c r="E139" i="9"/>
  <c r="I139" i="9" s="1"/>
  <c r="D133" i="9"/>
  <c r="H133" i="9" s="1"/>
  <c r="D87" i="6"/>
  <c r="D86" i="6"/>
  <c r="H86" i="6" s="1"/>
  <c r="D85" i="6"/>
  <c r="H85" i="6" s="1"/>
  <c r="D84" i="6"/>
  <c r="H84" i="6" s="1"/>
  <c r="D127" i="9"/>
  <c r="H127" i="9" s="1"/>
  <c r="F126" i="9"/>
  <c r="F171" i="9" s="1"/>
  <c r="D126" i="9"/>
  <c r="H126" i="9" s="1"/>
  <c r="H87" i="6" l="1"/>
  <c r="J87" i="6" s="1"/>
  <c r="H122" i="6"/>
  <c r="F122" i="6"/>
  <c r="K171" i="9" s="1"/>
  <c r="J97" i="6"/>
  <c r="J93" i="6"/>
  <c r="E97" i="6"/>
  <c r="I97" i="6" s="1"/>
  <c r="E93" i="6"/>
  <c r="I93" i="6" s="1"/>
  <c r="E87" i="6"/>
  <c r="I87" i="6" s="1"/>
  <c r="E127" i="9"/>
  <c r="I127" i="9" s="1"/>
  <c r="D122" i="9"/>
  <c r="J170" i="9"/>
  <c r="E170" i="9"/>
  <c r="I170" i="9" s="1"/>
  <c r="J169" i="9"/>
  <c r="E169" i="9"/>
  <c r="I169" i="9" s="1"/>
  <c r="J168" i="9"/>
  <c r="E168" i="9"/>
  <c r="I168" i="9" s="1"/>
  <c r="J167" i="9"/>
  <c r="E167" i="9"/>
  <c r="I167" i="9" s="1"/>
  <c r="J166" i="9"/>
  <c r="E166" i="9"/>
  <c r="I166" i="9" s="1"/>
  <c r="E164" i="9"/>
  <c r="I164" i="9" s="1"/>
  <c r="E161" i="9"/>
  <c r="I161" i="9" s="1"/>
  <c r="J156" i="9"/>
  <c r="E156" i="9"/>
  <c r="I156" i="9" s="1"/>
  <c r="J155" i="9"/>
  <c r="E155" i="9"/>
  <c r="I155" i="9" s="1"/>
  <c r="E153" i="9"/>
  <c r="I153" i="9" s="1"/>
  <c r="E147" i="9"/>
  <c r="I147" i="9" s="1"/>
  <c r="E144" i="9"/>
  <c r="I144" i="9" s="1"/>
  <c r="E141" i="9"/>
  <c r="I141" i="9" s="1"/>
  <c r="E136" i="9"/>
  <c r="I136" i="9" s="1"/>
  <c r="E134" i="9"/>
  <c r="I134" i="9" s="1"/>
  <c r="J133" i="9"/>
  <c r="E133" i="9"/>
  <c r="I133" i="9" s="1"/>
  <c r="J132" i="9"/>
  <c r="E132" i="9"/>
  <c r="I132" i="9" s="1"/>
  <c r="J125" i="9"/>
  <c r="E125" i="9"/>
  <c r="I125" i="9" s="1"/>
  <c r="J127" i="9"/>
  <c r="J126" i="9"/>
  <c r="E126" i="9"/>
  <c r="I126" i="9" s="1"/>
  <c r="J124" i="9"/>
  <c r="E124" i="9"/>
  <c r="I124" i="9" s="1"/>
  <c r="J130" i="9"/>
  <c r="E130" i="9"/>
  <c r="I130" i="9" s="1"/>
  <c r="J129" i="9"/>
  <c r="E129" i="9"/>
  <c r="I129" i="9" s="1"/>
  <c r="J128" i="9"/>
  <c r="E128" i="9"/>
  <c r="I128" i="9" s="1"/>
  <c r="J121" i="9"/>
  <c r="E121" i="9"/>
  <c r="I121" i="9" s="1"/>
  <c r="J120" i="9"/>
  <c r="E120" i="9"/>
  <c r="I120" i="9" s="1"/>
  <c r="J118" i="9"/>
  <c r="E118" i="9"/>
  <c r="I118" i="9" s="1"/>
  <c r="E117" i="9"/>
  <c r="I117" i="9" s="1"/>
  <c r="E80" i="6"/>
  <c r="I80" i="6" s="1"/>
  <c r="J80" i="6"/>
  <c r="E84" i="6"/>
  <c r="E85" i="6"/>
  <c r="E86" i="6"/>
  <c r="E88" i="6"/>
  <c r="E108" i="9"/>
  <c r="I108" i="9" s="1"/>
  <c r="E112" i="9"/>
  <c r="I112" i="9" s="1"/>
  <c r="E111" i="9"/>
  <c r="I111" i="9" s="1"/>
  <c r="J110" i="9"/>
  <c r="E110" i="9"/>
  <c r="I110" i="9" s="1"/>
  <c r="D79" i="6"/>
  <c r="H79" i="6" s="1"/>
  <c r="F106" i="9"/>
  <c r="E106" i="9" s="1"/>
  <c r="I106" i="9" s="1"/>
  <c r="D78" i="6"/>
  <c r="H78" i="6" s="1"/>
  <c r="D105" i="9"/>
  <c r="D104" i="9"/>
  <c r="D103" i="9"/>
  <c r="J101" i="9"/>
  <c r="F71" i="6"/>
  <c r="D71" i="6"/>
  <c r="H71" i="6" s="1"/>
  <c r="E99" i="9"/>
  <c r="I99" i="9" s="1"/>
  <c r="F74" i="6"/>
  <c r="D74" i="6"/>
  <c r="H74" i="6" s="1"/>
  <c r="E96" i="9"/>
  <c r="I96" i="9" s="1"/>
  <c r="E97" i="9"/>
  <c r="I97" i="9" s="1"/>
  <c r="E98" i="9"/>
  <c r="I98" i="9" s="1"/>
  <c r="E95" i="9"/>
  <c r="I95" i="9" s="1"/>
  <c r="J114" i="9"/>
  <c r="E114" i="9"/>
  <c r="I114" i="9" s="1"/>
  <c r="J113" i="9"/>
  <c r="E113" i="9"/>
  <c r="I113" i="9" s="1"/>
  <c r="E92" i="9"/>
  <c r="I92" i="9" s="1"/>
  <c r="E77" i="6"/>
  <c r="F77" i="6" s="1"/>
  <c r="E76" i="6"/>
  <c r="F76" i="6" s="1"/>
  <c r="E89" i="9"/>
  <c r="I89" i="9" s="1"/>
  <c r="E88" i="9"/>
  <c r="I88" i="9" s="1"/>
  <c r="E86" i="9"/>
  <c r="I86" i="9" s="1"/>
  <c r="E85" i="9"/>
  <c r="I85" i="9" s="1"/>
  <c r="J73" i="6"/>
  <c r="E73" i="6"/>
  <c r="I73" i="6" s="1"/>
  <c r="J72" i="6"/>
  <c r="E72" i="6"/>
  <c r="I72" i="6" s="1"/>
  <c r="J91" i="9"/>
  <c r="E91" i="9"/>
  <c r="I91" i="9" s="1"/>
  <c r="E82" i="9"/>
  <c r="I82" i="9" s="1"/>
  <c r="E83" i="9"/>
  <c r="I83" i="9" s="1"/>
  <c r="E81" i="9"/>
  <c r="I81" i="9" s="1"/>
  <c r="E79" i="9"/>
  <c r="I79" i="9" s="1"/>
  <c r="E78" i="9"/>
  <c r="I78" i="9" s="1"/>
  <c r="E77" i="9"/>
  <c r="I77" i="9" s="1"/>
  <c r="J87" i="9"/>
  <c r="I87" i="9"/>
  <c r="F66" i="6"/>
  <c r="J67" i="6"/>
  <c r="E67" i="6"/>
  <c r="I67" i="6" s="1"/>
  <c r="F76" i="9"/>
  <c r="E75" i="9"/>
  <c r="I75" i="9" s="1"/>
  <c r="E73" i="9"/>
  <c r="I73" i="9" s="1"/>
  <c r="E72" i="9"/>
  <c r="I72" i="9" s="1"/>
  <c r="E71" i="9"/>
  <c r="I71" i="9" s="1"/>
  <c r="E68" i="9"/>
  <c r="I68" i="9" s="1"/>
  <c r="E69" i="9"/>
  <c r="I69" i="9" s="1"/>
  <c r="E70" i="9"/>
  <c r="I70" i="9" s="1"/>
  <c r="E67" i="9"/>
  <c r="I67" i="9" s="1"/>
  <c r="K67" i="9"/>
  <c r="J56" i="6"/>
  <c r="E56" i="6"/>
  <c r="I56" i="6" s="1"/>
  <c r="J92" i="9"/>
  <c r="E45" i="6"/>
  <c r="E44" i="6"/>
  <c r="E43" i="6"/>
  <c r="E42" i="6"/>
  <c r="E41" i="6"/>
  <c r="E40" i="6"/>
  <c r="E39" i="6"/>
  <c r="E50" i="6"/>
  <c r="I50" i="6" s="1"/>
  <c r="E49" i="6"/>
  <c r="I49" i="6" s="1"/>
  <c r="F51" i="6"/>
  <c r="E65" i="9"/>
  <c r="I65" i="9" s="1"/>
  <c r="E64" i="9"/>
  <c r="I64" i="9" s="1"/>
  <c r="D50" i="6"/>
  <c r="H50" i="6" s="1"/>
  <c r="D49" i="6"/>
  <c r="H49" i="6" s="1"/>
  <c r="J52" i="6"/>
  <c r="F48" i="6"/>
  <c r="F47" i="6"/>
  <c r="F38" i="6"/>
  <c r="D38" i="6"/>
  <c r="H38" i="6" s="1"/>
  <c r="F39" i="6"/>
  <c r="F60" i="9"/>
  <c r="E60" i="9" s="1"/>
  <c r="I60" i="9" s="1"/>
  <c r="D45" i="6"/>
  <c r="H45" i="6" s="1"/>
  <c r="D44" i="6"/>
  <c r="H44" i="6" s="1"/>
  <c r="D43" i="6"/>
  <c r="H43" i="6" s="1"/>
  <c r="D42" i="6"/>
  <c r="H42" i="6" s="1"/>
  <c r="D41" i="6"/>
  <c r="H41" i="6" s="1"/>
  <c r="D40" i="6"/>
  <c r="H40" i="6" s="1"/>
  <c r="D39" i="6"/>
  <c r="H39" i="6" s="1"/>
  <c r="F59" i="9"/>
  <c r="E59" i="9" s="1"/>
  <c r="I59" i="9" s="1"/>
  <c r="F58" i="9"/>
  <c r="E58" i="9" s="1"/>
  <c r="I58" i="9" s="1"/>
  <c r="F56" i="9"/>
  <c r="E56" i="9" s="1"/>
  <c r="I56" i="9" s="1"/>
  <c r="F57" i="9"/>
  <c r="E57" i="9" s="1"/>
  <c r="I57" i="9" s="1"/>
  <c r="F62" i="9"/>
  <c r="E62" i="9" s="1"/>
  <c r="I62" i="9" s="1"/>
  <c r="F61" i="9"/>
  <c r="E61" i="9" s="1"/>
  <c r="I61" i="9" s="1"/>
  <c r="F36" i="6"/>
  <c r="F53" i="9"/>
  <c r="E53" i="9" s="1"/>
  <c r="I53" i="9" s="1"/>
  <c r="E50" i="9"/>
  <c r="I50" i="9" s="1"/>
  <c r="D12" i="6"/>
  <c r="H12" i="6" s="1"/>
  <c r="J44" i="9"/>
  <c r="J46" i="9"/>
  <c r="E46" i="9"/>
  <c r="I46" i="9" s="1"/>
  <c r="E44" i="9"/>
  <c r="I44" i="9" s="1"/>
  <c r="F12" i="6"/>
  <c r="E43" i="9"/>
  <c r="E41" i="9"/>
  <c r="I41" i="9" s="1"/>
  <c r="E27" i="9"/>
  <c r="I27" i="9" s="1"/>
  <c r="E29" i="9"/>
  <c r="I29" i="9" s="1"/>
  <c r="E30" i="9"/>
  <c r="I30" i="9" s="1"/>
  <c r="E31" i="9"/>
  <c r="I31" i="9" s="1"/>
  <c r="E32" i="9"/>
  <c r="I32" i="9" s="1"/>
  <c r="E33" i="9"/>
  <c r="I33" i="9" s="1"/>
  <c r="E34" i="9"/>
  <c r="I34" i="9" s="1"/>
  <c r="E35" i="9"/>
  <c r="I35" i="9" s="1"/>
  <c r="E36" i="9"/>
  <c r="I36" i="9" s="1"/>
  <c r="E37" i="9"/>
  <c r="I37" i="9" s="1"/>
  <c r="E38" i="9"/>
  <c r="I38" i="9" s="1"/>
  <c r="E39" i="9"/>
  <c r="I39" i="9" s="1"/>
  <c r="J52" i="9"/>
  <c r="E52" i="9"/>
  <c r="I52" i="9" s="1"/>
  <c r="E51" i="9"/>
  <c r="I51" i="9" s="1"/>
  <c r="E32" i="6"/>
  <c r="I32" i="6" s="1"/>
  <c r="D35" i="6"/>
  <c r="F33" i="6"/>
  <c r="E33" i="6" s="1"/>
  <c r="I33" i="6" s="1"/>
  <c r="J34" i="6"/>
  <c r="E34" i="6"/>
  <c r="I34" i="6" s="1"/>
  <c r="F28" i="6"/>
  <c r="F31" i="6"/>
  <c r="F30" i="6"/>
  <c r="E26" i="6"/>
  <c r="I26" i="6" s="1"/>
  <c r="E48" i="9"/>
  <c r="I48" i="9" s="1"/>
  <c r="E29" i="6"/>
  <c r="I29" i="6" s="1"/>
  <c r="J49" i="9"/>
  <c r="E49" i="9"/>
  <c r="I49" i="9" s="1"/>
  <c r="F27" i="6"/>
  <c r="E22" i="6"/>
  <c r="I22" i="6" s="1"/>
  <c r="E18" i="6"/>
  <c r="I18" i="6" s="1"/>
  <c r="E15" i="6"/>
  <c r="I15" i="6" s="1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4" i="6" s="1"/>
  <c r="J10" i="6"/>
  <c r="E10" i="6"/>
  <c r="I10" i="6" s="1"/>
  <c r="I7" i="6"/>
  <c r="J25" i="9"/>
  <c r="E25" i="9"/>
  <c r="I25" i="9" s="1"/>
  <c r="J24" i="9"/>
  <c r="E24" i="9"/>
  <c r="I24" i="9" s="1"/>
  <c r="J23" i="9"/>
  <c r="E23" i="9"/>
  <c r="I23" i="9" s="1"/>
  <c r="J16" i="9"/>
  <c r="E16" i="9"/>
  <c r="I16" i="9" s="1"/>
  <c r="J15" i="9"/>
  <c r="E15" i="9"/>
  <c r="I15" i="9" s="1"/>
  <c r="J14" i="9"/>
  <c r="E14" i="9"/>
  <c r="I14" i="9" s="1"/>
  <c r="J13" i="9"/>
  <c r="E13" i="9"/>
  <c r="I13" i="9" s="1"/>
  <c r="J12" i="9"/>
  <c r="E12" i="9"/>
  <c r="I12" i="9" s="1"/>
  <c r="J11" i="9"/>
  <c r="E11" i="9"/>
  <c r="I11" i="9" s="1"/>
  <c r="E10" i="9"/>
  <c r="I10" i="9" s="1"/>
  <c r="H35" i="6" l="1"/>
  <c r="J35" i="6" s="1"/>
  <c r="F115" i="9"/>
  <c r="F594" i="9" s="1"/>
  <c r="C3" i="10" s="1"/>
  <c r="E76" i="9"/>
  <c r="I76" i="9" s="1"/>
  <c r="H103" i="9"/>
  <c r="H115" i="9" s="1"/>
  <c r="I43" i="9"/>
  <c r="K43" i="9"/>
  <c r="H104" i="9"/>
  <c r="J104" i="9" s="1"/>
  <c r="H122" i="9"/>
  <c r="H171" i="9" s="1"/>
  <c r="H594" i="9" s="1"/>
  <c r="F3" i="10" s="1"/>
  <c r="H105" i="9"/>
  <c r="J105" i="9" s="1"/>
  <c r="J111" i="9"/>
  <c r="J95" i="9"/>
  <c r="J112" i="9"/>
  <c r="J7" i="6"/>
  <c r="J117" i="9"/>
  <c r="E26" i="9"/>
  <c r="I26" i="9" s="1"/>
  <c r="J62" i="9"/>
  <c r="E122" i="9"/>
  <c r="I122" i="9" s="1"/>
  <c r="J138" i="9"/>
  <c r="J150" i="9"/>
  <c r="J141" i="9"/>
  <c r="J147" i="9"/>
  <c r="J161" i="9"/>
  <c r="E150" i="9"/>
  <c r="I150" i="9" s="1"/>
  <c r="J159" i="9"/>
  <c r="J164" i="9"/>
  <c r="J96" i="9"/>
  <c r="J134" i="9"/>
  <c r="E159" i="9"/>
  <c r="I159" i="9" s="1"/>
  <c r="J149" i="9"/>
  <c r="J136" i="9"/>
  <c r="E149" i="9"/>
  <c r="I149" i="9" s="1"/>
  <c r="E138" i="9"/>
  <c r="I138" i="9" s="1"/>
  <c r="J148" i="9"/>
  <c r="E148" i="9"/>
  <c r="I148" i="9" s="1"/>
  <c r="J152" i="9"/>
  <c r="E152" i="9"/>
  <c r="I152" i="9" s="1"/>
  <c r="J135" i="9"/>
  <c r="E135" i="9"/>
  <c r="I135" i="9" s="1"/>
  <c r="J137" i="9"/>
  <c r="E137" i="9"/>
  <c r="I137" i="9" s="1"/>
  <c r="J139" i="9"/>
  <c r="J142" i="9"/>
  <c r="E142" i="9"/>
  <c r="I142" i="9" s="1"/>
  <c r="J144" i="9"/>
  <c r="J153" i="9"/>
  <c r="J160" i="9"/>
  <c r="E160" i="9"/>
  <c r="I160" i="9" s="1"/>
  <c r="J108" i="9"/>
  <c r="J106" i="9"/>
  <c r="E105" i="9"/>
  <c r="I105" i="9" s="1"/>
  <c r="E104" i="9"/>
  <c r="I104" i="9" s="1"/>
  <c r="E103" i="9"/>
  <c r="I103" i="9" s="1"/>
  <c r="J100" i="9"/>
  <c r="E100" i="9"/>
  <c r="I100" i="9" s="1"/>
  <c r="J98" i="9"/>
  <c r="E101" i="9"/>
  <c r="I101" i="9" s="1"/>
  <c r="J99" i="9"/>
  <c r="J97" i="9"/>
  <c r="J88" i="9"/>
  <c r="J77" i="6"/>
  <c r="I77" i="6"/>
  <c r="J86" i="9"/>
  <c r="J89" i="9"/>
  <c r="J74" i="6"/>
  <c r="E74" i="6"/>
  <c r="I74" i="6" s="1"/>
  <c r="J85" i="9"/>
  <c r="J83" i="9"/>
  <c r="J71" i="6"/>
  <c r="E71" i="6"/>
  <c r="I71" i="6" s="1"/>
  <c r="J76" i="9"/>
  <c r="J75" i="9"/>
  <c r="J82" i="9"/>
  <c r="J81" i="9"/>
  <c r="J79" i="9"/>
  <c r="J78" i="9"/>
  <c r="J77" i="9"/>
  <c r="J68" i="9"/>
  <c r="J74" i="9"/>
  <c r="E74" i="9"/>
  <c r="I74" i="9" s="1"/>
  <c r="J71" i="9"/>
  <c r="J72" i="9"/>
  <c r="J73" i="9"/>
  <c r="J67" i="9"/>
  <c r="J69" i="9"/>
  <c r="J70" i="9"/>
  <c r="F49" i="6"/>
  <c r="J49" i="6" s="1"/>
  <c r="F50" i="6"/>
  <c r="J50" i="6" s="1"/>
  <c r="J65" i="9"/>
  <c r="J64" i="9"/>
  <c r="J51" i="6"/>
  <c r="E52" i="6"/>
  <c r="I52" i="6" s="1"/>
  <c r="E51" i="6"/>
  <c r="I51" i="6" s="1"/>
  <c r="J48" i="6"/>
  <c r="E48" i="6"/>
  <c r="I48" i="6" s="1"/>
  <c r="J47" i="6"/>
  <c r="E47" i="6"/>
  <c r="I47" i="6" s="1"/>
  <c r="J60" i="9"/>
  <c r="J61" i="9"/>
  <c r="J57" i="9"/>
  <c r="J36" i="6"/>
  <c r="J59" i="9"/>
  <c r="J58" i="9"/>
  <c r="J56" i="9"/>
  <c r="E35" i="6"/>
  <c r="I35" i="6" s="1"/>
  <c r="E36" i="6"/>
  <c r="I36" i="6" s="1"/>
  <c r="J34" i="9"/>
  <c r="J37" i="9"/>
  <c r="J33" i="9"/>
  <c r="J29" i="9"/>
  <c r="J32" i="9"/>
  <c r="J38" i="9"/>
  <c r="J30" i="9"/>
  <c r="J39" i="9"/>
  <c r="J35" i="9"/>
  <c r="J31" i="9"/>
  <c r="J27" i="9"/>
  <c r="J36" i="9"/>
  <c r="J28" i="9"/>
  <c r="J32" i="6"/>
  <c r="J50" i="9"/>
  <c r="J54" i="9"/>
  <c r="J26" i="6"/>
  <c r="J53" i="9"/>
  <c r="J51" i="9"/>
  <c r="E54" i="9"/>
  <c r="I54" i="9" s="1"/>
  <c r="J33" i="6"/>
  <c r="J22" i="6"/>
  <c r="J29" i="6"/>
  <c r="J31" i="6"/>
  <c r="J30" i="6"/>
  <c r="E31" i="6"/>
  <c r="I31" i="6" s="1"/>
  <c r="E30" i="6"/>
  <c r="I30" i="6" s="1"/>
  <c r="J27" i="6"/>
  <c r="E27" i="6"/>
  <c r="I27" i="6" s="1"/>
  <c r="J18" i="6"/>
  <c r="J19" i="6"/>
  <c r="J15" i="6"/>
  <c r="E19" i="6"/>
  <c r="I19" i="6" s="1"/>
  <c r="F46" i="6"/>
  <c r="E38" i="6"/>
  <c r="I38" i="6" s="1"/>
  <c r="D37" i="6"/>
  <c r="H37" i="6" s="1"/>
  <c r="J79" i="6"/>
  <c r="E79" i="6"/>
  <c r="I79" i="6" s="1"/>
  <c r="J78" i="6"/>
  <c r="E78" i="6"/>
  <c r="I78" i="6" s="1"/>
  <c r="J76" i="6"/>
  <c r="I76" i="6"/>
  <c r="J75" i="6"/>
  <c r="E75" i="6"/>
  <c r="I75" i="6" s="1"/>
  <c r="J90" i="6"/>
  <c r="E90" i="6"/>
  <c r="I90" i="6" s="1"/>
  <c r="I89" i="6"/>
  <c r="J88" i="6"/>
  <c r="I88" i="6"/>
  <c r="J86" i="6"/>
  <c r="I86" i="6"/>
  <c r="J85" i="6"/>
  <c r="I85" i="6"/>
  <c r="I84" i="6"/>
  <c r="J70" i="6"/>
  <c r="E70" i="6"/>
  <c r="I70" i="6" s="1"/>
  <c r="J69" i="6"/>
  <c r="E69" i="6"/>
  <c r="I69" i="6" s="1"/>
  <c r="J68" i="6"/>
  <c r="E68" i="6"/>
  <c r="I68" i="6" s="1"/>
  <c r="E66" i="6"/>
  <c r="I66" i="6" s="1"/>
  <c r="J65" i="6"/>
  <c r="E65" i="6"/>
  <c r="I65" i="6" s="1"/>
  <c r="J64" i="6"/>
  <c r="E64" i="6"/>
  <c r="I64" i="6" s="1"/>
  <c r="J63" i="6"/>
  <c r="E63" i="6"/>
  <c r="I63" i="6" s="1"/>
  <c r="J62" i="6"/>
  <c r="E62" i="6"/>
  <c r="I62" i="6" s="1"/>
  <c r="J61" i="6"/>
  <c r="E61" i="6"/>
  <c r="I61" i="6" s="1"/>
  <c r="J60" i="6"/>
  <c r="E60" i="6"/>
  <c r="I60" i="6" s="1"/>
  <c r="J59" i="6"/>
  <c r="E59" i="6"/>
  <c r="I59" i="6" s="1"/>
  <c r="J58" i="6"/>
  <c r="E58" i="6"/>
  <c r="I58" i="6" s="1"/>
  <c r="J57" i="6"/>
  <c r="E57" i="6"/>
  <c r="I57" i="6" s="1"/>
  <c r="J55" i="6"/>
  <c r="E55" i="6"/>
  <c r="I55" i="6" s="1"/>
  <c r="J54" i="6"/>
  <c r="E54" i="6"/>
  <c r="I54" i="6" s="1"/>
  <c r="J53" i="6"/>
  <c r="E53" i="6"/>
  <c r="I53" i="6" s="1"/>
  <c r="I39" i="6"/>
  <c r="J12" i="6"/>
  <c r="E12" i="6"/>
  <c r="I12" i="6" s="1"/>
  <c r="J9" i="6"/>
  <c r="E9" i="6"/>
  <c r="I9" i="6" s="1"/>
  <c r="E8" i="6"/>
  <c r="G8" i="6" s="1"/>
  <c r="H8" i="6" s="1"/>
  <c r="H82" i="6" s="1"/>
  <c r="L3" i="10" l="1"/>
  <c r="L11" i="10" s="1"/>
  <c r="I3" i="10"/>
  <c r="F82" i="6"/>
  <c r="F450" i="6" s="1"/>
  <c r="D3" i="10" s="1"/>
  <c r="J89" i="6"/>
  <c r="J66" i="6"/>
  <c r="E46" i="6"/>
  <c r="I46" i="6" s="1"/>
  <c r="J103" i="9"/>
  <c r="J122" i="9"/>
  <c r="J171" i="9" s="1"/>
  <c r="J84" i="6"/>
  <c r="J46" i="6"/>
  <c r="E14" i="6"/>
  <c r="I14" i="6" s="1"/>
  <c r="E24" i="6"/>
  <c r="I24" i="6" s="1"/>
  <c r="E37" i="6"/>
  <c r="I37" i="6" s="1"/>
  <c r="J17" i="6"/>
  <c r="E25" i="6"/>
  <c r="I25" i="6" s="1"/>
  <c r="J24" i="6"/>
  <c r="E17" i="6"/>
  <c r="I17" i="6" s="1"/>
  <c r="E28" i="6"/>
  <c r="I28" i="6" s="1"/>
  <c r="J38" i="6"/>
  <c r="J37" i="6"/>
  <c r="J28" i="6"/>
  <c r="J25" i="6"/>
  <c r="J14" i="6"/>
  <c r="O3" i="10" l="1"/>
  <c r="O11" i="10" s="1"/>
  <c r="E3" i="10"/>
  <c r="J122" i="6"/>
  <c r="K115" i="9"/>
  <c r="J21" i="9"/>
  <c r="J20" i="9"/>
  <c r="E19" i="9"/>
  <c r="I19" i="9" s="1"/>
  <c r="J18" i="9"/>
  <c r="E18" i="9"/>
  <c r="I18" i="9" s="1"/>
  <c r="A8" i="9"/>
  <c r="A10" i="9" l="1"/>
  <c r="E8" i="9"/>
  <c r="I8" i="9" s="1"/>
  <c r="J17" i="9"/>
  <c r="J8" i="9"/>
  <c r="J7" i="9"/>
  <c r="E21" i="9"/>
  <c r="I21" i="9" s="1"/>
  <c r="J19" i="9"/>
  <c r="J48" i="9"/>
  <c r="E7" i="9"/>
  <c r="I7" i="9" s="1"/>
  <c r="E17" i="9"/>
  <c r="I17" i="9" s="1"/>
  <c r="E20" i="9"/>
  <c r="I20" i="9" s="1"/>
  <c r="E6" i="8" l="1"/>
  <c r="D6" i="8"/>
  <c r="D5" i="8"/>
  <c r="E5" i="8"/>
  <c r="G5" i="8" l="1"/>
  <c r="G6" i="8"/>
  <c r="H5" i="8"/>
  <c r="H6" i="8"/>
  <c r="E4" i="8" l="1"/>
  <c r="G4" i="8" l="1"/>
  <c r="D4" i="8" l="1"/>
  <c r="H4" i="8" l="1"/>
  <c r="A11" i="9" l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85" i="6" l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23" i="9"/>
  <c r="A24" i="9" s="1"/>
  <c r="A25" i="9" s="1"/>
  <c r="J6" i="8"/>
  <c r="A111" i="6" l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26" i="9"/>
  <c r="A27" i="9" s="1"/>
  <c r="A28" i="9" s="1"/>
  <c r="A29" i="9" s="1"/>
  <c r="A30" i="9" s="1"/>
  <c r="A31" i="9" s="1"/>
  <c r="A32" i="9" s="1"/>
  <c r="A33" i="9" s="1"/>
  <c r="A34" i="9" s="1"/>
  <c r="A35" i="9" s="1"/>
  <c r="G8" i="8"/>
  <c r="J7" i="8"/>
  <c r="J5" i="8"/>
  <c r="A185" i="6" l="1"/>
  <c r="A188" i="6" s="1"/>
  <c r="A189" i="6" s="1"/>
  <c r="A190" i="6" s="1"/>
  <c r="A36" i="9"/>
  <c r="A37" i="9" s="1"/>
  <c r="A38" i="9" s="1"/>
  <c r="A39" i="9" s="1"/>
  <c r="A41" i="9" s="1"/>
  <c r="A43" i="9" s="1"/>
  <c r="A44" i="9" s="1"/>
  <c r="A191" i="6" l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46" i="9"/>
  <c r="A271" i="6" l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48" i="9"/>
  <c r="A49" i="9" s="1"/>
  <c r="A50" i="9" s="1"/>
  <c r="A51" i="9" s="1"/>
  <c r="A52" i="9" s="1"/>
  <c r="A53" i="9" s="1"/>
  <c r="A54" i="9" s="1"/>
  <c r="A56" i="9" s="1"/>
  <c r="A57" i="9" s="1"/>
  <c r="A58" i="9" s="1"/>
  <c r="A59" i="9" s="1"/>
  <c r="A349" i="6" l="1"/>
  <c r="A352" i="6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60" i="9"/>
  <c r="A61" i="9" s="1"/>
  <c r="A62" i="9" s="1"/>
  <c r="A64" i="9" s="1"/>
  <c r="A65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1" i="9" s="1"/>
  <c r="A82" i="9" s="1"/>
  <c r="A83" i="9" s="1"/>
  <c r="A85" i="9" s="1"/>
  <c r="J4" i="8"/>
  <c r="D8" i="8"/>
  <c r="J8" i="8" s="1"/>
  <c r="A86" i="9" l="1"/>
  <c r="A87" i="9" s="1"/>
  <c r="A88" i="9" s="1"/>
  <c r="A89" i="9" s="1"/>
  <c r="A5" i="8"/>
  <c r="A6" i="8" s="1"/>
  <c r="A7" i="8" s="1"/>
  <c r="A91" i="9" l="1"/>
  <c r="A92" i="9" s="1"/>
  <c r="A95" i="9" s="1"/>
  <c r="F6" i="8"/>
  <c r="F7" i="8"/>
  <c r="A96" i="9" l="1"/>
  <c r="A97" i="9" s="1"/>
  <c r="A98" i="9" s="1"/>
  <c r="A99" i="9" s="1"/>
  <c r="A100" i="9" s="1"/>
  <c r="A101" i="9" s="1"/>
  <c r="A103" i="9" s="1"/>
  <c r="A104" i="9" s="1"/>
  <c r="K7" i="8"/>
  <c r="L7" i="8" s="1"/>
  <c r="I7" i="8"/>
  <c r="A105" i="9" l="1"/>
  <c r="A106" i="9" s="1"/>
  <c r="A108" i="9" s="1"/>
  <c r="K6" i="8"/>
  <c r="L6" i="8" s="1"/>
  <c r="I6" i="8"/>
  <c r="I5" i="8"/>
  <c r="A110" i="9" l="1"/>
  <c r="A111" i="9" s="1"/>
  <c r="A112" i="9" s="1"/>
  <c r="A113" i="9" s="1"/>
  <c r="A114" i="9" s="1"/>
  <c r="K5" i="8"/>
  <c r="E8" i="8"/>
  <c r="F4" i="8"/>
  <c r="F5" i="8"/>
  <c r="A117" i="9" l="1"/>
  <c r="A118" i="9" s="1"/>
  <c r="A120" i="9" s="1"/>
  <c r="A121" i="9" s="1"/>
  <c r="A122" i="9" s="1"/>
  <c r="A124" i="9" s="1"/>
  <c r="A125" i="9" s="1"/>
  <c r="A126" i="9" s="1"/>
  <c r="A127" i="9" s="1"/>
  <c r="A128" i="9" s="1"/>
  <c r="A129" i="9" s="1"/>
  <c r="A130" i="9" s="1"/>
  <c r="A132" i="9" s="1"/>
  <c r="A133" i="9" s="1"/>
  <c r="A134" i="9" s="1"/>
  <c r="A135" i="9" s="1"/>
  <c r="A136" i="9" s="1"/>
  <c r="A137" i="9" s="1"/>
  <c r="A138" i="9" s="1"/>
  <c r="A139" i="9" s="1"/>
  <c r="F8" i="8"/>
  <c r="F10" i="8" s="1"/>
  <c r="L5" i="8"/>
  <c r="A141" i="9" l="1"/>
  <c r="A142" i="9" s="1"/>
  <c r="A144" i="9" s="1"/>
  <c r="A147" i="9" s="1"/>
  <c r="A148" i="9" l="1"/>
  <c r="A149" i="9" s="1"/>
  <c r="A150" i="9" s="1"/>
  <c r="A152" i="9" s="1"/>
  <c r="A153" i="9" l="1"/>
  <c r="A155" i="9" s="1"/>
  <c r="A156" i="9" s="1"/>
  <c r="H8" i="8"/>
  <c r="K8" i="8" s="1"/>
  <c r="K4" i="8"/>
  <c r="L4" i="8" s="1"/>
  <c r="I4" i="8"/>
  <c r="I8" i="8" s="1"/>
  <c r="A159" i="9" l="1"/>
  <c r="A160" i="9" s="1"/>
  <c r="A161" i="9" s="1"/>
  <c r="L8" i="8"/>
  <c r="A164" i="9" l="1"/>
  <c r="A166" i="9" s="1"/>
  <c r="A167" i="9" s="1"/>
  <c r="A168" i="9" s="1"/>
  <c r="A169" i="9" s="1"/>
  <c r="A170" i="9" s="1"/>
  <c r="A173" i="9" s="1"/>
  <c r="A174" i="9" s="1"/>
  <c r="A176" i="9" s="1"/>
  <c r="A177" i="9" s="1"/>
  <c r="A178" i="9" s="1"/>
  <c r="A162" i="9"/>
  <c r="A180" i="9" l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4" i="9" s="1"/>
  <c r="A206" i="9" s="1"/>
  <c r="A208" i="9" s="1"/>
  <c r="A210" i="9" s="1"/>
  <c r="A211" i="9" s="1"/>
  <c r="A212" i="9" s="1"/>
  <c r="A213" i="9" s="1"/>
  <c r="A214" i="9" s="1"/>
  <c r="A215" i="9" s="1"/>
  <c r="A217" i="9" s="1"/>
  <c r="A218" i="9" s="1"/>
  <c r="A219" i="9" s="1"/>
  <c r="A220" i="9" s="1"/>
  <c r="A221" i="9" s="1"/>
  <c r="A222" i="9" s="1"/>
  <c r="A224" i="9" s="1"/>
  <c r="A225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1" i="9" s="1"/>
  <c r="V30" i="4"/>
  <c r="V29" i="4"/>
  <c r="A243" i="9" l="1"/>
  <c r="A244" i="9" s="1"/>
  <c r="A250" i="9"/>
  <c r="W124" i="4"/>
  <c r="Y124" i="4" s="1"/>
  <c r="A247" i="9" l="1"/>
  <c r="A248" i="9" s="1"/>
  <c r="A249" i="9" s="1"/>
  <c r="A251" i="9"/>
  <c r="A252" i="9" s="1"/>
  <c r="A254" i="9" s="1"/>
  <c r="Y643" i="4"/>
  <c r="Y554" i="4"/>
  <c r="V554" i="4"/>
  <c r="T549" i="4"/>
  <c r="V549" i="4" s="1"/>
  <c r="T547" i="4"/>
  <c r="V547" i="4" s="1"/>
  <c r="Q547" i="4"/>
  <c r="W547" i="4" s="1"/>
  <c r="Y547" i="4" s="1"/>
  <c r="X150" i="4"/>
  <c r="Y118" i="4"/>
  <c r="Y113" i="4"/>
  <c r="Y114" i="4"/>
  <c r="Y115" i="4"/>
  <c r="Y116" i="4"/>
  <c r="Y117" i="4"/>
  <c r="Y119" i="4"/>
  <c r="Y120" i="4"/>
  <c r="Y121" i="4"/>
  <c r="Y112" i="4"/>
  <c r="V82" i="4"/>
  <c r="A256" i="9" l="1"/>
  <c r="A257" i="9" s="1"/>
  <c r="A258" i="9" s="1"/>
  <c r="A259" i="9" s="1"/>
  <c r="A260" i="9" s="1"/>
  <c r="A263" i="9" s="1"/>
  <c r="A264" i="9" s="1"/>
  <c r="A266" i="9" s="1"/>
  <c r="A267" i="9" s="1"/>
  <c r="A268" i="9" s="1"/>
  <c r="A269" i="9" s="1"/>
  <c r="T541" i="4"/>
  <c r="T909" i="4"/>
  <c r="Q909" i="4"/>
  <c r="A270" i="9" l="1"/>
  <c r="A272" i="9" s="1"/>
  <c r="A273" i="9" s="1"/>
  <c r="A274" i="9" s="1"/>
  <c r="A275" i="9" s="1"/>
  <c r="A276" i="9" s="1"/>
  <c r="A277" i="9" s="1"/>
  <c r="A278" i="9" s="1"/>
  <c r="A279" i="9" s="1"/>
  <c r="A280" i="9" s="1"/>
  <c r="X610" i="4"/>
  <c r="Y496" i="4"/>
  <c r="A281" i="9" l="1"/>
  <c r="A282" i="9" s="1"/>
  <c r="A283" i="9" s="1"/>
  <c r="A284" i="9" s="1"/>
  <c r="AD86" i="4"/>
  <c r="T62" i="4"/>
  <c r="T63" i="4"/>
  <c r="Y585" i="4"/>
  <c r="X515" i="4"/>
  <c r="A286" i="9" l="1"/>
  <c r="A288" i="9" s="1"/>
  <c r="A289" i="9" s="1"/>
  <c r="A291" i="9" s="1"/>
  <c r="A292" i="9" s="1"/>
  <c r="A294" i="9" s="1"/>
  <c r="A296" i="9" s="1"/>
  <c r="A298" i="9" s="1"/>
  <c r="AD495" i="4"/>
  <c r="A299" i="9" l="1"/>
  <c r="A300" i="9" s="1"/>
  <c r="AD126" i="4"/>
  <c r="AD125" i="4"/>
  <c r="AD124" i="4"/>
  <c r="AD123" i="4"/>
  <c r="AD122" i="4"/>
  <c r="AD111" i="4"/>
  <c r="AD110" i="4"/>
  <c r="AD108" i="4"/>
  <c r="AD109" i="4"/>
  <c r="AD107" i="4"/>
  <c r="AD106" i="4"/>
  <c r="AD99" i="4"/>
  <c r="AD100" i="4"/>
  <c r="AD101" i="4"/>
  <c r="AD102" i="4"/>
  <c r="AD103" i="4"/>
  <c r="AD104" i="4"/>
  <c r="AD105" i="4"/>
  <c r="AD98" i="4"/>
  <c r="AD97" i="4"/>
  <c r="AD96" i="4"/>
  <c r="AD91" i="4"/>
  <c r="AD88" i="4"/>
  <c r="AD89" i="4"/>
  <c r="AD90" i="4"/>
  <c r="AD87" i="4"/>
  <c r="Y86" i="4"/>
  <c r="AD84" i="4"/>
  <c r="AD85" i="4"/>
  <c r="AD83" i="4"/>
  <c r="AE82" i="4"/>
  <c r="AE81" i="4"/>
  <c r="AD82" i="4"/>
  <c r="AD81" i="4"/>
  <c r="AD80" i="4"/>
  <c r="AD79" i="4"/>
  <c r="AD78" i="4"/>
  <c r="AD77" i="4"/>
  <c r="AD76" i="4"/>
  <c r="AD75" i="4"/>
  <c r="N74" i="4"/>
  <c r="AD74" i="4" s="1"/>
  <c r="AD73" i="4"/>
  <c r="AD71" i="4"/>
  <c r="AD72" i="4"/>
  <c r="AD69" i="4"/>
  <c r="AD70" i="4"/>
  <c r="AD68" i="4"/>
  <c r="AD67" i="4"/>
  <c r="AD65" i="4"/>
  <c r="AD66" i="4"/>
  <c r="AD64" i="4"/>
  <c r="AD61" i="4"/>
  <c r="AD59" i="4"/>
  <c r="AD56" i="4"/>
  <c r="AD55" i="4"/>
  <c r="AD54" i="4"/>
  <c r="AE30" i="4"/>
  <c r="AE29" i="4"/>
  <c r="AE28" i="4"/>
  <c r="AE27" i="4"/>
  <c r="AE26" i="4"/>
  <c r="AE25" i="4"/>
  <c r="AE24" i="4"/>
  <c r="AE22" i="4"/>
  <c r="AE21" i="4"/>
  <c r="W17" i="4"/>
  <c r="Y17" i="4" s="1"/>
  <c r="AE16" i="4"/>
  <c r="AE15" i="4"/>
  <c r="Q142" i="4"/>
  <c r="A303" i="9" l="1"/>
  <c r="A304" i="9" s="1"/>
  <c r="A305" i="9" s="1"/>
  <c r="A307" i="9" s="1"/>
  <c r="A308" i="9" s="1"/>
  <c r="A309" i="9" s="1"/>
  <c r="A310" i="9" s="1"/>
  <c r="A311" i="9" s="1"/>
  <c r="A301" i="9"/>
  <c r="A302" i="9" s="1"/>
  <c r="AE17" i="4"/>
  <c r="F247" i="4"/>
  <c r="AD366" i="4"/>
  <c r="AD367" i="4"/>
  <c r="AD368" i="4"/>
  <c r="AD371" i="4"/>
  <c r="AD482" i="4"/>
  <c r="A312" i="9" l="1"/>
  <c r="A314" i="9" s="1"/>
  <c r="AD795" i="4"/>
  <c r="AD796" i="4"/>
  <c r="AD797" i="4"/>
  <c r="AD798" i="4"/>
  <c r="AD799" i="4"/>
  <c r="AD800" i="4"/>
  <c r="X916" i="4"/>
  <c r="AD937" i="4"/>
  <c r="AD936" i="4"/>
  <c r="AD935" i="4"/>
  <c r="AC856" i="4"/>
  <c r="X919" i="4"/>
  <c r="AD262" i="4"/>
  <c r="AD266" i="4"/>
  <c r="A315" i="9" l="1"/>
  <c r="V461" i="4"/>
  <c r="K461" i="4"/>
  <c r="O461" i="4"/>
  <c r="A317" i="9" l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D57" i="4"/>
  <c r="AD53" i="4"/>
  <c r="AD51" i="4"/>
  <c r="AD43" i="4"/>
  <c r="AD44" i="4"/>
  <c r="AD45" i="4"/>
  <c r="AD46" i="4"/>
  <c r="AD47" i="4"/>
  <c r="AD42" i="4"/>
  <c r="R41" i="4"/>
  <c r="S41" i="4" s="1"/>
  <c r="N21" i="4"/>
  <c r="AD21" i="4" s="1"/>
  <c r="AD40" i="4"/>
  <c r="AD39" i="4"/>
  <c r="AD38" i="4"/>
  <c r="AD37" i="4"/>
  <c r="AD36" i="4"/>
  <c r="AD35" i="4"/>
  <c r="AD33" i="4"/>
  <c r="AD32" i="4"/>
  <c r="AD34" i="4"/>
  <c r="AD31" i="4"/>
  <c r="AD29" i="4"/>
  <c r="AD30" i="4"/>
  <c r="AD28" i="4"/>
  <c r="AD27" i="4"/>
  <c r="AD26" i="4"/>
  <c r="AC25" i="4"/>
  <c r="AC24" i="4"/>
  <c r="AC22" i="4"/>
  <c r="AC21" i="4"/>
  <c r="AC23" i="4"/>
  <c r="AC18" i="4"/>
  <c r="AC19" i="4"/>
  <c r="AC20" i="4"/>
  <c r="AC17" i="4"/>
  <c r="AC16" i="4"/>
  <c r="AC15" i="4"/>
  <c r="AD20" i="4"/>
  <c r="AD18" i="4"/>
  <c r="AD17" i="4"/>
  <c r="AD16" i="4"/>
  <c r="AD15" i="4"/>
  <c r="N22" i="4"/>
  <c r="AD22" i="4" s="1"/>
  <c r="N23" i="4"/>
  <c r="AD23" i="4" s="1"/>
  <c r="N24" i="4"/>
  <c r="N25" i="4"/>
  <c r="AD25" i="4" s="1"/>
  <c r="AD19" i="4"/>
  <c r="AD24" i="4"/>
  <c r="A334" i="9" l="1"/>
  <c r="A335" i="9" s="1"/>
  <c r="A336" i="9" s="1"/>
  <c r="AD41" i="4"/>
  <c r="Y273" i="4"/>
  <c r="W503" i="4"/>
  <c r="Y503" i="4" s="1"/>
  <c r="W501" i="4"/>
  <c r="W576" i="4"/>
  <c r="W577" i="4"/>
  <c r="W578" i="4"/>
  <c r="W579" i="4"/>
  <c r="W580" i="4"/>
  <c r="W582" i="4"/>
  <c r="W596" i="4"/>
  <c r="W597" i="4"/>
  <c r="W598" i="4"/>
  <c r="W500" i="4"/>
  <c r="Y53" i="4"/>
  <c r="AE53" i="4" s="1"/>
  <c r="A338" i="9" l="1"/>
  <c r="A339" i="9" s="1"/>
  <c r="Y464" i="4"/>
  <c r="Y465" i="4"/>
  <c r="Y466" i="4"/>
  <c r="Y467" i="4"/>
  <c r="Y468" i="4"/>
  <c r="Y470" i="4"/>
  <c r="Y471" i="4"/>
  <c r="Y472" i="4"/>
  <c r="Y473" i="4"/>
  <c r="Y462" i="4"/>
  <c r="W469" i="4"/>
  <c r="Y469" i="4" s="1"/>
  <c r="W463" i="4"/>
  <c r="Y463" i="4" s="1"/>
  <c r="W433" i="4"/>
  <c r="Y433" i="4" s="1"/>
  <c r="W434" i="4"/>
  <c r="Y434" i="4" s="1"/>
  <c r="W435" i="4"/>
  <c r="Y435" i="4" s="1"/>
  <c r="W436" i="4"/>
  <c r="Y436" i="4" s="1"/>
  <c r="W437" i="4"/>
  <c r="Y437" i="4" s="1"/>
  <c r="W438" i="4"/>
  <c r="Y438" i="4" s="1"/>
  <c r="W439" i="4"/>
  <c r="Y439" i="4" s="1"/>
  <c r="W440" i="4"/>
  <c r="Y440" i="4" s="1"/>
  <c r="W441" i="4"/>
  <c r="Y441" i="4" s="1"/>
  <c r="W442" i="4"/>
  <c r="Y442" i="4" s="1"/>
  <c r="W443" i="4"/>
  <c r="Y443" i="4" s="1"/>
  <c r="W444" i="4"/>
  <c r="Y444" i="4" s="1"/>
  <c r="W445" i="4"/>
  <c r="Y445" i="4" s="1"/>
  <c r="W446" i="4"/>
  <c r="Y446" i="4" s="1"/>
  <c r="W447" i="4"/>
  <c r="Y447" i="4" s="1"/>
  <c r="W448" i="4"/>
  <c r="Y448" i="4" s="1"/>
  <c r="W449" i="4"/>
  <c r="Y449" i="4" s="1"/>
  <c r="W450" i="4"/>
  <c r="Y450" i="4" s="1"/>
  <c r="W451" i="4"/>
  <c r="Y451" i="4" s="1"/>
  <c r="W432" i="4"/>
  <c r="Y432" i="4" s="1"/>
  <c r="Y429" i="4"/>
  <c r="Y430" i="4"/>
  <c r="Y431" i="4"/>
  <c r="Y428" i="4"/>
  <c r="A341" i="9" l="1"/>
  <c r="Y461" i="4"/>
  <c r="Y427" i="4"/>
  <c r="W384" i="4"/>
  <c r="Y384" i="4" s="1"/>
  <c r="W385" i="4"/>
  <c r="Y385" i="4" s="1"/>
  <c r="W386" i="4"/>
  <c r="Y386" i="4" s="1"/>
  <c r="W387" i="4"/>
  <c r="Y387" i="4" s="1"/>
  <c r="W388" i="4"/>
  <c r="Y388" i="4" s="1"/>
  <c r="W389" i="4"/>
  <c r="Y389" i="4" s="1"/>
  <c r="W390" i="4"/>
  <c r="Y390" i="4" s="1"/>
  <c r="W391" i="4"/>
  <c r="Y391" i="4" s="1"/>
  <c r="W392" i="4"/>
  <c r="Y392" i="4" s="1"/>
  <c r="W393" i="4"/>
  <c r="Y393" i="4" s="1"/>
  <c r="W394" i="4"/>
  <c r="Y394" i="4" s="1"/>
  <c r="W395" i="4"/>
  <c r="Y395" i="4" s="1"/>
  <c r="W396" i="4"/>
  <c r="Y396" i="4" s="1"/>
  <c r="W397" i="4"/>
  <c r="Y397" i="4" s="1"/>
  <c r="W398" i="4"/>
  <c r="Y398" i="4" s="1"/>
  <c r="W399" i="4"/>
  <c r="Y399" i="4" s="1"/>
  <c r="W400" i="4"/>
  <c r="Y400" i="4" s="1"/>
  <c r="W401" i="4"/>
  <c r="Y401" i="4" s="1"/>
  <c r="W402" i="4"/>
  <c r="Y402" i="4" s="1"/>
  <c r="W403" i="4"/>
  <c r="Y403" i="4" s="1"/>
  <c r="W404" i="4"/>
  <c r="Y404" i="4" s="1"/>
  <c r="W405" i="4"/>
  <c r="Y405" i="4" s="1"/>
  <c r="W406" i="4"/>
  <c r="Y406" i="4" s="1"/>
  <c r="W407" i="4"/>
  <c r="Y407" i="4" s="1"/>
  <c r="W408" i="4"/>
  <c r="Y408" i="4" s="1"/>
  <c r="W409" i="4"/>
  <c r="Y409" i="4" s="1"/>
  <c r="W410" i="4"/>
  <c r="Y410" i="4" s="1"/>
  <c r="W411" i="4"/>
  <c r="Y411" i="4" s="1"/>
  <c r="W412" i="4"/>
  <c r="Y412" i="4" s="1"/>
  <c r="W413" i="4"/>
  <c r="Y413" i="4" s="1"/>
  <c r="W414" i="4"/>
  <c r="Y414" i="4" s="1"/>
  <c r="W415" i="4"/>
  <c r="Y415" i="4" s="1"/>
  <c r="W416" i="4"/>
  <c r="Y416" i="4" s="1"/>
  <c r="W417" i="4"/>
  <c r="Y417" i="4" s="1"/>
  <c r="W418" i="4"/>
  <c r="Y418" i="4" s="1"/>
  <c r="W419" i="4"/>
  <c r="Y419" i="4" s="1"/>
  <c r="W420" i="4"/>
  <c r="Y420" i="4" s="1"/>
  <c r="W421" i="4"/>
  <c r="Y421" i="4" s="1"/>
  <c r="W422" i="4"/>
  <c r="Y422" i="4" s="1"/>
  <c r="W423" i="4"/>
  <c r="Y423" i="4" s="1"/>
  <c r="W424" i="4"/>
  <c r="Y424" i="4" s="1"/>
  <c r="W425" i="4"/>
  <c r="Y425" i="4" s="1"/>
  <c r="W383" i="4"/>
  <c r="Y383" i="4" s="1"/>
  <c r="W321" i="4"/>
  <c r="Y321" i="4" s="1"/>
  <c r="W322" i="4"/>
  <c r="Y322" i="4" s="1"/>
  <c r="W323" i="4"/>
  <c r="Y323" i="4" s="1"/>
  <c r="W324" i="4"/>
  <c r="Y324" i="4" s="1"/>
  <c r="W325" i="4"/>
  <c r="Y325" i="4" s="1"/>
  <c r="W326" i="4"/>
  <c r="Y326" i="4" s="1"/>
  <c r="W328" i="4"/>
  <c r="Y328" i="4" s="1"/>
  <c r="W329" i="4"/>
  <c r="Y329" i="4" s="1"/>
  <c r="W330" i="4"/>
  <c r="Y330" i="4" s="1"/>
  <c r="W331" i="4"/>
  <c r="Y331" i="4" s="1"/>
  <c r="W332" i="4"/>
  <c r="Y332" i="4" s="1"/>
  <c r="W318" i="4"/>
  <c r="Y318" i="4" s="1"/>
  <c r="Y314" i="4"/>
  <c r="Y315" i="4"/>
  <c r="W313" i="4"/>
  <c r="W314" i="4"/>
  <c r="W315" i="4"/>
  <c r="W285" i="4"/>
  <c r="Y285" i="4" s="1"/>
  <c r="W286" i="4"/>
  <c r="Y286" i="4" s="1"/>
  <c r="W287" i="4"/>
  <c r="Y287" i="4" s="1"/>
  <c r="W288" i="4"/>
  <c r="Y288" i="4" s="1"/>
  <c r="W289" i="4"/>
  <c r="Y289" i="4" s="1"/>
  <c r="W290" i="4"/>
  <c r="Y290" i="4" s="1"/>
  <c r="W291" i="4"/>
  <c r="Y291" i="4" s="1"/>
  <c r="W292" i="4"/>
  <c r="Y292" i="4" s="1"/>
  <c r="W293" i="4"/>
  <c r="Y293" i="4" s="1"/>
  <c r="W294" i="4"/>
  <c r="Y294" i="4" s="1"/>
  <c r="W295" i="4"/>
  <c r="Y295" i="4" s="1"/>
  <c r="W296" i="4"/>
  <c r="Y296" i="4" s="1"/>
  <c r="W297" i="4"/>
  <c r="Y297" i="4" s="1"/>
  <c r="W298" i="4"/>
  <c r="Y298" i="4" s="1"/>
  <c r="W299" i="4"/>
  <c r="Y299" i="4" s="1"/>
  <c r="W300" i="4"/>
  <c r="Y300" i="4" s="1"/>
  <c r="W301" i="4"/>
  <c r="Y301" i="4" s="1"/>
  <c r="W302" i="4"/>
  <c r="Y302" i="4" s="1"/>
  <c r="W303" i="4"/>
  <c r="Y303" i="4" s="1"/>
  <c r="W304" i="4"/>
  <c r="Y304" i="4" s="1"/>
  <c r="W305" i="4"/>
  <c r="Y305" i="4" s="1"/>
  <c r="W306" i="4"/>
  <c r="Y306" i="4" s="1"/>
  <c r="W280" i="4"/>
  <c r="Y280" i="4" s="1"/>
  <c r="W281" i="4"/>
  <c r="Y281" i="4" s="1"/>
  <c r="W282" i="4"/>
  <c r="Y282" i="4" s="1"/>
  <c r="W283" i="4"/>
  <c r="Y283" i="4" s="1"/>
  <c r="W284" i="4"/>
  <c r="Y284" i="4" s="1"/>
  <c r="Y274" i="4"/>
  <c r="Y275" i="4"/>
  <c r="Y276" i="4"/>
  <c r="Y277" i="4"/>
  <c r="Y278" i="4"/>
  <c r="Y272" i="4"/>
  <c r="Y271" i="4"/>
  <c r="Y269" i="4"/>
  <c r="Y268" i="4"/>
  <c r="Y266" i="4"/>
  <c r="AE266" i="4" s="1"/>
  <c r="Y265" i="4"/>
  <c r="Y264" i="4"/>
  <c r="Y263" i="4"/>
  <c r="Y262" i="4"/>
  <c r="AE262" i="4" s="1"/>
  <c r="Y261" i="4"/>
  <c r="Y260" i="4"/>
  <c r="Y259" i="4"/>
  <c r="Y258" i="4"/>
  <c r="Y257" i="4"/>
  <c r="Y256" i="4"/>
  <c r="Y677" i="4"/>
  <c r="A342" i="9" l="1"/>
  <c r="A343" i="9" s="1"/>
  <c r="A345" i="9" s="1"/>
  <c r="A346" i="9" s="1"/>
  <c r="Y196" i="4"/>
  <c r="A347" i="9" l="1"/>
  <c r="A348" i="9" s="1"/>
  <c r="A349" i="9" s="1"/>
  <c r="A350" i="9" s="1"/>
  <c r="A351" i="9" s="1"/>
  <c r="Y241" i="4"/>
  <c r="A353" i="9" l="1"/>
  <c r="Y111" i="4"/>
  <c r="AE111" i="4" s="1"/>
  <c r="Y105" i="4"/>
  <c r="AE105" i="4" s="1"/>
  <c r="Y104" i="4"/>
  <c r="AE104" i="4" s="1"/>
  <c r="Y103" i="4"/>
  <c r="AE103" i="4" s="1"/>
  <c r="Y109" i="4"/>
  <c r="AE109" i="4" s="1"/>
  <c r="Y108" i="4"/>
  <c r="AE108" i="4" s="1"/>
  <c r="Y107" i="4"/>
  <c r="AE107" i="4" s="1"/>
  <c r="A354" i="9" l="1"/>
  <c r="A355" i="9" s="1"/>
  <c r="A356" i="9" s="1"/>
  <c r="A358" i="9" s="1"/>
  <c r="A359" i="9" s="1"/>
  <c r="A361" i="9" s="1"/>
  <c r="A363" i="9" s="1"/>
  <c r="A364" i="9" s="1"/>
  <c r="A365" i="9" s="1"/>
  <c r="A366" i="9" s="1"/>
  <c r="A367" i="9" s="1"/>
  <c r="A370" i="9" s="1"/>
  <c r="A371" i="9" s="1"/>
  <c r="A373" i="9" s="1"/>
  <c r="A374" i="9" s="1"/>
  <c r="A375" i="9" s="1"/>
  <c r="A376" i="9" s="1"/>
  <c r="A377" i="9" s="1"/>
  <c r="A378" i="9" s="1"/>
  <c r="A379" i="9" s="1"/>
  <c r="A380" i="9" s="1"/>
  <c r="AE112" i="4"/>
  <c r="Y313" i="4"/>
  <c r="Y63" i="4"/>
  <c r="A382" i="9" l="1"/>
  <c r="Y32" i="4"/>
  <c r="AE32" i="4" s="1"/>
  <c r="Y270" i="4"/>
  <c r="Y267" i="4"/>
  <c r="A383" i="9" l="1"/>
  <c r="A384" i="9" s="1"/>
  <c r="A385" i="9" s="1"/>
  <c r="A386" i="9" s="1"/>
  <c r="A387" i="9" s="1"/>
  <c r="A388" i="9" s="1"/>
  <c r="A389" i="9" s="1"/>
  <c r="A390" i="9" s="1"/>
  <c r="A391" i="9" s="1"/>
  <c r="A392" i="9" s="1"/>
  <c r="Y93" i="4"/>
  <c r="AC908" i="4" l="1"/>
  <c r="G279" i="4"/>
  <c r="D279" i="4"/>
  <c r="W279" i="4" s="1"/>
  <c r="Y279" i="4" s="1"/>
  <c r="Y255" i="4" s="1"/>
  <c r="Q292" i="4"/>
  <c r="F292" i="4"/>
  <c r="R292" i="4" s="1"/>
  <c r="AD292" i="4" s="1"/>
  <c r="Q291" i="4"/>
  <c r="F291" i="4"/>
  <c r="R291" i="4" s="1"/>
  <c r="AD291" i="4" s="1"/>
  <c r="Q303" i="4"/>
  <c r="F303" i="4"/>
  <c r="R303" i="4" s="1"/>
  <c r="AD303" i="4" s="1"/>
  <c r="Q302" i="4"/>
  <c r="F302" i="4"/>
  <c r="R302" i="4" s="1"/>
  <c r="AD302" i="4" s="1"/>
  <c r="Q301" i="4"/>
  <c r="F301" i="4"/>
  <c r="R301" i="4" s="1"/>
  <c r="AD301" i="4" s="1"/>
  <c r="Q300" i="4"/>
  <c r="F300" i="4"/>
  <c r="R300" i="4" s="1"/>
  <c r="AD300" i="4" s="1"/>
  <c r="Q299" i="4"/>
  <c r="F299" i="4"/>
  <c r="R299" i="4" s="1"/>
  <c r="AD299" i="4" s="1"/>
  <c r="Q271" i="4"/>
  <c r="Q270" i="4"/>
  <c r="G271" i="4"/>
  <c r="F271" i="4" s="1"/>
  <c r="R271" i="4" s="1"/>
  <c r="AD271" i="4" s="1"/>
  <c r="G270" i="4"/>
  <c r="F270" i="4" s="1"/>
  <c r="R270" i="4" s="1"/>
  <c r="AD270" i="4" s="1"/>
  <c r="Q257" i="4"/>
  <c r="F257" i="4"/>
  <c r="R257" i="4" s="1"/>
  <c r="AD257" i="4" s="1"/>
  <c r="F265" i="4"/>
  <c r="S265" i="4" s="1"/>
  <c r="AE265" i="4" s="1"/>
  <c r="Q264" i="4"/>
  <c r="F264" i="4"/>
  <c r="R264" i="4" s="1"/>
  <c r="AD264" i="4" s="1"/>
  <c r="Q263" i="4"/>
  <c r="F263" i="4"/>
  <c r="R263" i="4" s="1"/>
  <c r="AD263" i="4" s="1"/>
  <c r="F261" i="4"/>
  <c r="S261" i="4" s="1"/>
  <c r="AE261" i="4" s="1"/>
  <c r="F260" i="4"/>
  <c r="Q284" i="4"/>
  <c r="G284" i="4"/>
  <c r="F284" i="4" s="1"/>
  <c r="R284" i="4" s="1"/>
  <c r="AD284" i="4" s="1"/>
  <c r="Q283" i="4"/>
  <c r="G283" i="4"/>
  <c r="F283" i="4" s="1"/>
  <c r="R283" i="4" s="1"/>
  <c r="AD283" i="4" s="1"/>
  <c r="Q282" i="4"/>
  <c r="G282" i="4"/>
  <c r="F282" i="4" s="1"/>
  <c r="R282" i="4" s="1"/>
  <c r="AD282" i="4" s="1"/>
  <c r="G281" i="4"/>
  <c r="F281" i="4" s="1"/>
  <c r="Q281" i="4"/>
  <c r="F425" i="4"/>
  <c r="R425" i="4" s="1"/>
  <c r="AD425" i="4" s="1"/>
  <c r="Q425" i="4"/>
  <c r="Q424" i="4"/>
  <c r="G424" i="4"/>
  <c r="F424" i="4" s="1"/>
  <c r="Q389" i="4"/>
  <c r="Q388" i="4"/>
  <c r="Q387" i="4"/>
  <c r="Q386" i="4"/>
  <c r="G389" i="4"/>
  <c r="F389" i="4" s="1"/>
  <c r="R389" i="4" s="1"/>
  <c r="AD389" i="4" s="1"/>
  <c r="G388" i="4"/>
  <c r="F388" i="4" s="1"/>
  <c r="R388" i="4" s="1"/>
  <c r="AD388" i="4" s="1"/>
  <c r="G387" i="4"/>
  <c r="F387" i="4" s="1"/>
  <c r="R387" i="4" s="1"/>
  <c r="AD387" i="4" s="1"/>
  <c r="G386" i="4"/>
  <c r="F386" i="4" s="1"/>
  <c r="R386" i="4" s="1"/>
  <c r="AD386" i="4" s="1"/>
  <c r="Q397" i="4"/>
  <c r="Q396" i="4"/>
  <c r="G397" i="4"/>
  <c r="F397" i="4" s="1"/>
  <c r="R397" i="4" s="1"/>
  <c r="AD397" i="4" s="1"/>
  <c r="G396" i="4"/>
  <c r="F396" i="4" s="1"/>
  <c r="R396" i="4" s="1"/>
  <c r="AD396" i="4" s="1"/>
  <c r="Q423" i="4"/>
  <c r="Q422" i="4"/>
  <c r="F423" i="4"/>
  <c r="R423" i="4" s="1"/>
  <c r="AD423" i="4" s="1"/>
  <c r="F422" i="4"/>
  <c r="R422" i="4" s="1"/>
  <c r="AD422" i="4" s="1"/>
  <c r="F434" i="4"/>
  <c r="G469" i="4"/>
  <c r="D469" i="4"/>
  <c r="G463" i="4"/>
  <c r="D463" i="4"/>
  <c r="G427" i="4"/>
  <c r="Y382" i="4"/>
  <c r="G317" i="4"/>
  <c r="G308" i="4"/>
  <c r="A394" i="9" l="1"/>
  <c r="A396" i="9" s="1"/>
  <c r="A397" i="9" s="1"/>
  <c r="A399" i="9" s="1"/>
  <c r="A401" i="9" s="1"/>
  <c r="S292" i="4"/>
  <c r="AE292" i="4" s="1"/>
  <c r="S291" i="4"/>
  <c r="AE291" i="4" s="1"/>
  <c r="S303" i="4"/>
  <c r="AE303" i="4" s="1"/>
  <c r="S301" i="4"/>
  <c r="AE301" i="4" s="1"/>
  <c r="S302" i="4"/>
  <c r="AE302" i="4" s="1"/>
  <c r="S299" i="4"/>
  <c r="AE299" i="4" s="1"/>
  <c r="S300" i="4"/>
  <c r="AE300" i="4" s="1"/>
  <c r="S271" i="4"/>
  <c r="AE271" i="4" s="1"/>
  <c r="S270" i="4"/>
  <c r="AE270" i="4" s="1"/>
  <c r="S257" i="4"/>
  <c r="AE257" i="4" s="1"/>
  <c r="S264" i="4"/>
  <c r="AE264" i="4" s="1"/>
  <c r="R265" i="4"/>
  <c r="AD265" i="4" s="1"/>
  <c r="S263" i="4"/>
  <c r="AE263" i="4" s="1"/>
  <c r="R261" i="4"/>
  <c r="AD261" i="4" s="1"/>
  <c r="S281" i="4"/>
  <c r="AE281" i="4" s="1"/>
  <c r="R281" i="4"/>
  <c r="AD281" i="4" s="1"/>
  <c r="S282" i="4"/>
  <c r="AE282" i="4" s="1"/>
  <c r="S283" i="4"/>
  <c r="AE283" i="4" s="1"/>
  <c r="S284" i="4"/>
  <c r="AE284" i="4" s="1"/>
  <c r="S425" i="4"/>
  <c r="AE425" i="4" s="1"/>
  <c r="S424" i="4"/>
  <c r="AE424" i="4" s="1"/>
  <c r="R424" i="4"/>
  <c r="AD424" i="4" s="1"/>
  <c r="S387" i="4"/>
  <c r="AE387" i="4" s="1"/>
  <c r="S388" i="4"/>
  <c r="AE388" i="4" s="1"/>
  <c r="S386" i="4"/>
  <c r="AE386" i="4" s="1"/>
  <c r="S389" i="4"/>
  <c r="AE389" i="4" s="1"/>
  <c r="S396" i="4"/>
  <c r="AE396" i="4" s="1"/>
  <c r="S397" i="4"/>
  <c r="AE397" i="4" s="1"/>
  <c r="G382" i="4"/>
  <c r="S422" i="4"/>
  <c r="AE422" i="4" s="1"/>
  <c r="S423" i="4"/>
  <c r="AE423" i="4" s="1"/>
  <c r="G461" i="4"/>
  <c r="G256" i="4"/>
  <c r="G255" i="4" s="1"/>
  <c r="D256" i="4"/>
  <c r="Q256" i="4" s="1"/>
  <c r="Q473" i="4"/>
  <c r="F473" i="4"/>
  <c r="R473" i="4" s="1"/>
  <c r="AD473" i="4" s="1"/>
  <c r="Q472" i="4"/>
  <c r="F472" i="4"/>
  <c r="R472" i="4" s="1"/>
  <c r="AD472" i="4" s="1"/>
  <c r="Q471" i="4"/>
  <c r="F471" i="4"/>
  <c r="R471" i="4" s="1"/>
  <c r="AD471" i="4" s="1"/>
  <c r="Q470" i="4"/>
  <c r="F470" i="4"/>
  <c r="R470" i="4" s="1"/>
  <c r="AD470" i="4" s="1"/>
  <c r="Q469" i="4"/>
  <c r="F469" i="4"/>
  <c r="R469" i="4" s="1"/>
  <c r="AD469" i="4" s="1"/>
  <c r="Q468" i="4"/>
  <c r="F468" i="4"/>
  <c r="R468" i="4" s="1"/>
  <c r="AD468" i="4" s="1"/>
  <c r="Q467" i="4"/>
  <c r="F467" i="4"/>
  <c r="R467" i="4" s="1"/>
  <c r="AD467" i="4" s="1"/>
  <c r="Q466" i="4"/>
  <c r="F466" i="4"/>
  <c r="R466" i="4" s="1"/>
  <c r="AD466" i="4" s="1"/>
  <c r="Q465" i="4"/>
  <c r="F465" i="4"/>
  <c r="R465" i="4" s="1"/>
  <c r="AD465" i="4" s="1"/>
  <c r="Q464" i="4"/>
  <c r="F464" i="4"/>
  <c r="R464" i="4" s="1"/>
  <c r="AD464" i="4" s="1"/>
  <c r="Q463" i="4"/>
  <c r="F463" i="4"/>
  <c r="R463" i="4" s="1"/>
  <c r="AD463" i="4" s="1"/>
  <c r="Q462" i="4"/>
  <c r="F462" i="4"/>
  <c r="R462" i="4" s="1"/>
  <c r="AD462" i="4" s="1"/>
  <c r="Q451" i="4"/>
  <c r="F451" i="4"/>
  <c r="R451" i="4" s="1"/>
  <c r="AD451" i="4" s="1"/>
  <c r="Q450" i="4"/>
  <c r="F450" i="4"/>
  <c r="R450" i="4" s="1"/>
  <c r="AD450" i="4" s="1"/>
  <c r="Q449" i="4"/>
  <c r="F449" i="4"/>
  <c r="R449" i="4" s="1"/>
  <c r="AD449" i="4" s="1"/>
  <c r="Q448" i="4"/>
  <c r="F448" i="4"/>
  <c r="R448" i="4" s="1"/>
  <c r="AD448" i="4" s="1"/>
  <c r="Q447" i="4"/>
  <c r="F447" i="4"/>
  <c r="R447" i="4" s="1"/>
  <c r="AD447" i="4" s="1"/>
  <c r="Q446" i="4"/>
  <c r="F446" i="4"/>
  <c r="R446" i="4" s="1"/>
  <c r="AD446" i="4" s="1"/>
  <c r="Q445" i="4"/>
  <c r="F445" i="4"/>
  <c r="R445" i="4" s="1"/>
  <c r="AD445" i="4" s="1"/>
  <c r="Q444" i="4"/>
  <c r="F444" i="4"/>
  <c r="R444" i="4" s="1"/>
  <c r="AD444" i="4" s="1"/>
  <c r="Q443" i="4"/>
  <c r="F443" i="4"/>
  <c r="R443" i="4" s="1"/>
  <c r="AD443" i="4" s="1"/>
  <c r="Q442" i="4"/>
  <c r="F442" i="4"/>
  <c r="R442" i="4" s="1"/>
  <c r="AD442" i="4" s="1"/>
  <c r="Q441" i="4"/>
  <c r="F441" i="4"/>
  <c r="R441" i="4" s="1"/>
  <c r="AD441" i="4" s="1"/>
  <c r="Q440" i="4"/>
  <c r="F440" i="4"/>
  <c r="R440" i="4" s="1"/>
  <c r="AD440" i="4" s="1"/>
  <c r="Q439" i="4"/>
  <c r="F439" i="4"/>
  <c r="R439" i="4" s="1"/>
  <c r="AD439" i="4" s="1"/>
  <c r="Q438" i="4"/>
  <c r="F438" i="4"/>
  <c r="R438" i="4" s="1"/>
  <c r="AD438" i="4" s="1"/>
  <c r="Q437" i="4"/>
  <c r="F437" i="4"/>
  <c r="R437" i="4" s="1"/>
  <c r="AD437" i="4" s="1"/>
  <c r="Q436" i="4"/>
  <c r="F436" i="4"/>
  <c r="R436" i="4" s="1"/>
  <c r="AD436" i="4" s="1"/>
  <c r="Q435" i="4"/>
  <c r="F435" i="4"/>
  <c r="R435" i="4" s="1"/>
  <c r="AD435" i="4" s="1"/>
  <c r="Q434" i="4"/>
  <c r="R434" i="4"/>
  <c r="AD434" i="4" s="1"/>
  <c r="Q433" i="4"/>
  <c r="F433" i="4"/>
  <c r="R433" i="4" s="1"/>
  <c r="AD433" i="4" s="1"/>
  <c r="Q432" i="4"/>
  <c r="F432" i="4"/>
  <c r="R432" i="4" s="1"/>
  <c r="AD432" i="4" s="1"/>
  <c r="Q431" i="4"/>
  <c r="F431" i="4"/>
  <c r="R431" i="4" s="1"/>
  <c r="AD431" i="4" s="1"/>
  <c r="Q430" i="4"/>
  <c r="F430" i="4"/>
  <c r="R430" i="4" s="1"/>
  <c r="AD430" i="4" s="1"/>
  <c r="Q429" i="4"/>
  <c r="F429" i="4"/>
  <c r="R429" i="4" s="1"/>
  <c r="AD429" i="4" s="1"/>
  <c r="Q428" i="4"/>
  <c r="F428" i="4"/>
  <c r="R428" i="4" s="1"/>
  <c r="AD428" i="4" s="1"/>
  <c r="Q421" i="4"/>
  <c r="F421" i="4"/>
  <c r="R421" i="4" s="1"/>
  <c r="AD421" i="4" s="1"/>
  <c r="Q420" i="4"/>
  <c r="F420" i="4"/>
  <c r="R420" i="4" s="1"/>
  <c r="AD420" i="4" s="1"/>
  <c r="Q419" i="4"/>
  <c r="F419" i="4"/>
  <c r="R419" i="4" s="1"/>
  <c r="AD419" i="4" s="1"/>
  <c r="Q418" i="4"/>
  <c r="F418" i="4"/>
  <c r="R418" i="4" s="1"/>
  <c r="AD418" i="4" s="1"/>
  <c r="Q417" i="4"/>
  <c r="F417" i="4"/>
  <c r="R417" i="4" s="1"/>
  <c r="AD417" i="4" s="1"/>
  <c r="Q416" i="4"/>
  <c r="F416" i="4"/>
  <c r="R416" i="4" s="1"/>
  <c r="AD416" i="4" s="1"/>
  <c r="Q415" i="4"/>
  <c r="F415" i="4"/>
  <c r="R415" i="4" s="1"/>
  <c r="AD415" i="4" s="1"/>
  <c r="Q414" i="4"/>
  <c r="F414" i="4"/>
  <c r="R414" i="4" s="1"/>
  <c r="AD414" i="4" s="1"/>
  <c r="Q413" i="4"/>
  <c r="F413" i="4"/>
  <c r="R413" i="4" s="1"/>
  <c r="AD413" i="4" s="1"/>
  <c r="Q412" i="4"/>
  <c r="F412" i="4"/>
  <c r="R412" i="4" s="1"/>
  <c r="AD412" i="4" s="1"/>
  <c r="Q411" i="4"/>
  <c r="F411" i="4"/>
  <c r="R411" i="4" s="1"/>
  <c r="AD411" i="4" s="1"/>
  <c r="Q410" i="4"/>
  <c r="F410" i="4"/>
  <c r="R410" i="4" s="1"/>
  <c r="AD410" i="4" s="1"/>
  <c r="Q409" i="4"/>
  <c r="F409" i="4"/>
  <c r="R409" i="4" s="1"/>
  <c r="AD409" i="4" s="1"/>
  <c r="Q408" i="4"/>
  <c r="F408" i="4"/>
  <c r="R408" i="4" s="1"/>
  <c r="AD408" i="4" s="1"/>
  <c r="Q407" i="4"/>
  <c r="F407" i="4"/>
  <c r="R407" i="4" s="1"/>
  <c r="AD407" i="4" s="1"/>
  <c r="Q406" i="4"/>
  <c r="F406" i="4"/>
  <c r="R406" i="4" s="1"/>
  <c r="AD406" i="4" s="1"/>
  <c r="Q405" i="4"/>
  <c r="F405" i="4"/>
  <c r="R405" i="4" s="1"/>
  <c r="AD405" i="4" s="1"/>
  <c r="Q404" i="4"/>
  <c r="F404" i="4"/>
  <c r="R404" i="4" s="1"/>
  <c r="AD404" i="4" s="1"/>
  <c r="Q403" i="4"/>
  <c r="F403" i="4"/>
  <c r="R403" i="4" s="1"/>
  <c r="AD403" i="4" s="1"/>
  <c r="Q402" i="4"/>
  <c r="F402" i="4"/>
  <c r="R402" i="4" s="1"/>
  <c r="Q401" i="4"/>
  <c r="F401" i="4"/>
  <c r="R401" i="4" s="1"/>
  <c r="AD401" i="4" s="1"/>
  <c r="Q400" i="4"/>
  <c r="F400" i="4"/>
  <c r="R400" i="4" s="1"/>
  <c r="AD400" i="4" s="1"/>
  <c r="Q399" i="4"/>
  <c r="F399" i="4"/>
  <c r="R399" i="4" s="1"/>
  <c r="AD399" i="4" s="1"/>
  <c r="Q398" i="4"/>
  <c r="F398" i="4"/>
  <c r="R398" i="4" s="1"/>
  <c r="AD398" i="4" s="1"/>
  <c r="Q395" i="4"/>
  <c r="F395" i="4"/>
  <c r="R395" i="4" s="1"/>
  <c r="AD395" i="4" s="1"/>
  <c r="Q394" i="4"/>
  <c r="F394" i="4"/>
  <c r="R394" i="4" s="1"/>
  <c r="AD394" i="4" s="1"/>
  <c r="Q393" i="4"/>
  <c r="F393" i="4"/>
  <c r="R393" i="4" s="1"/>
  <c r="AD393" i="4" s="1"/>
  <c r="Q392" i="4"/>
  <c r="F392" i="4"/>
  <c r="R392" i="4" s="1"/>
  <c r="AD392" i="4" s="1"/>
  <c r="Q391" i="4"/>
  <c r="F391" i="4"/>
  <c r="R391" i="4" s="1"/>
  <c r="AD391" i="4" s="1"/>
  <c r="Q390" i="4"/>
  <c r="F390" i="4"/>
  <c r="R390" i="4" s="1"/>
  <c r="AD390" i="4" s="1"/>
  <c r="Q385" i="4"/>
  <c r="F385" i="4"/>
  <c r="R385" i="4" s="1"/>
  <c r="AD385" i="4" s="1"/>
  <c r="Q384" i="4"/>
  <c r="F384" i="4"/>
  <c r="R384" i="4" s="1"/>
  <c r="AD384" i="4" s="1"/>
  <c r="Q383" i="4"/>
  <c r="F383" i="4"/>
  <c r="R383" i="4" s="1"/>
  <c r="AD383" i="4" s="1"/>
  <c r="Q332" i="4"/>
  <c r="F332" i="4"/>
  <c r="R332" i="4" s="1"/>
  <c r="AD332" i="4" s="1"/>
  <c r="Q331" i="4"/>
  <c r="F331" i="4"/>
  <c r="R331" i="4" s="1"/>
  <c r="AD331" i="4" s="1"/>
  <c r="Q330" i="4"/>
  <c r="F330" i="4"/>
  <c r="R330" i="4" s="1"/>
  <c r="AD330" i="4" s="1"/>
  <c r="Q329" i="4"/>
  <c r="F329" i="4"/>
  <c r="R329" i="4" s="1"/>
  <c r="AD329" i="4" s="1"/>
  <c r="Q328" i="4"/>
  <c r="F328" i="4"/>
  <c r="R328" i="4" s="1"/>
  <c r="AD328" i="4" s="1"/>
  <c r="D327" i="4"/>
  <c r="W327" i="4" s="1"/>
  <c r="Y327" i="4" s="1"/>
  <c r="Q326" i="4"/>
  <c r="F326" i="4"/>
  <c r="R326" i="4" s="1"/>
  <c r="AD326" i="4" s="1"/>
  <c r="Q325" i="4"/>
  <c r="F325" i="4"/>
  <c r="R325" i="4" s="1"/>
  <c r="AD325" i="4" s="1"/>
  <c r="Q324" i="4"/>
  <c r="F324" i="4"/>
  <c r="R324" i="4" s="1"/>
  <c r="AD324" i="4" s="1"/>
  <c r="Q323" i="4"/>
  <c r="F323" i="4"/>
  <c r="R323" i="4" s="1"/>
  <c r="AD323" i="4" s="1"/>
  <c r="Q322" i="4"/>
  <c r="F322" i="4"/>
  <c r="R322" i="4" s="1"/>
  <c r="AD322" i="4" s="1"/>
  <c r="Q321" i="4"/>
  <c r="F321" i="4"/>
  <c r="R321" i="4" s="1"/>
  <c r="AD321" i="4" s="1"/>
  <c r="D320" i="4"/>
  <c r="D319" i="4"/>
  <c r="Q318" i="4"/>
  <c r="F318" i="4"/>
  <c r="R318" i="4" s="1"/>
  <c r="AD318" i="4" s="1"/>
  <c r="Q315" i="4"/>
  <c r="F315" i="4"/>
  <c r="R315" i="4" s="1"/>
  <c r="AD315" i="4" s="1"/>
  <c r="Q314" i="4"/>
  <c r="F314" i="4"/>
  <c r="R314" i="4" s="1"/>
  <c r="AD314" i="4" s="1"/>
  <c r="Q313" i="4"/>
  <c r="F313" i="4"/>
  <c r="R313" i="4" s="1"/>
  <c r="AD313" i="4" s="1"/>
  <c r="D312" i="4"/>
  <c r="D311" i="4"/>
  <c r="D310" i="4"/>
  <c r="D309" i="4"/>
  <c r="Q306" i="4"/>
  <c r="F306" i="4"/>
  <c r="R306" i="4" s="1"/>
  <c r="AD306" i="4" s="1"/>
  <c r="Q305" i="4"/>
  <c r="F305" i="4"/>
  <c r="R305" i="4" s="1"/>
  <c r="AD305" i="4" s="1"/>
  <c r="Q304" i="4"/>
  <c r="F304" i="4"/>
  <c r="R304" i="4" s="1"/>
  <c r="AD304" i="4" s="1"/>
  <c r="Q298" i="4"/>
  <c r="F298" i="4"/>
  <c r="R298" i="4" s="1"/>
  <c r="AD298" i="4" s="1"/>
  <c r="Q297" i="4"/>
  <c r="F297" i="4"/>
  <c r="R297" i="4" s="1"/>
  <c r="AD297" i="4" s="1"/>
  <c r="Q296" i="4"/>
  <c r="F296" i="4"/>
  <c r="R296" i="4" s="1"/>
  <c r="AD296" i="4" s="1"/>
  <c r="Q295" i="4"/>
  <c r="F295" i="4"/>
  <c r="R295" i="4" s="1"/>
  <c r="AD295" i="4" s="1"/>
  <c r="Q294" i="4"/>
  <c r="F294" i="4"/>
  <c r="R294" i="4" s="1"/>
  <c r="AD294" i="4" s="1"/>
  <c r="Q293" i="4"/>
  <c r="F293" i="4"/>
  <c r="R293" i="4" s="1"/>
  <c r="AD293" i="4" s="1"/>
  <c r="Q290" i="4"/>
  <c r="F290" i="4"/>
  <c r="R290" i="4" s="1"/>
  <c r="AD290" i="4" s="1"/>
  <c r="Q289" i="4"/>
  <c r="F289" i="4"/>
  <c r="R289" i="4" s="1"/>
  <c r="AD289" i="4" s="1"/>
  <c r="Q288" i="4"/>
  <c r="F288" i="4"/>
  <c r="R288" i="4" s="1"/>
  <c r="AD288" i="4" s="1"/>
  <c r="Q287" i="4"/>
  <c r="F287" i="4"/>
  <c r="R287" i="4" s="1"/>
  <c r="AD287" i="4" s="1"/>
  <c r="Q286" i="4"/>
  <c r="F286" i="4"/>
  <c r="R286" i="4" s="1"/>
  <c r="AD286" i="4" s="1"/>
  <c r="Q285" i="4"/>
  <c r="F285" i="4"/>
  <c r="R285" i="4" s="1"/>
  <c r="AD285" i="4" s="1"/>
  <c r="Q280" i="4"/>
  <c r="F280" i="4"/>
  <c r="R280" i="4" s="1"/>
  <c r="AD280" i="4" s="1"/>
  <c r="Q279" i="4"/>
  <c r="F279" i="4"/>
  <c r="R279" i="4" s="1"/>
  <c r="AD279" i="4" s="1"/>
  <c r="Q278" i="4"/>
  <c r="F278" i="4"/>
  <c r="R278" i="4" s="1"/>
  <c r="AD278" i="4" s="1"/>
  <c r="Q277" i="4"/>
  <c r="F277" i="4"/>
  <c r="R277" i="4" s="1"/>
  <c r="AD277" i="4" s="1"/>
  <c r="Q276" i="4"/>
  <c r="F276" i="4"/>
  <c r="R276" i="4" s="1"/>
  <c r="AD276" i="4" s="1"/>
  <c r="Q275" i="4"/>
  <c r="F275" i="4"/>
  <c r="R275" i="4" s="1"/>
  <c r="AD275" i="4" s="1"/>
  <c r="Q274" i="4"/>
  <c r="F274" i="4"/>
  <c r="R274" i="4" s="1"/>
  <c r="AD274" i="4" s="1"/>
  <c r="Q273" i="4"/>
  <c r="F273" i="4"/>
  <c r="R273" i="4" s="1"/>
  <c r="AD273" i="4" s="1"/>
  <c r="D272" i="4"/>
  <c r="Q272" i="4" s="1"/>
  <c r="D269" i="4"/>
  <c r="D268" i="4"/>
  <c r="F268" i="4" s="1"/>
  <c r="R268" i="4" s="1"/>
  <c r="AD268" i="4" s="1"/>
  <c r="D267" i="4"/>
  <c r="Q267" i="4" s="1"/>
  <c r="Q260" i="4"/>
  <c r="R260" i="4"/>
  <c r="AD260" i="4" s="1"/>
  <c r="Q259" i="4"/>
  <c r="F259" i="4"/>
  <c r="R259" i="4" s="1"/>
  <c r="AD259" i="4" s="1"/>
  <c r="Q258" i="4"/>
  <c r="F258" i="4"/>
  <c r="R258" i="4" s="1"/>
  <c r="AD258" i="4" s="1"/>
  <c r="A403" i="9" l="1"/>
  <c r="A405" i="9" s="1"/>
  <c r="A406" i="9" s="1"/>
  <c r="A407" i="9" s="1"/>
  <c r="A408" i="9" s="1"/>
  <c r="A409" i="9" s="1"/>
  <c r="A411" i="9" s="1"/>
  <c r="A412" i="9" s="1"/>
  <c r="A413" i="9" s="1"/>
  <c r="A414" i="9" s="1"/>
  <c r="A415" i="9" s="1"/>
  <c r="A416" i="9" s="1"/>
  <c r="A418" i="9" s="1"/>
  <c r="A419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Q309" i="4"/>
  <c r="Y309" i="4"/>
  <c r="W309" i="4"/>
  <c r="Q319" i="4"/>
  <c r="W319" i="4"/>
  <c r="Y319" i="4" s="1"/>
  <c r="Y312" i="4"/>
  <c r="W312" i="4"/>
  <c r="Q310" i="4"/>
  <c r="W310" i="4"/>
  <c r="Y310" i="4"/>
  <c r="Q320" i="4"/>
  <c r="W320" i="4"/>
  <c r="Y320" i="4" s="1"/>
  <c r="Q311" i="4"/>
  <c r="Y311" i="4"/>
  <c r="W311" i="4"/>
  <c r="F256" i="4"/>
  <c r="R256" i="4" s="1"/>
  <c r="AD256" i="4" s="1"/>
  <c r="S322" i="4"/>
  <c r="AE322" i="4" s="1"/>
  <c r="S331" i="4"/>
  <c r="AE331" i="4" s="1"/>
  <c r="S415" i="4"/>
  <c r="AE415" i="4" s="1"/>
  <c r="S410" i="4"/>
  <c r="AE410" i="4" s="1"/>
  <c r="S435" i="4"/>
  <c r="AE435" i="4" s="1"/>
  <c r="S321" i="4"/>
  <c r="AE321" i="4" s="1"/>
  <c r="S323" i="4"/>
  <c r="AE323" i="4" s="1"/>
  <c r="S298" i="4"/>
  <c r="AE298" i="4" s="1"/>
  <c r="S305" i="4"/>
  <c r="AE305" i="4" s="1"/>
  <c r="F311" i="4"/>
  <c r="R311" i="4" s="1"/>
  <c r="AD311" i="4" s="1"/>
  <c r="S314" i="4"/>
  <c r="AE314" i="4" s="1"/>
  <c r="S326" i="4"/>
  <c r="AE326" i="4" s="1"/>
  <c r="S277" i="4"/>
  <c r="AE277" i="4" s="1"/>
  <c r="S329" i="4"/>
  <c r="AE329" i="4" s="1"/>
  <c r="S383" i="4"/>
  <c r="S407" i="4"/>
  <c r="AE407" i="4" s="1"/>
  <c r="S421" i="4"/>
  <c r="AE421" i="4" s="1"/>
  <c r="S434" i="4"/>
  <c r="AE434" i="4" s="1"/>
  <c r="S273" i="4"/>
  <c r="AE273" i="4" s="1"/>
  <c r="S275" i="4"/>
  <c r="AE275" i="4" s="1"/>
  <c r="S279" i="4"/>
  <c r="AE279" i="4" s="1"/>
  <c r="S328" i="4"/>
  <c r="AE328" i="4" s="1"/>
  <c r="S395" i="4"/>
  <c r="AE395" i="4" s="1"/>
  <c r="S414" i="4"/>
  <c r="AE414" i="4" s="1"/>
  <c r="S417" i="4"/>
  <c r="AE417" i="4" s="1"/>
  <c r="S446" i="4"/>
  <c r="AE446" i="4" s="1"/>
  <c r="S285" i="4"/>
  <c r="AE285" i="4" s="1"/>
  <c r="S289" i="4"/>
  <c r="AE289" i="4" s="1"/>
  <c r="S295" i="4"/>
  <c r="AE295" i="4" s="1"/>
  <c r="S297" i="4"/>
  <c r="AE297" i="4" s="1"/>
  <c r="S419" i="4"/>
  <c r="AE419" i="4" s="1"/>
  <c r="S437" i="4"/>
  <c r="AE437" i="4" s="1"/>
  <c r="S287" i="4"/>
  <c r="AE287" i="4" s="1"/>
  <c r="S293" i="4"/>
  <c r="AE293" i="4" s="1"/>
  <c r="S304" i="4"/>
  <c r="AE304" i="4" s="1"/>
  <c r="S306" i="4"/>
  <c r="AE306" i="4" s="1"/>
  <c r="S411" i="4"/>
  <c r="AE411" i="4" s="1"/>
  <c r="S274" i="4"/>
  <c r="AE274" i="4" s="1"/>
  <c r="S276" i="4"/>
  <c r="AE276" i="4" s="1"/>
  <c r="S313" i="4"/>
  <c r="AE313" i="4" s="1"/>
  <c r="S332" i="4"/>
  <c r="AE332" i="4" s="1"/>
  <c r="S403" i="4"/>
  <c r="AE403" i="4" s="1"/>
  <c r="S413" i="4"/>
  <c r="AE413" i="4" s="1"/>
  <c r="S418" i="4"/>
  <c r="AE418" i="4" s="1"/>
  <c r="S420" i="4"/>
  <c r="AE420" i="4" s="1"/>
  <c r="S444" i="4"/>
  <c r="AE444" i="4" s="1"/>
  <c r="S449" i="4"/>
  <c r="AE449" i="4" s="1"/>
  <c r="S463" i="4"/>
  <c r="AE463" i="4" s="1"/>
  <c r="S464" i="4"/>
  <c r="AE464" i="4" s="1"/>
  <c r="S466" i="4"/>
  <c r="AE466" i="4" s="1"/>
  <c r="S469" i="4"/>
  <c r="AE469" i="4" s="1"/>
  <c r="S471" i="4"/>
  <c r="AE471" i="4" s="1"/>
  <c r="S473" i="4"/>
  <c r="AE473" i="4" s="1"/>
  <c r="F267" i="4"/>
  <c r="R267" i="4" s="1"/>
  <c r="AD267" i="4" s="1"/>
  <c r="Q268" i="4"/>
  <c r="S268" i="4" s="1"/>
  <c r="AE268" i="4" s="1"/>
  <c r="F310" i="4"/>
  <c r="R310" i="4" s="1"/>
  <c r="AD310" i="4" s="1"/>
  <c r="S315" i="4"/>
  <c r="AE315" i="4" s="1"/>
  <c r="F319" i="4"/>
  <c r="R319" i="4" s="1"/>
  <c r="AD319" i="4" s="1"/>
  <c r="S325" i="4"/>
  <c r="AE325" i="4" s="1"/>
  <c r="F327" i="4"/>
  <c r="R327" i="4" s="1"/>
  <c r="AD327" i="4" s="1"/>
  <c r="Q327" i="4"/>
  <c r="S280" i="4"/>
  <c r="AE280" i="4" s="1"/>
  <c r="S324" i="4"/>
  <c r="AE324" i="4" s="1"/>
  <c r="S433" i="4"/>
  <c r="AE433" i="4" s="1"/>
  <c r="S450" i="4"/>
  <c r="AE450" i="4" s="1"/>
  <c r="S278" i="4"/>
  <c r="AE278" i="4" s="1"/>
  <c r="S318" i="4"/>
  <c r="S330" i="4"/>
  <c r="AE330" i="4" s="1"/>
  <c r="S390" i="4"/>
  <c r="AE390" i="4" s="1"/>
  <c r="S399" i="4"/>
  <c r="AE399" i="4" s="1"/>
  <c r="S412" i="4"/>
  <c r="AE412" i="4" s="1"/>
  <c r="S416" i="4"/>
  <c r="AE416" i="4" s="1"/>
  <c r="S432" i="4"/>
  <c r="AE432" i="4" s="1"/>
  <c r="S441" i="4"/>
  <c r="AE441" i="4" s="1"/>
  <c r="S443" i="4"/>
  <c r="AE443" i="4" s="1"/>
  <c r="S445" i="4"/>
  <c r="AE445" i="4" s="1"/>
  <c r="S448" i="4"/>
  <c r="AE448" i="4" s="1"/>
  <c r="S462" i="4"/>
  <c r="S465" i="4"/>
  <c r="AE465" i="4" s="1"/>
  <c r="S467" i="4"/>
  <c r="AE467" i="4" s="1"/>
  <c r="S468" i="4"/>
  <c r="AE468" i="4" s="1"/>
  <c r="S470" i="4"/>
  <c r="AE470" i="4" s="1"/>
  <c r="S472" i="4"/>
  <c r="AE472" i="4" s="1"/>
  <c r="S442" i="4"/>
  <c r="AE442" i="4" s="1"/>
  <c r="S447" i="4"/>
  <c r="AE447" i="4" s="1"/>
  <c r="S451" i="4"/>
  <c r="AE451" i="4" s="1"/>
  <c r="S259" i="4"/>
  <c r="AE259" i="4" s="1"/>
  <c r="F269" i="4"/>
  <c r="R269" i="4" s="1"/>
  <c r="AD269" i="4" s="1"/>
  <c r="Q269" i="4"/>
  <c r="S286" i="4"/>
  <c r="AE286" i="4" s="1"/>
  <c r="S288" i="4"/>
  <c r="AE288" i="4" s="1"/>
  <c r="S290" i="4"/>
  <c r="AE290" i="4" s="1"/>
  <c r="S294" i="4"/>
  <c r="AE294" i="4" s="1"/>
  <c r="S296" i="4"/>
  <c r="AE296" i="4" s="1"/>
  <c r="Q312" i="4"/>
  <c r="F312" i="4"/>
  <c r="R312" i="4" s="1"/>
  <c r="AD312" i="4" s="1"/>
  <c r="S258" i="4"/>
  <c r="AE258" i="4" s="1"/>
  <c r="S260" i="4"/>
  <c r="AE260" i="4" s="1"/>
  <c r="F320" i="4"/>
  <c r="R320" i="4" s="1"/>
  <c r="AD320" i="4" s="1"/>
  <c r="S398" i="4"/>
  <c r="AE398" i="4" s="1"/>
  <c r="S402" i="4"/>
  <c r="S405" i="4"/>
  <c r="AE405" i="4" s="1"/>
  <c r="S406" i="4"/>
  <c r="AE406" i="4" s="1"/>
  <c r="S428" i="4"/>
  <c r="S429" i="4"/>
  <c r="AE429" i="4" s="1"/>
  <c r="S430" i="4"/>
  <c r="AE430" i="4" s="1"/>
  <c r="F272" i="4"/>
  <c r="R272" i="4" s="1"/>
  <c r="AD272" i="4" s="1"/>
  <c r="F309" i="4"/>
  <c r="R309" i="4" s="1"/>
  <c r="AD309" i="4" s="1"/>
  <c r="S385" i="4"/>
  <c r="AE385" i="4" s="1"/>
  <c r="S392" i="4"/>
  <c r="AE392" i="4" s="1"/>
  <c r="S394" i="4"/>
  <c r="AE394" i="4" s="1"/>
  <c r="S401" i="4"/>
  <c r="AE401" i="4" s="1"/>
  <c r="S404" i="4"/>
  <c r="AE404" i="4" s="1"/>
  <c r="S409" i="4"/>
  <c r="AE409" i="4" s="1"/>
  <c r="S384" i="4"/>
  <c r="AE384" i="4" s="1"/>
  <c r="S391" i="4"/>
  <c r="AE391" i="4" s="1"/>
  <c r="S393" i="4"/>
  <c r="AE393" i="4" s="1"/>
  <c r="S400" i="4"/>
  <c r="AE400" i="4" s="1"/>
  <c r="S408" i="4"/>
  <c r="AE408" i="4" s="1"/>
  <c r="S439" i="4"/>
  <c r="AE439" i="4" s="1"/>
  <c r="S440" i="4"/>
  <c r="AE440" i="4" s="1"/>
  <c r="S431" i="4"/>
  <c r="AE431" i="4" s="1"/>
  <c r="S436" i="4"/>
  <c r="AE436" i="4" s="1"/>
  <c r="S438" i="4"/>
  <c r="AE438" i="4" s="1"/>
  <c r="A435" i="9" l="1"/>
  <c r="A436" i="9" s="1"/>
  <c r="A438" i="9" s="1"/>
  <c r="A439" i="9" s="1"/>
  <c r="A440" i="9" s="1"/>
  <c r="A442" i="9" s="1"/>
  <c r="A443" i="9" s="1"/>
  <c r="A445" i="9" s="1"/>
  <c r="A446" i="9" s="1"/>
  <c r="A447" i="9" s="1"/>
  <c r="A449" i="9" s="1"/>
  <c r="A450" i="9" s="1"/>
  <c r="A451" i="9" s="1"/>
  <c r="A452" i="9" s="1"/>
  <c r="A453" i="9" s="1"/>
  <c r="A454" i="9" s="1"/>
  <c r="A455" i="9" s="1"/>
  <c r="A457" i="9" s="1"/>
  <c r="A458" i="9" s="1"/>
  <c r="A459" i="9" s="1"/>
  <c r="A460" i="9" s="1"/>
  <c r="A462" i="9" s="1"/>
  <c r="A463" i="9" s="1"/>
  <c r="A465" i="9" s="1"/>
  <c r="A467" i="9" s="1"/>
  <c r="A468" i="9" s="1"/>
  <c r="A469" i="9" s="1"/>
  <c r="A470" i="9" s="1"/>
  <c r="A471" i="9" s="1"/>
  <c r="A474" i="9" s="1"/>
  <c r="A475" i="9" s="1"/>
  <c r="A477" i="9" s="1"/>
  <c r="A478" i="9" s="1"/>
  <c r="A479" i="9" s="1"/>
  <c r="A481" i="9" s="1"/>
  <c r="A482" i="9" s="1"/>
  <c r="A483" i="9" s="1"/>
  <c r="A484" i="9" s="1"/>
  <c r="A485" i="9" s="1"/>
  <c r="Y317" i="4"/>
  <c r="S461" i="4"/>
  <c r="Y308" i="4"/>
  <c r="AE428" i="4"/>
  <c r="AE427" i="4" s="1"/>
  <c r="S427" i="4"/>
  <c r="S382" i="4"/>
  <c r="AE383" i="4"/>
  <c r="AE382" i="4" s="1"/>
  <c r="AE318" i="4"/>
  <c r="AE462" i="4"/>
  <c r="AE461" i="4" s="1"/>
  <c r="S256" i="4"/>
  <c r="S269" i="4"/>
  <c r="AE269" i="4" s="1"/>
  <c r="S311" i="4"/>
  <c r="AE311" i="4" s="1"/>
  <c r="S327" i="4"/>
  <c r="AE327" i="4" s="1"/>
  <c r="S319" i="4"/>
  <c r="AE319" i="4" s="1"/>
  <c r="S310" i="4"/>
  <c r="AE310" i="4" s="1"/>
  <c r="S267" i="4"/>
  <c r="AE267" i="4" s="1"/>
  <c r="S309" i="4"/>
  <c r="S320" i="4"/>
  <c r="AE320" i="4" s="1"/>
  <c r="S312" i="4"/>
  <c r="AE312" i="4" s="1"/>
  <c r="S272" i="4"/>
  <c r="AE272" i="4" s="1"/>
  <c r="A487" i="9" l="1"/>
  <c r="A489" i="9" s="1"/>
  <c r="A492" i="9" s="1"/>
  <c r="A493" i="9" s="1"/>
  <c r="A494" i="9" s="1"/>
  <c r="A495" i="9" s="1"/>
  <c r="A497" i="9" s="1"/>
  <c r="A499" i="9" s="1"/>
  <c r="A501" i="9" s="1"/>
  <c r="A502" i="9" s="1"/>
  <c r="A505" i="9" s="1"/>
  <c r="AF461" i="4"/>
  <c r="AF382" i="4"/>
  <c r="AF427" i="4"/>
  <c r="AE317" i="4"/>
  <c r="AE309" i="4"/>
  <c r="AE308" i="4" s="1"/>
  <c r="S308" i="4"/>
  <c r="S317" i="4"/>
  <c r="AE256" i="4"/>
  <c r="AE255" i="4" s="1"/>
  <c r="S255" i="4"/>
  <c r="AC620" i="4"/>
  <c r="AC623" i="4"/>
  <c r="AC624" i="4"/>
  <c r="AC626" i="4"/>
  <c r="AC627" i="4"/>
  <c r="AC629" i="4"/>
  <c r="AC632" i="4"/>
  <c r="AC633" i="4"/>
  <c r="AC634" i="4"/>
  <c r="AC635" i="4"/>
  <c r="AC636" i="4"/>
  <c r="AC643" i="4"/>
  <c r="AC644" i="4"/>
  <c r="AC645" i="4"/>
  <c r="AC646" i="4"/>
  <c r="AC647" i="4"/>
  <c r="AC648" i="4"/>
  <c r="AC649" i="4"/>
  <c r="AC654" i="4"/>
  <c r="AC665" i="4"/>
  <c r="AC666" i="4"/>
  <c r="AC667" i="4"/>
  <c r="AC668" i="4"/>
  <c r="AC672" i="4"/>
  <c r="AC673" i="4"/>
  <c r="AC674" i="4"/>
  <c r="AC675" i="4"/>
  <c r="AC677" i="4"/>
  <c r="AC679" i="4"/>
  <c r="AC680" i="4"/>
  <c r="AC681" i="4"/>
  <c r="AC687" i="4"/>
  <c r="AC688" i="4"/>
  <c r="AC689" i="4"/>
  <c r="AC909" i="4"/>
  <c r="AC910" i="4"/>
  <c r="AC911" i="4"/>
  <c r="AC912" i="4"/>
  <c r="AC913" i="4"/>
  <c r="T610" i="4"/>
  <c r="Q609" i="4"/>
  <c r="W609" i="4" s="1"/>
  <c r="Y609" i="4" s="1"/>
  <c r="T609" i="4"/>
  <c r="Q608" i="4"/>
  <c r="W608" i="4" s="1"/>
  <c r="T608" i="4"/>
  <c r="Q607" i="4"/>
  <c r="W607" i="4" s="1"/>
  <c r="AB570" i="4"/>
  <c r="T571" i="4"/>
  <c r="Y555" i="4"/>
  <c r="Y556" i="4"/>
  <c r="Y557" i="4"/>
  <c r="Y558" i="4"/>
  <c r="Y559" i="4"/>
  <c r="Y560" i="4"/>
  <c r="Y561" i="4"/>
  <c r="Y562" i="4"/>
  <c r="Y563" i="4"/>
  <c r="Y564" i="4"/>
  <c r="Y565" i="4"/>
  <c r="Y566" i="4"/>
  <c r="Y567" i="4"/>
  <c r="Y568" i="4"/>
  <c r="Y569" i="4"/>
  <c r="AF317" i="4" l="1"/>
  <c r="AF308" i="4"/>
  <c r="AF255" i="4"/>
  <c r="AB611" i="4"/>
  <c r="Q611" i="4"/>
  <c r="F611" i="4"/>
  <c r="R611" i="4" s="1"/>
  <c r="AD611" i="4" s="1"/>
  <c r="AB610" i="4"/>
  <c r="V610" i="4"/>
  <c r="Q610" i="4"/>
  <c r="F610" i="4"/>
  <c r="J610" i="4" s="1"/>
  <c r="AB609" i="4"/>
  <c r="V609" i="4"/>
  <c r="F609" i="4"/>
  <c r="N609" i="4" s="1"/>
  <c r="AB608" i="4"/>
  <c r="U608" i="4"/>
  <c r="X608" i="4" s="1"/>
  <c r="F608" i="4"/>
  <c r="J608" i="4" s="1"/>
  <c r="AB607" i="4"/>
  <c r="T607" i="4"/>
  <c r="V607" i="4" s="1"/>
  <c r="F607" i="4"/>
  <c r="N607" i="4" s="1"/>
  <c r="AB606" i="4"/>
  <c r="T606" i="4"/>
  <c r="V606" i="4" s="1"/>
  <c r="Q606" i="4"/>
  <c r="W606" i="4" s="1"/>
  <c r="F606" i="4"/>
  <c r="N606" i="4" s="1"/>
  <c r="AB605" i="4"/>
  <c r="Q605" i="4"/>
  <c r="F605" i="4"/>
  <c r="R605" i="4" s="1"/>
  <c r="AD605" i="4" s="1"/>
  <c r="AB604" i="4"/>
  <c r="T604" i="4"/>
  <c r="V604" i="4" s="1"/>
  <c r="Q604" i="4"/>
  <c r="F604" i="4"/>
  <c r="K604" i="4" s="1"/>
  <c r="AB603" i="4"/>
  <c r="Q603" i="4"/>
  <c r="W603" i="4" s="1"/>
  <c r="F603" i="4"/>
  <c r="R603" i="4" s="1"/>
  <c r="AD603" i="4" s="1"/>
  <c r="AB602" i="4"/>
  <c r="Q602" i="4"/>
  <c r="F602" i="4"/>
  <c r="R602" i="4" s="1"/>
  <c r="AD602" i="4" s="1"/>
  <c r="AB601" i="4"/>
  <c r="T601" i="4"/>
  <c r="V601" i="4" s="1"/>
  <c r="F601" i="4"/>
  <c r="O601" i="4" s="1"/>
  <c r="AB600" i="4"/>
  <c r="Y600" i="4"/>
  <c r="AB599" i="4"/>
  <c r="Y599" i="4"/>
  <c r="F599" i="4"/>
  <c r="AB598" i="4"/>
  <c r="Y598" i="4"/>
  <c r="Y597" i="4"/>
  <c r="Y596" i="4"/>
  <c r="Q596" i="4"/>
  <c r="F596" i="4"/>
  <c r="K598" i="4" s="1"/>
  <c r="AB595" i="4"/>
  <c r="Y595" i="4"/>
  <c r="F595" i="4"/>
  <c r="AB594" i="4"/>
  <c r="Q594" i="4"/>
  <c r="F594" i="4"/>
  <c r="R594" i="4" s="1"/>
  <c r="AD594" i="4" s="1"/>
  <c r="AB593" i="4"/>
  <c r="Q593" i="4"/>
  <c r="W593" i="4" s="1"/>
  <c r="F593" i="4"/>
  <c r="R593" i="4" s="1"/>
  <c r="AD593" i="4" s="1"/>
  <c r="AB592" i="4"/>
  <c r="Q592" i="4"/>
  <c r="W592" i="4" s="1"/>
  <c r="F592" i="4"/>
  <c r="R592" i="4" s="1"/>
  <c r="AD592" i="4" s="1"/>
  <c r="AB591" i="4"/>
  <c r="T591" i="4"/>
  <c r="V591" i="4" s="1"/>
  <c r="F591" i="4"/>
  <c r="O591" i="4" s="1"/>
  <c r="AB590" i="4"/>
  <c r="Q590" i="4"/>
  <c r="F590" i="4"/>
  <c r="R590" i="4" s="1"/>
  <c r="AD590" i="4" s="1"/>
  <c r="AB589" i="4"/>
  <c r="Q589" i="4"/>
  <c r="F589" i="4"/>
  <c r="R589" i="4" s="1"/>
  <c r="AD589" i="4" s="1"/>
  <c r="AB588" i="4"/>
  <c r="T588" i="4"/>
  <c r="V588" i="4" s="1"/>
  <c r="D587" i="4"/>
  <c r="T587" i="4" s="1"/>
  <c r="V587" i="4" s="1"/>
  <c r="Q586" i="4"/>
  <c r="F586" i="4"/>
  <c r="O588" i="4" s="1"/>
  <c r="D586" i="4"/>
  <c r="T586" i="4" s="1"/>
  <c r="V586" i="4" s="1"/>
  <c r="AB585" i="4"/>
  <c r="Q585" i="4"/>
  <c r="F585" i="4"/>
  <c r="R585" i="4" s="1"/>
  <c r="AB584" i="4"/>
  <c r="Q584" i="4"/>
  <c r="F584" i="4"/>
  <c r="R584" i="4" s="1"/>
  <c r="AD584" i="4" s="1"/>
  <c r="AB583" i="4"/>
  <c r="T583" i="4"/>
  <c r="V583" i="4" s="1"/>
  <c r="Q583" i="4"/>
  <c r="F583" i="4"/>
  <c r="R583" i="4" s="1"/>
  <c r="AD583" i="4" s="1"/>
  <c r="AB582" i="4"/>
  <c r="Y582" i="4"/>
  <c r="Q582" i="4"/>
  <c r="F582" i="4"/>
  <c r="R582" i="4" s="1"/>
  <c r="AD582" i="4" s="1"/>
  <c r="AB581" i="4"/>
  <c r="Y581" i="4"/>
  <c r="F581" i="4"/>
  <c r="S581" i="4" s="1"/>
  <c r="Y580" i="4"/>
  <c r="AB579" i="4"/>
  <c r="Y579" i="4"/>
  <c r="Q579" i="4"/>
  <c r="F579" i="4"/>
  <c r="R579" i="4" s="1"/>
  <c r="AB578" i="4"/>
  <c r="Y578" i="4"/>
  <c r="Q578" i="4"/>
  <c r="F578" i="4"/>
  <c r="R578" i="4" s="1"/>
  <c r="AD578" i="4" s="1"/>
  <c r="AB577" i="4"/>
  <c r="Y577" i="4"/>
  <c r="Q577" i="4"/>
  <c r="F577" i="4"/>
  <c r="R577" i="4" s="1"/>
  <c r="AD577" i="4" s="1"/>
  <c r="AB576" i="4"/>
  <c r="Y576" i="4"/>
  <c r="Q576" i="4"/>
  <c r="F576" i="4"/>
  <c r="R576" i="4" s="1"/>
  <c r="AD576" i="4" s="1"/>
  <c r="AB575" i="4"/>
  <c r="T575" i="4"/>
  <c r="V575" i="4" s="1"/>
  <c r="Q575" i="4"/>
  <c r="W575" i="4" s="1"/>
  <c r="F575" i="4"/>
  <c r="J575" i="4" s="1"/>
  <c r="AB574" i="4"/>
  <c r="T574" i="4"/>
  <c r="V574" i="4" s="1"/>
  <c r="Q574" i="4"/>
  <c r="F574" i="4"/>
  <c r="J574" i="4" s="1"/>
  <c r="AB573" i="4"/>
  <c r="Q573" i="4"/>
  <c r="F573" i="4"/>
  <c r="AB572" i="4"/>
  <c r="Q572" i="4"/>
  <c r="F572" i="4"/>
  <c r="R572" i="4" s="1"/>
  <c r="AD572" i="4" s="1"/>
  <c r="AB571" i="4"/>
  <c r="V571" i="4"/>
  <c r="F571" i="4"/>
  <c r="O571" i="4" s="1"/>
  <c r="Q570" i="4"/>
  <c r="F570" i="4"/>
  <c r="D557" i="4"/>
  <c r="D556" i="4"/>
  <c r="D555" i="4"/>
  <c r="Q554" i="4"/>
  <c r="F554" i="4"/>
  <c r="N554" i="4" s="1"/>
  <c r="AB553" i="4"/>
  <c r="Q553" i="4"/>
  <c r="F553" i="4"/>
  <c r="R552" i="4"/>
  <c r="AD552" i="4" s="1"/>
  <c r="Q552" i="4"/>
  <c r="Y551" i="4"/>
  <c r="Y550" i="4"/>
  <c r="AB549" i="4"/>
  <c r="Q549" i="4"/>
  <c r="W549" i="4" s="1"/>
  <c r="Y549" i="4" s="1"/>
  <c r="F549" i="4"/>
  <c r="J549" i="4" s="1"/>
  <c r="AB547" i="4"/>
  <c r="F547" i="4"/>
  <c r="AB546" i="4"/>
  <c r="T546" i="4"/>
  <c r="V546" i="4" s="1"/>
  <c r="Q546" i="4"/>
  <c r="F546" i="4"/>
  <c r="R546" i="4" s="1"/>
  <c r="AB545" i="4"/>
  <c r="T545" i="4"/>
  <c r="V545" i="4" s="1"/>
  <c r="F545" i="4"/>
  <c r="N545" i="4" s="1"/>
  <c r="AD545" i="4" s="1"/>
  <c r="AB544" i="4"/>
  <c r="T544" i="4"/>
  <c r="V544" i="4" s="1"/>
  <c r="Q544" i="4"/>
  <c r="F544" i="4"/>
  <c r="O544" i="4" s="1"/>
  <c r="AB543" i="4"/>
  <c r="T543" i="4"/>
  <c r="V543" i="4" s="1"/>
  <c r="F543" i="4"/>
  <c r="J543" i="4" s="1"/>
  <c r="AD543" i="4" s="1"/>
  <c r="AB542" i="4"/>
  <c r="T542" i="4"/>
  <c r="V542" i="4" s="1"/>
  <c r="F542" i="4"/>
  <c r="J542" i="4" s="1"/>
  <c r="AD542" i="4" s="1"/>
  <c r="AB541" i="4"/>
  <c r="V541" i="4"/>
  <c r="Q541" i="4"/>
  <c r="F541" i="4"/>
  <c r="O541" i="4" s="1"/>
  <c r="AB540" i="4"/>
  <c r="T540" i="4"/>
  <c r="V540" i="4" s="1"/>
  <c r="F540" i="4"/>
  <c r="J540" i="4" s="1"/>
  <c r="AD540" i="4" s="1"/>
  <c r="AB539" i="4"/>
  <c r="T539" i="4"/>
  <c r="V539" i="4" s="1"/>
  <c r="Q539" i="4"/>
  <c r="W539" i="4" s="1"/>
  <c r="F539" i="4"/>
  <c r="R539" i="4" s="1"/>
  <c r="AD539" i="4" s="1"/>
  <c r="AB538" i="4"/>
  <c r="T538" i="4"/>
  <c r="V538" i="4" s="1"/>
  <c r="Q538" i="4"/>
  <c r="W538" i="4" s="1"/>
  <c r="F538" i="4"/>
  <c r="R538" i="4" s="1"/>
  <c r="AD538" i="4" s="1"/>
  <c r="AB537" i="4"/>
  <c r="T537" i="4"/>
  <c r="V537" i="4" s="1"/>
  <c r="Q537" i="4"/>
  <c r="W537" i="4" s="1"/>
  <c r="F537" i="4"/>
  <c r="O537" i="4" s="1"/>
  <c r="AB536" i="4"/>
  <c r="T536" i="4"/>
  <c r="V536" i="4" s="1"/>
  <c r="Q536" i="4"/>
  <c r="F536" i="4"/>
  <c r="J536" i="4" s="1"/>
  <c r="AB535" i="4"/>
  <c r="Q535" i="4"/>
  <c r="W535" i="4" s="1"/>
  <c r="F535" i="4"/>
  <c r="R535" i="4" s="1"/>
  <c r="AD535" i="4" s="1"/>
  <c r="AB534" i="4"/>
  <c r="Q534" i="4"/>
  <c r="F534" i="4"/>
  <c r="R534" i="4" s="1"/>
  <c r="AD534" i="4" s="1"/>
  <c r="AB533" i="4"/>
  <c r="Q533" i="4"/>
  <c r="F533" i="4"/>
  <c r="AB532" i="4"/>
  <c r="Q532" i="4"/>
  <c r="W532" i="4" s="1"/>
  <c r="F532" i="4"/>
  <c r="R532" i="4" s="1"/>
  <c r="AD532" i="4" s="1"/>
  <c r="AB531" i="4"/>
  <c r="Q531" i="4"/>
  <c r="W531" i="4" s="1"/>
  <c r="F531" i="4"/>
  <c r="R531" i="4" s="1"/>
  <c r="AD531" i="4" s="1"/>
  <c r="AB530" i="4"/>
  <c r="Q530" i="4"/>
  <c r="W530" i="4" s="1"/>
  <c r="F530" i="4"/>
  <c r="R530" i="4" s="1"/>
  <c r="AD530" i="4" s="1"/>
  <c r="AB529" i="4"/>
  <c r="Y529" i="4"/>
  <c r="AB528" i="4"/>
  <c r="Y528" i="4"/>
  <c r="F528" i="4"/>
  <c r="R528" i="4" s="1"/>
  <c r="AB527" i="4"/>
  <c r="Q527" i="4"/>
  <c r="W527" i="4" s="1"/>
  <c r="F527" i="4"/>
  <c r="R527" i="4" s="1"/>
  <c r="AD527" i="4" s="1"/>
  <c r="AB526" i="4"/>
  <c r="Y526" i="4"/>
  <c r="Y525" i="4"/>
  <c r="G525" i="4"/>
  <c r="F525" i="4" s="1"/>
  <c r="S525" i="4" s="1"/>
  <c r="AB524" i="4"/>
  <c r="Y524" i="4"/>
  <c r="Y523" i="4"/>
  <c r="Y522" i="4"/>
  <c r="G522" i="4"/>
  <c r="AB521" i="4"/>
  <c r="Q521" i="4"/>
  <c r="F521" i="4"/>
  <c r="R521" i="4" s="1"/>
  <c r="AD521" i="4" s="1"/>
  <c r="AB520" i="4"/>
  <c r="Q520" i="4"/>
  <c r="Y519" i="4"/>
  <c r="F519" i="4"/>
  <c r="R519" i="4" s="1"/>
  <c r="Q518" i="4"/>
  <c r="Q517" i="4"/>
  <c r="AB516" i="4"/>
  <c r="Y516" i="4"/>
  <c r="F516" i="4"/>
  <c r="R516" i="4" s="1"/>
  <c r="AB515" i="4"/>
  <c r="Y515" i="4"/>
  <c r="F515" i="4"/>
  <c r="R515" i="4" s="1"/>
  <c r="AD515" i="4" s="1"/>
  <c r="Y514" i="4"/>
  <c r="AB513" i="4"/>
  <c r="Y513" i="4"/>
  <c r="F513" i="4"/>
  <c r="S513" i="4" s="1"/>
  <c r="AB512" i="4"/>
  <c r="T512" i="4"/>
  <c r="V512" i="4" s="1"/>
  <c r="Q512" i="4"/>
  <c r="F512" i="4"/>
  <c r="J512" i="4" s="1"/>
  <c r="AB511" i="4"/>
  <c r="T511" i="4"/>
  <c r="V511" i="4" s="1"/>
  <c r="Q511" i="4"/>
  <c r="F511" i="4"/>
  <c r="O511" i="4" s="1"/>
  <c r="AB510" i="4"/>
  <c r="T510" i="4"/>
  <c r="V510" i="4" s="1"/>
  <c r="Q510" i="4"/>
  <c r="F510" i="4"/>
  <c r="J510" i="4" s="1"/>
  <c r="AB509" i="4"/>
  <c r="T509" i="4"/>
  <c r="Q509" i="4"/>
  <c r="F509" i="4"/>
  <c r="AB508" i="4"/>
  <c r="T508" i="4"/>
  <c r="V508" i="4" s="1"/>
  <c r="F508" i="4"/>
  <c r="J508" i="4" s="1"/>
  <c r="AD508" i="4" s="1"/>
  <c r="AB507" i="4"/>
  <c r="T507" i="4"/>
  <c r="V507" i="4" s="1"/>
  <c r="Q507" i="4"/>
  <c r="F507" i="4"/>
  <c r="J507" i="4" s="1"/>
  <c r="AB506" i="4"/>
  <c r="Q506" i="4"/>
  <c r="F506" i="4"/>
  <c r="AB505" i="4"/>
  <c r="Q505" i="4"/>
  <c r="F505" i="4"/>
  <c r="AB504" i="4"/>
  <c r="T504" i="4"/>
  <c r="V504" i="4" s="1"/>
  <c r="Q504" i="4"/>
  <c r="F504" i="4"/>
  <c r="O504" i="4" s="1"/>
  <c r="AB503" i="4"/>
  <c r="Q503" i="4"/>
  <c r="F503" i="4"/>
  <c r="AB502" i="4"/>
  <c r="T502" i="4"/>
  <c r="V502" i="4" s="1"/>
  <c r="Q502" i="4"/>
  <c r="F502" i="4"/>
  <c r="N502" i="4" s="1"/>
  <c r="AB501" i="4"/>
  <c r="Y501" i="4"/>
  <c r="Q501" i="4"/>
  <c r="F501" i="4"/>
  <c r="AB500" i="4"/>
  <c r="Y500" i="4"/>
  <c r="Q500" i="4"/>
  <c r="F500" i="4"/>
  <c r="AB499" i="4"/>
  <c r="Y499" i="4"/>
  <c r="Q499" i="4"/>
  <c r="Y498" i="4"/>
  <c r="Q498" i="4"/>
  <c r="Y497" i="4"/>
  <c r="Q497" i="4"/>
  <c r="Q496" i="4"/>
  <c r="F496" i="4"/>
  <c r="N499" i="4" s="1"/>
  <c r="AB495" i="4"/>
  <c r="T495" i="4"/>
  <c r="V495" i="4" s="1"/>
  <c r="F495" i="4"/>
  <c r="R498" i="4" s="1"/>
  <c r="AB494" i="4"/>
  <c r="T494" i="4"/>
  <c r="V494" i="4" s="1"/>
  <c r="F494" i="4"/>
  <c r="O494" i="4" s="1"/>
  <c r="AB493" i="4"/>
  <c r="T493" i="4"/>
  <c r="V493" i="4" s="1"/>
  <c r="F493" i="4"/>
  <c r="O493" i="4" s="1"/>
  <c r="K14" i="4"/>
  <c r="K6" i="4" s="1"/>
  <c r="A506" i="9" l="1"/>
  <c r="A507" i="9" s="1"/>
  <c r="A510" i="9" s="1"/>
  <c r="A511" i="9" s="1"/>
  <c r="A513" i="9" s="1"/>
  <c r="A514" i="9" s="1"/>
  <c r="O547" i="4"/>
  <c r="R547" i="4"/>
  <c r="S547" i="4" s="1"/>
  <c r="S585" i="4"/>
  <c r="AE585" i="4" s="1"/>
  <c r="AE591" i="4"/>
  <c r="AE513" i="4"/>
  <c r="AE581" i="4"/>
  <c r="W509" i="4"/>
  <c r="Y509" i="4" s="1"/>
  <c r="W521" i="4"/>
  <c r="Y521" i="4" s="1"/>
  <c r="W602" i="4"/>
  <c r="Y602" i="4" s="1"/>
  <c r="W505" i="4"/>
  <c r="Y505" i="4" s="1"/>
  <c r="W510" i="4"/>
  <c r="Y510" i="4" s="1"/>
  <c r="W518" i="4"/>
  <c r="Y518" i="4" s="1"/>
  <c r="W553" i="4"/>
  <c r="Y553" i="4" s="1"/>
  <c r="W572" i="4"/>
  <c r="Y572" i="4" s="1"/>
  <c r="W573" i="4"/>
  <c r="Y573" i="4" s="1"/>
  <c r="W574" i="4"/>
  <c r="Y574" i="4" s="1"/>
  <c r="W583" i="4"/>
  <c r="Y583" i="4" s="1"/>
  <c r="W605" i="4"/>
  <c r="Y605" i="4" s="1"/>
  <c r="W517" i="4"/>
  <c r="Y517" i="4" s="1"/>
  <c r="W546" i="4"/>
  <c r="Y546" i="4" s="1"/>
  <c r="W604" i="4"/>
  <c r="Y604" i="4" s="1"/>
  <c r="W506" i="4"/>
  <c r="Y506" i="4" s="1"/>
  <c r="W511" i="4"/>
  <c r="Y511" i="4" s="1"/>
  <c r="W533" i="4"/>
  <c r="Y533" i="4" s="1"/>
  <c r="W534" i="4"/>
  <c r="Y534" i="4" s="1"/>
  <c r="W536" i="4"/>
  <c r="Y536" i="4" s="1"/>
  <c r="W541" i="4"/>
  <c r="Y541" i="4" s="1"/>
  <c r="W552" i="4"/>
  <c r="Y552" i="4" s="1"/>
  <c r="W584" i="4"/>
  <c r="Y584" i="4" s="1"/>
  <c r="W589" i="4"/>
  <c r="Y589" i="4" s="1"/>
  <c r="W590" i="4"/>
  <c r="Y590" i="4" s="1"/>
  <c r="W594" i="4"/>
  <c r="Y594" i="4" s="1"/>
  <c r="W610" i="4"/>
  <c r="Y610" i="4" s="1"/>
  <c r="W520" i="4"/>
  <c r="Y520" i="4" s="1"/>
  <c r="W507" i="4"/>
  <c r="Y507" i="4" s="1"/>
  <c r="W512" i="4"/>
  <c r="Y512" i="4" s="1"/>
  <c r="W544" i="4"/>
  <c r="Y544" i="4" s="1"/>
  <c r="W570" i="4"/>
  <c r="Y570" i="4" s="1"/>
  <c r="W611" i="4"/>
  <c r="Y611" i="4" s="1"/>
  <c r="F522" i="4"/>
  <c r="S522" i="4" s="1"/>
  <c r="AE522" i="4" s="1"/>
  <c r="G492" i="4"/>
  <c r="K547" i="4"/>
  <c r="R507" i="4"/>
  <c r="AD507" i="4" s="1"/>
  <c r="N546" i="4"/>
  <c r="AD546" i="4" s="1"/>
  <c r="S607" i="4"/>
  <c r="S503" i="4"/>
  <c r="AE503" i="4" s="1"/>
  <c r="N511" i="4"/>
  <c r="S538" i="4"/>
  <c r="K601" i="4"/>
  <c r="AE601" i="4" s="1"/>
  <c r="S599" i="4"/>
  <c r="AE599" i="4" s="1"/>
  <c r="R599" i="4"/>
  <c r="J601" i="4"/>
  <c r="S575" i="4"/>
  <c r="Y575" i="4"/>
  <c r="S595" i="4"/>
  <c r="AE595" i="4" s="1"/>
  <c r="R595" i="4"/>
  <c r="AD595" i="4" s="1"/>
  <c r="N494" i="4"/>
  <c r="AD494" i="4" s="1"/>
  <c r="K495" i="4"/>
  <c r="AE495" i="4" s="1"/>
  <c r="S573" i="4"/>
  <c r="O546" i="4"/>
  <c r="S552" i="4"/>
  <c r="S577" i="4"/>
  <c r="AE577" i="4" s="1"/>
  <c r="S606" i="4"/>
  <c r="S533" i="4"/>
  <c r="J494" i="4"/>
  <c r="O497" i="4"/>
  <c r="S506" i="4"/>
  <c r="R533" i="4"/>
  <c r="AD533" i="4" s="1"/>
  <c r="R574" i="4"/>
  <c r="AD574" i="4" s="1"/>
  <c r="R596" i="4"/>
  <c r="R575" i="4"/>
  <c r="AD575" i="4" s="1"/>
  <c r="K610" i="4"/>
  <c r="V608" i="4"/>
  <c r="N583" i="4"/>
  <c r="N497" i="4"/>
  <c r="S504" i="4"/>
  <c r="AE504" i="4" s="1"/>
  <c r="S572" i="4"/>
  <c r="S579" i="4"/>
  <c r="AE579" i="4" s="1"/>
  <c r="K583" i="4"/>
  <c r="N598" i="4"/>
  <c r="S603" i="4"/>
  <c r="N504" i="4"/>
  <c r="S530" i="4"/>
  <c r="S593" i="4"/>
  <c r="K494" i="4"/>
  <c r="AE494" i="4" s="1"/>
  <c r="S574" i="4"/>
  <c r="S596" i="4"/>
  <c r="AE596" i="4" s="1"/>
  <c r="R610" i="4"/>
  <c r="AD610" i="4" s="1"/>
  <c r="J495" i="4"/>
  <c r="O498" i="4"/>
  <c r="R511" i="4"/>
  <c r="AD511" i="4" s="1"/>
  <c r="S531" i="4"/>
  <c r="S534" i="4"/>
  <c r="K540" i="4"/>
  <c r="AE540" i="4" s="1"/>
  <c r="K543" i="4"/>
  <c r="AE543" i="4" s="1"/>
  <c r="J547" i="4"/>
  <c r="S578" i="4"/>
  <c r="AE578" i="4" s="1"/>
  <c r="S582" i="4"/>
  <c r="Y593" i="4"/>
  <c r="N498" i="4"/>
  <c r="S507" i="4"/>
  <c r="S527" i="4"/>
  <c r="O554" i="4"/>
  <c r="N586" i="4"/>
  <c r="K511" i="4"/>
  <c r="S576" i="4"/>
  <c r="AE576" i="4" s="1"/>
  <c r="N507" i="4"/>
  <c r="J511" i="4"/>
  <c r="Y530" i="4"/>
  <c r="S532" i="4"/>
  <c r="O607" i="4"/>
  <c r="S500" i="4"/>
  <c r="AE500" i="4" s="1"/>
  <c r="K507" i="4"/>
  <c r="K542" i="4"/>
  <c r="AE542" i="4" s="1"/>
  <c r="O545" i="4"/>
  <c r="AE545" i="4" s="1"/>
  <c r="J571" i="4"/>
  <c r="R581" i="4"/>
  <c r="S592" i="4"/>
  <c r="R608" i="4"/>
  <c r="AD608" i="4" s="1"/>
  <c r="S509" i="4"/>
  <c r="Y608" i="4"/>
  <c r="S583" i="4"/>
  <c r="S609" i="4"/>
  <c r="R499" i="4"/>
  <c r="N493" i="4"/>
  <c r="AD493" i="4" s="1"/>
  <c r="R496" i="4"/>
  <c r="O499" i="4"/>
  <c r="S510" i="4"/>
  <c r="S536" i="4"/>
  <c r="O609" i="4"/>
  <c r="K493" i="4"/>
  <c r="AE493" i="4" s="1"/>
  <c r="S496" i="4"/>
  <c r="R510" i="4"/>
  <c r="AD510" i="4" s="1"/>
  <c r="Y531" i="4"/>
  <c r="R536" i="4"/>
  <c r="AD536" i="4" s="1"/>
  <c r="Y538" i="4"/>
  <c r="J493" i="4"/>
  <c r="N496" i="4"/>
  <c r="R497" i="4"/>
  <c r="S501" i="4"/>
  <c r="AE501" i="4" s="1"/>
  <c r="S611" i="4"/>
  <c r="N510" i="4"/>
  <c r="O549" i="4"/>
  <c r="R573" i="4"/>
  <c r="AD573" i="4" s="1"/>
  <c r="S602" i="4"/>
  <c r="AE602" i="4" s="1"/>
  <c r="S605" i="4"/>
  <c r="K608" i="4"/>
  <c r="K496" i="4"/>
  <c r="Y532" i="4"/>
  <c r="N536" i="4"/>
  <c r="J496" i="4"/>
  <c r="S502" i="4"/>
  <c r="R504" i="4"/>
  <c r="AD504" i="4" s="1"/>
  <c r="K510" i="4"/>
  <c r="S516" i="4"/>
  <c r="S519" i="4"/>
  <c r="Y527" i="4"/>
  <c r="K536" i="4"/>
  <c r="S546" i="4"/>
  <c r="S554" i="4"/>
  <c r="R570" i="4"/>
  <c r="AD570" i="4" s="1"/>
  <c r="N571" i="4"/>
  <c r="AD571" i="4" s="1"/>
  <c r="N574" i="4"/>
  <c r="K575" i="4"/>
  <c r="S594" i="4"/>
  <c r="S570" i="4"/>
  <c r="K571" i="4"/>
  <c r="AE571" i="4" s="1"/>
  <c r="K574" i="4"/>
  <c r="S586" i="4"/>
  <c r="AE586" i="4" s="1"/>
  <c r="Y592" i="4"/>
  <c r="Y603" i="4"/>
  <c r="S590" i="4"/>
  <c r="J502" i="4"/>
  <c r="R500" i="4"/>
  <c r="AD500" i="4" s="1"/>
  <c r="R501" i="4"/>
  <c r="AD501" i="4" s="1"/>
  <c r="K502" i="4"/>
  <c r="O507" i="4"/>
  <c r="K508" i="4"/>
  <c r="AE508" i="4" s="1"/>
  <c r="S521" i="4"/>
  <c r="R525" i="4"/>
  <c r="S528" i="4"/>
  <c r="AE528" i="4" s="1"/>
  <c r="J537" i="4"/>
  <c r="N541" i="4"/>
  <c r="N544" i="4"/>
  <c r="S549" i="4"/>
  <c r="R553" i="4"/>
  <c r="AD553" i="4" s="1"/>
  <c r="S553" i="4"/>
  <c r="O502" i="4"/>
  <c r="R502" i="4"/>
  <c r="AD502" i="4" s="1"/>
  <c r="R505" i="4"/>
  <c r="AD505" i="4" s="1"/>
  <c r="J509" i="4"/>
  <c r="O510" i="4"/>
  <c r="S511" i="4"/>
  <c r="K512" i="4"/>
  <c r="R512" i="4"/>
  <c r="AD512" i="4" s="1"/>
  <c r="R513" i="4"/>
  <c r="S515" i="4"/>
  <c r="AE515" i="4" s="1"/>
  <c r="O496" i="4"/>
  <c r="R503" i="4"/>
  <c r="AD503" i="4" s="1"/>
  <c r="S505" i="4"/>
  <c r="R506" i="4"/>
  <c r="AD506" i="4" s="1"/>
  <c r="K509" i="4"/>
  <c r="R509" i="4"/>
  <c r="AD509" i="4" s="1"/>
  <c r="N512" i="4"/>
  <c r="S512" i="4"/>
  <c r="S539" i="4"/>
  <c r="Y539" i="4"/>
  <c r="N549" i="4"/>
  <c r="R549" i="4"/>
  <c r="K549" i="4"/>
  <c r="O512" i="4"/>
  <c r="S537" i="4"/>
  <c r="Y537" i="4"/>
  <c r="S535" i="4"/>
  <c r="Y535" i="4"/>
  <c r="N537" i="4"/>
  <c r="R537" i="4"/>
  <c r="AD537" i="4" s="1"/>
  <c r="K537" i="4"/>
  <c r="R541" i="4"/>
  <c r="AD541" i="4" s="1"/>
  <c r="K541" i="4"/>
  <c r="J541" i="4"/>
  <c r="S541" i="4"/>
  <c r="R544" i="4"/>
  <c r="K544" i="4"/>
  <c r="J544" i="4"/>
  <c r="AD544" i="4" s="1"/>
  <c r="S544" i="4"/>
  <c r="R604" i="4"/>
  <c r="AD604" i="4" s="1"/>
  <c r="O606" i="4"/>
  <c r="O536" i="4"/>
  <c r="N547" i="4"/>
  <c r="R554" i="4"/>
  <c r="O574" i="4"/>
  <c r="O583" i="4"/>
  <c r="J588" i="4"/>
  <c r="O598" i="4"/>
  <c r="J604" i="4"/>
  <c r="S604" i="4"/>
  <c r="AE604" i="4" s="1"/>
  <c r="J606" i="4"/>
  <c r="N608" i="4"/>
  <c r="S608" i="4"/>
  <c r="N610" i="4"/>
  <c r="S610" i="4"/>
  <c r="J583" i="4"/>
  <c r="S584" i="4"/>
  <c r="R586" i="4"/>
  <c r="S589" i="4"/>
  <c r="N591" i="4"/>
  <c r="AD591" i="4" s="1"/>
  <c r="J598" i="4"/>
  <c r="N601" i="4"/>
  <c r="AD601" i="4" s="1"/>
  <c r="K606" i="4"/>
  <c r="R606" i="4"/>
  <c r="AD606" i="4" s="1"/>
  <c r="Y606" i="4"/>
  <c r="R607" i="4"/>
  <c r="AD607" i="4" s="1"/>
  <c r="Y607" i="4"/>
  <c r="O608" i="4"/>
  <c r="R609" i="4"/>
  <c r="AD609" i="4" s="1"/>
  <c r="O610" i="4"/>
  <c r="V835" i="4"/>
  <c r="F856" i="4"/>
  <c r="F855" i="4"/>
  <c r="Y838" i="4"/>
  <c r="Y839" i="4"/>
  <c r="Y840" i="4"/>
  <c r="Y841" i="4"/>
  <c r="Y842" i="4"/>
  <c r="Y843" i="4"/>
  <c r="Y844" i="4"/>
  <c r="Y845" i="4"/>
  <c r="Y846" i="4"/>
  <c r="Y847" i="4"/>
  <c r="Y848" i="4"/>
  <c r="Y849" i="4"/>
  <c r="Y850" i="4"/>
  <c r="Y851" i="4"/>
  <c r="Y852" i="4"/>
  <c r="Y853" i="4"/>
  <c r="Y854" i="4"/>
  <c r="Y855" i="4"/>
  <c r="Y856" i="4"/>
  <c r="Y857" i="4"/>
  <c r="Y858" i="4"/>
  <c r="Y859" i="4"/>
  <c r="Y837" i="4"/>
  <c r="Y836" i="4"/>
  <c r="V824" i="4"/>
  <c r="Y826" i="4"/>
  <c r="Y827" i="4"/>
  <c r="Y828" i="4"/>
  <c r="Y829" i="4"/>
  <c r="Y830" i="4"/>
  <c r="Y831" i="4"/>
  <c r="Y832" i="4"/>
  <c r="Y833" i="4"/>
  <c r="Y825" i="4"/>
  <c r="V1034" i="4"/>
  <c r="Y1044" i="4"/>
  <c r="Y1045" i="4"/>
  <c r="Y1046" i="4"/>
  <c r="Y1047" i="4"/>
  <c r="Y1048" i="4"/>
  <c r="Y1049" i="4"/>
  <c r="Y1050" i="4"/>
  <c r="Y1051" i="4"/>
  <c r="Y1052" i="4"/>
  <c r="Y1053" i="4"/>
  <c r="Y1054" i="4"/>
  <c r="Y1055" i="4"/>
  <c r="Y1056" i="4"/>
  <c r="Y1057" i="4"/>
  <c r="Y1058" i="4"/>
  <c r="Y1036" i="4"/>
  <c r="Y1037" i="4"/>
  <c r="Y1038" i="4"/>
  <c r="Y1039" i="4"/>
  <c r="Y1040" i="4"/>
  <c r="Y1041" i="4"/>
  <c r="Y1042" i="4"/>
  <c r="Y1043" i="4"/>
  <c r="Y1035" i="4"/>
  <c r="Y1032" i="4"/>
  <c r="V965" i="4"/>
  <c r="Y975" i="4"/>
  <c r="Y976" i="4"/>
  <c r="Y977" i="4"/>
  <c r="Y978" i="4"/>
  <c r="Y979" i="4"/>
  <c r="Y980" i="4"/>
  <c r="Y981" i="4"/>
  <c r="Y982" i="4"/>
  <c r="Y983" i="4"/>
  <c r="Y984" i="4"/>
  <c r="Y985" i="4"/>
  <c r="Y986" i="4"/>
  <c r="Y987" i="4"/>
  <c r="Y988" i="4"/>
  <c r="Y989" i="4"/>
  <c r="Y990" i="4"/>
  <c r="Y991" i="4"/>
  <c r="Y992" i="4"/>
  <c r="Y993" i="4"/>
  <c r="Y994" i="4"/>
  <c r="Y995" i="4"/>
  <c r="Y996" i="4"/>
  <c r="Y997" i="4"/>
  <c r="Y998" i="4"/>
  <c r="Y999" i="4"/>
  <c r="Y1000" i="4"/>
  <c r="Y1001" i="4"/>
  <c r="Y1002" i="4"/>
  <c r="Y1003" i="4"/>
  <c r="Y1004" i="4"/>
  <c r="Y1005" i="4"/>
  <c r="Y1006" i="4"/>
  <c r="Y1007" i="4"/>
  <c r="Y1008" i="4"/>
  <c r="Y1009" i="4"/>
  <c r="Y1010" i="4"/>
  <c r="Y1011" i="4"/>
  <c r="Y1012" i="4"/>
  <c r="Y1013" i="4"/>
  <c r="Y1014" i="4"/>
  <c r="Y1015" i="4"/>
  <c r="Y1016" i="4"/>
  <c r="Y1017" i="4"/>
  <c r="Y1018" i="4"/>
  <c r="Y1019" i="4"/>
  <c r="Y1020" i="4"/>
  <c r="Y1021" i="4"/>
  <c r="Y1022" i="4"/>
  <c r="Y1023" i="4"/>
  <c r="Y1024" i="4"/>
  <c r="Y1025" i="4"/>
  <c r="Y1026" i="4"/>
  <c r="Y1027" i="4"/>
  <c r="Y1028" i="4"/>
  <c r="Y1029" i="4"/>
  <c r="Y1030" i="4"/>
  <c r="Y1031" i="4"/>
  <c r="Y968" i="4"/>
  <c r="Y969" i="4"/>
  <c r="Y970" i="4"/>
  <c r="Y971" i="4"/>
  <c r="Y972" i="4"/>
  <c r="Y973" i="4"/>
  <c r="Y974" i="4"/>
  <c r="K965" i="4"/>
  <c r="O918" i="4"/>
  <c r="G918" i="4"/>
  <c r="W959" i="4"/>
  <c r="Y959" i="4" s="1"/>
  <c r="W960" i="4"/>
  <c r="Y960" i="4" s="1"/>
  <c r="W961" i="4"/>
  <c r="Y961" i="4" s="1"/>
  <c r="W962" i="4"/>
  <c r="Y962" i="4" s="1"/>
  <c r="W956" i="4"/>
  <c r="Y956" i="4" s="1"/>
  <c r="W957" i="4"/>
  <c r="Y957" i="4" s="1"/>
  <c r="W958" i="4"/>
  <c r="Y958" i="4" s="1"/>
  <c r="W955" i="4"/>
  <c r="Y955" i="4" s="1"/>
  <c r="W939" i="4"/>
  <c r="Y939" i="4" s="1"/>
  <c r="W940" i="4"/>
  <c r="Y940" i="4" s="1"/>
  <c r="W943" i="4"/>
  <c r="Y943" i="4" s="1"/>
  <c r="W944" i="4"/>
  <c r="Y944" i="4" s="1"/>
  <c r="W945" i="4"/>
  <c r="Y945" i="4" s="1"/>
  <c r="W946" i="4"/>
  <c r="Y946" i="4" s="1"/>
  <c r="W947" i="4"/>
  <c r="Y947" i="4" s="1"/>
  <c r="W948" i="4"/>
  <c r="Y948" i="4" s="1"/>
  <c r="W949" i="4"/>
  <c r="Y949" i="4" s="1"/>
  <c r="W950" i="4"/>
  <c r="Y950" i="4" s="1"/>
  <c r="W951" i="4"/>
  <c r="Y951" i="4" s="1"/>
  <c r="W952" i="4"/>
  <c r="Y952" i="4" s="1"/>
  <c r="W953" i="4"/>
  <c r="Y953" i="4" s="1"/>
  <c r="W938" i="4"/>
  <c r="Y938" i="4" s="1"/>
  <c r="W935" i="4"/>
  <c r="Y935" i="4" s="1"/>
  <c r="AE935" i="4" s="1"/>
  <c r="Y919" i="4"/>
  <c r="T697" i="4"/>
  <c r="T695" i="4"/>
  <c r="V695" i="4" s="1"/>
  <c r="T699" i="4"/>
  <c r="T694" i="4"/>
  <c r="T687" i="4"/>
  <c r="V687" i="4" s="1"/>
  <c r="T681" i="4"/>
  <c r="V674" i="4"/>
  <c r="V672" i="4"/>
  <c r="T665" i="4"/>
  <c r="V665" i="4" s="1"/>
  <c r="Y668" i="4"/>
  <c r="Y665" i="4"/>
  <c r="Y666" i="4"/>
  <c r="Y667" i="4"/>
  <c r="Q663" i="4"/>
  <c r="W663" i="4" s="1"/>
  <c r="Y663" i="4" s="1"/>
  <c r="T663" i="4"/>
  <c r="V663" i="4" s="1"/>
  <c r="T662" i="4"/>
  <c r="V662" i="4" s="1"/>
  <c r="T661" i="4"/>
  <c r="V661" i="4" s="1"/>
  <c r="Q657" i="4"/>
  <c r="W657" i="4" s="1"/>
  <c r="T658" i="4"/>
  <c r="V658" i="4" s="1"/>
  <c r="T657" i="4"/>
  <c r="V657" i="4" s="1"/>
  <c r="T654" i="4"/>
  <c r="V654" i="4" s="1"/>
  <c r="T649" i="4"/>
  <c r="V649" i="4" s="1"/>
  <c r="W618" i="4"/>
  <c r="T614" i="4"/>
  <c r="V614" i="4" s="1"/>
  <c r="T616" i="4"/>
  <c r="V616" i="4" s="1"/>
  <c r="V809" i="4"/>
  <c r="W796" i="4"/>
  <c r="Y796" i="4" s="1"/>
  <c r="AE796" i="4" s="1"/>
  <c r="W797" i="4"/>
  <c r="Y797" i="4" s="1"/>
  <c r="AE797" i="4" s="1"/>
  <c r="W798" i="4"/>
  <c r="Y798" i="4" s="1"/>
  <c r="AE798" i="4" s="1"/>
  <c r="W799" i="4"/>
  <c r="Y799" i="4" s="1"/>
  <c r="AE799" i="4" s="1"/>
  <c r="W800" i="4"/>
  <c r="Y800" i="4" s="1"/>
  <c r="AE800" i="4" s="1"/>
  <c r="W795" i="4"/>
  <c r="Y795" i="4" s="1"/>
  <c r="AE795" i="4" s="1"/>
  <c r="V789" i="4"/>
  <c r="Y801" i="4"/>
  <c r="Y786" i="4"/>
  <c r="W787" i="4"/>
  <c r="Y787" i="4" s="1"/>
  <c r="V774" i="4"/>
  <c r="V751" i="4"/>
  <c r="V701" i="4"/>
  <c r="V475" i="4"/>
  <c r="Y478" i="4"/>
  <c r="Y479" i="4"/>
  <c r="Y480" i="4"/>
  <c r="Y482" i="4"/>
  <c r="AE482" i="4" s="1"/>
  <c r="V453" i="4"/>
  <c r="W454" i="4"/>
  <c r="Y454" i="4" s="1"/>
  <c r="Y371" i="4"/>
  <c r="AE371" i="4" s="1"/>
  <c r="W366" i="4"/>
  <c r="Y366" i="4" s="1"/>
  <c r="AE366" i="4" s="1"/>
  <c r="W367" i="4"/>
  <c r="Y367" i="4" s="1"/>
  <c r="W368" i="4"/>
  <c r="Y368" i="4" s="1"/>
  <c r="AE368" i="4" s="1"/>
  <c r="W365" i="4"/>
  <c r="Y365" i="4" s="1"/>
  <c r="Y369" i="4"/>
  <c r="V364" i="4"/>
  <c r="Q366" i="4"/>
  <c r="Q367" i="4"/>
  <c r="Q368" i="4"/>
  <c r="Q370" i="4"/>
  <c r="W370" i="4" s="1"/>
  <c r="Y370" i="4" s="1"/>
  <c r="Q372" i="4"/>
  <c r="W372" i="4" s="1"/>
  <c r="Y372" i="4" s="1"/>
  <c r="Q373" i="4"/>
  <c r="W373" i="4" s="1"/>
  <c r="Y373" i="4" s="1"/>
  <c r="Q374" i="4"/>
  <c r="W374" i="4" s="1"/>
  <c r="Y374" i="4" s="1"/>
  <c r="Q375" i="4"/>
  <c r="W375" i="4" s="1"/>
  <c r="Y375" i="4" s="1"/>
  <c r="Q376" i="4"/>
  <c r="W376" i="4" s="1"/>
  <c r="Y376" i="4" s="1"/>
  <c r="Q377" i="4"/>
  <c r="W377" i="4" s="1"/>
  <c r="Y377" i="4" s="1"/>
  <c r="Q378" i="4"/>
  <c r="W378" i="4" s="1"/>
  <c r="Y378" i="4" s="1"/>
  <c r="Q379" i="4"/>
  <c r="W379" i="4" s="1"/>
  <c r="Y379" i="4" s="1"/>
  <c r="Q380" i="4"/>
  <c r="W380" i="4" s="1"/>
  <c r="Y380" i="4" s="1"/>
  <c r="V334" i="4"/>
  <c r="W241" i="4"/>
  <c r="W243" i="4"/>
  <c r="Y243" i="4" s="1"/>
  <c r="W244" i="4"/>
  <c r="Y244" i="4" s="1"/>
  <c r="W245" i="4"/>
  <c r="Y245" i="4" s="1"/>
  <c r="W246" i="4"/>
  <c r="Y246" i="4" s="1"/>
  <c r="W247" i="4"/>
  <c r="Y247" i="4" s="1"/>
  <c r="W248" i="4"/>
  <c r="Y248" i="4" s="1"/>
  <c r="W249" i="4"/>
  <c r="Y249" i="4" s="1"/>
  <c r="W250" i="4"/>
  <c r="Y250" i="4" s="1"/>
  <c r="W251" i="4"/>
  <c r="Y251" i="4" s="1"/>
  <c r="W252" i="4"/>
  <c r="Y252" i="4" s="1"/>
  <c r="W242" i="4"/>
  <c r="Y242" i="4" s="1"/>
  <c r="W226" i="4"/>
  <c r="Y226" i="4" s="1"/>
  <c r="W227" i="4"/>
  <c r="Y227" i="4" s="1"/>
  <c r="W228" i="4"/>
  <c r="Y228" i="4" s="1"/>
  <c r="W229" i="4"/>
  <c r="Y229" i="4" s="1"/>
  <c r="W230" i="4"/>
  <c r="Y230" i="4" s="1"/>
  <c r="W231" i="4"/>
  <c r="Y231" i="4" s="1"/>
  <c r="W232" i="4"/>
  <c r="Y232" i="4" s="1"/>
  <c r="W233" i="4"/>
  <c r="Y233" i="4" s="1"/>
  <c r="W234" i="4"/>
  <c r="Y234" i="4" s="1"/>
  <c r="W235" i="4"/>
  <c r="Y235" i="4" s="1"/>
  <c r="W236" i="4"/>
  <c r="Y236" i="4" s="1"/>
  <c r="W237" i="4"/>
  <c r="Y237" i="4" s="1"/>
  <c r="W238" i="4"/>
  <c r="Y238" i="4" s="1"/>
  <c r="W239" i="4"/>
  <c r="Y239" i="4" s="1"/>
  <c r="W240" i="4"/>
  <c r="Y240" i="4" s="1"/>
  <c r="W225" i="4"/>
  <c r="Y225" i="4" s="1"/>
  <c r="V224" i="4"/>
  <c r="G224" i="4"/>
  <c r="W222" i="4"/>
  <c r="Y222" i="4" s="1"/>
  <c r="W221" i="4"/>
  <c r="Y221" i="4" s="1"/>
  <c r="W220" i="4"/>
  <c r="Y220" i="4" s="1"/>
  <c r="W219" i="4"/>
  <c r="Y219" i="4" s="1"/>
  <c r="W218" i="4"/>
  <c r="Y218" i="4" s="1"/>
  <c r="W217" i="4"/>
  <c r="Y217" i="4" s="1"/>
  <c r="W216" i="4"/>
  <c r="Y216" i="4" s="1"/>
  <c r="W215" i="4"/>
  <c r="Y215" i="4" s="1"/>
  <c r="W214" i="4"/>
  <c r="W213" i="4"/>
  <c r="Y213" i="4" s="1"/>
  <c r="W212" i="4"/>
  <c r="Y212" i="4" s="1"/>
  <c r="W211" i="4"/>
  <c r="Y211" i="4" s="1"/>
  <c r="W210" i="4"/>
  <c r="Y210" i="4" s="1"/>
  <c r="W209" i="4"/>
  <c r="Y209" i="4" s="1"/>
  <c r="W208" i="4"/>
  <c r="Y208" i="4" s="1"/>
  <c r="W207" i="4"/>
  <c r="Y207" i="4" s="1"/>
  <c r="W154" i="4"/>
  <c r="Y154" i="4" s="1"/>
  <c r="W155" i="4"/>
  <c r="Y155" i="4" s="1"/>
  <c r="W156" i="4"/>
  <c r="Y156" i="4" s="1"/>
  <c r="W157" i="4"/>
  <c r="Y157" i="4" s="1"/>
  <c r="W158" i="4"/>
  <c r="Y158" i="4" s="1"/>
  <c r="W159" i="4"/>
  <c r="Y159" i="4" s="1"/>
  <c r="W160" i="4"/>
  <c r="Y160" i="4" s="1"/>
  <c r="W161" i="4"/>
  <c r="Y161" i="4" s="1"/>
  <c r="W162" i="4"/>
  <c r="Y162" i="4" s="1"/>
  <c r="W163" i="4"/>
  <c r="Y163" i="4" s="1"/>
  <c r="W164" i="4"/>
  <c r="Y164" i="4" s="1"/>
  <c r="W165" i="4"/>
  <c r="Y165" i="4" s="1"/>
  <c r="W166" i="4"/>
  <c r="Y166" i="4" s="1"/>
  <c r="W167" i="4"/>
  <c r="Y167" i="4" s="1"/>
  <c r="W168" i="4"/>
  <c r="Y168" i="4" s="1"/>
  <c r="W169" i="4"/>
  <c r="Y169" i="4" s="1"/>
  <c r="W170" i="4"/>
  <c r="Y170" i="4" s="1"/>
  <c r="W171" i="4"/>
  <c r="Y171" i="4" s="1"/>
  <c r="W172" i="4"/>
  <c r="Y172" i="4" s="1"/>
  <c r="W173" i="4"/>
  <c r="Y173" i="4" s="1"/>
  <c r="W174" i="4"/>
  <c r="Y174" i="4" s="1"/>
  <c r="W175" i="4"/>
  <c r="Y175" i="4" s="1"/>
  <c r="W176" i="4"/>
  <c r="Y176" i="4" s="1"/>
  <c r="W177" i="4"/>
  <c r="Y177" i="4" s="1"/>
  <c r="W178" i="4"/>
  <c r="Y178" i="4" s="1"/>
  <c r="W179" i="4"/>
  <c r="W180" i="4"/>
  <c r="Y180" i="4" s="1"/>
  <c r="W181" i="4"/>
  <c r="Y181" i="4" s="1"/>
  <c r="W182" i="4"/>
  <c r="Y182" i="4" s="1"/>
  <c r="W183" i="4"/>
  <c r="Y183" i="4" s="1"/>
  <c r="W184" i="4"/>
  <c r="Y184" i="4" s="1"/>
  <c r="W185" i="4"/>
  <c r="Y185" i="4" s="1"/>
  <c r="W186" i="4"/>
  <c r="Y186" i="4" s="1"/>
  <c r="W187" i="4"/>
  <c r="Y187" i="4" s="1"/>
  <c r="W188" i="4"/>
  <c r="Y188" i="4" s="1"/>
  <c r="W189" i="4"/>
  <c r="Y189" i="4" s="1"/>
  <c r="W190" i="4"/>
  <c r="Y190" i="4" s="1"/>
  <c r="W191" i="4"/>
  <c r="Y191" i="4" s="1"/>
  <c r="W192" i="4"/>
  <c r="Y192" i="4" s="1"/>
  <c r="W193" i="4"/>
  <c r="Y193" i="4" s="1"/>
  <c r="W194" i="4"/>
  <c r="Y194" i="4" s="1"/>
  <c r="W195" i="4"/>
  <c r="Y195" i="4" s="1"/>
  <c r="W197" i="4"/>
  <c r="Y197" i="4" s="1"/>
  <c r="W198" i="4"/>
  <c r="Y198" i="4" s="1"/>
  <c r="W199" i="4"/>
  <c r="Y199" i="4" s="1"/>
  <c r="W200" i="4"/>
  <c r="Y200" i="4" s="1"/>
  <c r="W201" i="4"/>
  <c r="Y201" i="4" s="1"/>
  <c r="W202" i="4"/>
  <c r="Y202" i="4" s="1"/>
  <c r="W203" i="4"/>
  <c r="Y203" i="4" s="1"/>
  <c r="W204" i="4"/>
  <c r="Y204" i="4" s="1"/>
  <c r="V149" i="4"/>
  <c r="W135" i="4"/>
  <c r="Y135" i="4" s="1"/>
  <c r="W134" i="4"/>
  <c r="Y134" i="4" s="1"/>
  <c r="W147" i="4"/>
  <c r="Y147" i="4" s="1"/>
  <c r="W146" i="4"/>
  <c r="Y146" i="4" s="1"/>
  <c r="V140" i="4"/>
  <c r="V128" i="4"/>
  <c r="O128" i="4"/>
  <c r="O12" i="4" s="1"/>
  <c r="K128" i="4"/>
  <c r="K12" i="4" s="1"/>
  <c r="K5" i="4" s="1"/>
  <c r="S14" i="4"/>
  <c r="S6" i="4" s="1"/>
  <c r="O14" i="4"/>
  <c r="O6" i="4" s="1"/>
  <c r="G14" i="4"/>
  <c r="V91" i="4"/>
  <c r="AE91" i="4" s="1"/>
  <c r="V97" i="4"/>
  <c r="V106" i="4"/>
  <c r="AE106" i="4" s="1"/>
  <c r="V110" i="4"/>
  <c r="AE110" i="4" s="1"/>
  <c r="V122" i="4"/>
  <c r="V124" i="4"/>
  <c r="AE124" i="4" s="1"/>
  <c r="V125" i="4"/>
  <c r="V126" i="4"/>
  <c r="V86" i="4"/>
  <c r="AE86" i="4" s="1"/>
  <c r="Y84" i="4"/>
  <c r="AE84" i="4" s="1"/>
  <c r="Y85" i="4"/>
  <c r="AE85" i="4" s="1"/>
  <c r="Y87" i="4"/>
  <c r="AE87" i="4" s="1"/>
  <c r="Y88" i="4"/>
  <c r="AE88" i="4" s="1"/>
  <c r="Y89" i="4"/>
  <c r="AE89" i="4" s="1"/>
  <c r="Y90" i="4"/>
  <c r="AE90" i="4" s="1"/>
  <c r="Y92" i="4"/>
  <c r="Y94" i="4"/>
  <c r="Y95" i="4"/>
  <c r="Y96" i="4"/>
  <c r="AE96" i="4" s="1"/>
  <c r="Y97" i="4"/>
  <c r="Y98" i="4"/>
  <c r="AE98" i="4" s="1"/>
  <c r="Y99" i="4"/>
  <c r="AE99" i="4" s="1"/>
  <c r="Y100" i="4"/>
  <c r="AE100" i="4" s="1"/>
  <c r="Y101" i="4"/>
  <c r="AE101" i="4" s="1"/>
  <c r="Y102" i="4"/>
  <c r="AE102" i="4" s="1"/>
  <c r="Y122" i="4"/>
  <c r="Y123" i="4"/>
  <c r="AE123" i="4" s="1"/>
  <c r="Y125" i="4"/>
  <c r="Y126" i="4"/>
  <c r="Y83" i="4"/>
  <c r="AE83" i="4" s="1"/>
  <c r="Y73" i="4"/>
  <c r="Y79" i="4"/>
  <c r="V79" i="4"/>
  <c r="Y78" i="4"/>
  <c r="AE78" i="4" s="1"/>
  <c r="Y80" i="4"/>
  <c r="AE80" i="4" s="1"/>
  <c r="Y77" i="4"/>
  <c r="AE77" i="4" s="1"/>
  <c r="V73" i="4"/>
  <c r="V74" i="4"/>
  <c r="AE74" i="4" s="1"/>
  <c r="V75" i="4"/>
  <c r="AE75" i="4" s="1"/>
  <c r="V76" i="4"/>
  <c r="AE76" i="4" s="1"/>
  <c r="V72" i="4"/>
  <c r="AE72" i="4" s="1"/>
  <c r="Y69" i="4"/>
  <c r="AE69" i="4" s="1"/>
  <c r="Y70" i="4"/>
  <c r="AE70" i="4" s="1"/>
  <c r="Y71" i="4"/>
  <c r="AE71" i="4" s="1"/>
  <c r="Y68" i="4"/>
  <c r="AE68" i="4" s="1"/>
  <c r="V63" i="4"/>
  <c r="V64" i="4"/>
  <c r="AE64" i="4" s="1"/>
  <c r="V65" i="4"/>
  <c r="AE65" i="4" s="1"/>
  <c r="V66" i="4"/>
  <c r="AE66" i="4" s="1"/>
  <c r="V67" i="4"/>
  <c r="AE67" i="4" s="1"/>
  <c r="V62" i="4"/>
  <c r="Y61" i="4"/>
  <c r="AE61" i="4" s="1"/>
  <c r="V59" i="4"/>
  <c r="AE59" i="4" s="1"/>
  <c r="V58" i="4"/>
  <c r="AE58" i="4" s="1"/>
  <c r="Y57" i="4"/>
  <c r="AE57" i="4" s="1"/>
  <c r="V55" i="4"/>
  <c r="AE55" i="4" s="1"/>
  <c r="V56" i="4"/>
  <c r="AE56" i="4" s="1"/>
  <c r="V54" i="4"/>
  <c r="AE54" i="4" s="1"/>
  <c r="Y52" i="4"/>
  <c r="AE52" i="4" s="1"/>
  <c r="Y51" i="4"/>
  <c r="AE51" i="4" s="1"/>
  <c r="V49" i="4"/>
  <c r="V50" i="4"/>
  <c r="V48" i="4"/>
  <c r="Y43" i="4"/>
  <c r="AE43" i="4" s="1"/>
  <c r="Y44" i="4"/>
  <c r="AE44" i="4" s="1"/>
  <c r="Y45" i="4"/>
  <c r="AE45" i="4" s="1"/>
  <c r="Y46" i="4"/>
  <c r="AE46" i="4" s="1"/>
  <c r="Y47" i="4"/>
  <c r="AE47" i="4" s="1"/>
  <c r="Y33" i="4"/>
  <c r="AE33" i="4" s="1"/>
  <c r="Y34" i="4"/>
  <c r="AE34" i="4" s="1"/>
  <c r="Y35" i="4"/>
  <c r="AE35" i="4" s="1"/>
  <c r="Y36" i="4"/>
  <c r="AE36" i="4" s="1"/>
  <c r="Y37" i="4"/>
  <c r="AE37" i="4" s="1"/>
  <c r="Y38" i="4"/>
  <c r="AE38" i="4" s="1"/>
  <c r="Y39" i="4"/>
  <c r="AE39" i="4" s="1"/>
  <c r="Y40" i="4"/>
  <c r="AE40" i="4" s="1"/>
  <c r="Y41" i="4"/>
  <c r="AE41" i="4" s="1"/>
  <c r="Y42" i="4"/>
  <c r="AE42" i="4" s="1"/>
  <c r="Y31" i="4"/>
  <c r="AE31" i="4" s="1"/>
  <c r="V23" i="4"/>
  <c r="AE23" i="4" s="1"/>
  <c r="Y18" i="4"/>
  <c r="Y19" i="4"/>
  <c r="AE19" i="4" s="1"/>
  <c r="Y20" i="4"/>
  <c r="AE20" i="4" s="1"/>
  <c r="A515" i="9" l="1"/>
  <c r="A516" i="9" s="1"/>
  <c r="A517" i="9" s="1"/>
  <c r="A518" i="9" s="1"/>
  <c r="AE605" i="4"/>
  <c r="V964" i="4"/>
  <c r="O5" i="4"/>
  <c r="V9" i="4"/>
  <c r="AE533" i="4"/>
  <c r="AE547" i="4"/>
  <c r="AE549" i="4"/>
  <c r="AE553" i="4"/>
  <c r="AE552" i="4"/>
  <c r="AE554" i="4"/>
  <c r="AE570" i="4"/>
  <c r="AE534" i="4"/>
  <c r="AE607" i="4"/>
  <c r="AE519" i="4"/>
  <c r="AE521" i="4"/>
  <c r="AE516" i="4"/>
  <c r="AE541" i="4"/>
  <c r="AE611" i="4"/>
  <c r="AE590" i="4"/>
  <c r="AE575" i="4"/>
  <c r="AE589" i="4"/>
  <c r="AE511" i="4"/>
  <c r="V492" i="4"/>
  <c r="AE574" i="4"/>
  <c r="AE583" i="4"/>
  <c r="AE572" i="4"/>
  <c r="AE496" i="4"/>
  <c r="AE512" i="4"/>
  <c r="AE506" i="4"/>
  <c r="AE126" i="4"/>
  <c r="AE505" i="4"/>
  <c r="AE92" i="4"/>
  <c r="AE48" i="4"/>
  <c r="AE73" i="4"/>
  <c r="AE62" i="4"/>
  <c r="AE97" i="4"/>
  <c r="AE609" i="4"/>
  <c r="AE535" i="4"/>
  <c r="AE539" i="4"/>
  <c r="Y492" i="4"/>
  <c r="AE584" i="4"/>
  <c r="AE606" i="4"/>
  <c r="AE537" i="4"/>
  <c r="AE593" i="4"/>
  <c r="AE594" i="4"/>
  <c r="AE536" i="4"/>
  <c r="AE592" i="4"/>
  <c r="AE532" i="4"/>
  <c r="AE527" i="4"/>
  <c r="AE509" i="4"/>
  <c r="AE531" i="4"/>
  <c r="AE546" i="4"/>
  <c r="AE608" i="4"/>
  <c r="AE530" i="4"/>
  <c r="AE573" i="4"/>
  <c r="AE544" i="4"/>
  <c r="AE510" i="4"/>
  <c r="AE502" i="4"/>
  <c r="AE507" i="4"/>
  <c r="AE603" i="4"/>
  <c r="AE610" i="4"/>
  <c r="AE538" i="4"/>
  <c r="AE18" i="4"/>
  <c r="Y14" i="4"/>
  <c r="AE79" i="4"/>
  <c r="AE125" i="4"/>
  <c r="AE122" i="4"/>
  <c r="Y206" i="4"/>
  <c r="Y364" i="4"/>
  <c r="AE367" i="4"/>
  <c r="R522" i="4"/>
  <c r="Y657" i="4"/>
  <c r="AC657" i="4"/>
  <c r="AC663" i="4"/>
  <c r="Y618" i="4"/>
  <c r="AC618" i="4"/>
  <c r="Y1034" i="4"/>
  <c r="O492" i="4"/>
  <c r="K492" i="4"/>
  <c r="S492" i="4"/>
  <c r="Y824" i="4"/>
  <c r="Y835" i="4"/>
  <c r="V14" i="4"/>
  <c r="V12" i="4" s="1"/>
  <c r="Y967" i="4"/>
  <c r="Y696" i="4"/>
  <c r="A520" i="9" l="1"/>
  <c r="A521" i="9" s="1"/>
  <c r="V6" i="4"/>
  <c r="AE492" i="4"/>
  <c r="AF492" i="4" s="1"/>
  <c r="AE14" i="4"/>
  <c r="Y224" i="4"/>
  <c r="W862" i="4"/>
  <c r="Y862" i="4" s="1"/>
  <c r="T865" i="4"/>
  <c r="V865" i="4" s="1"/>
  <c r="T866" i="4"/>
  <c r="V866" i="4" s="1"/>
  <c r="V867" i="4"/>
  <c r="Y867" i="4"/>
  <c r="T868" i="4"/>
  <c r="V868" i="4" s="1"/>
  <c r="W868" i="4"/>
  <c r="Y868" i="4" s="1"/>
  <c r="W869" i="4"/>
  <c r="Y869" i="4" s="1"/>
  <c r="W870" i="4"/>
  <c r="Y870" i="4" s="1"/>
  <c r="T871" i="4"/>
  <c r="V871" i="4" s="1"/>
  <c r="T872" i="4"/>
  <c r="V872" i="4" s="1"/>
  <c r="T873" i="4"/>
  <c r="V873" i="4" s="1"/>
  <c r="W874" i="4"/>
  <c r="Y874" i="4" s="1"/>
  <c r="W875" i="4"/>
  <c r="Y875" i="4" s="1"/>
  <c r="W876" i="4"/>
  <c r="Y876" i="4" s="1"/>
  <c r="W877" i="4"/>
  <c r="Y877" i="4" s="1"/>
  <c r="T878" i="4"/>
  <c r="V878" i="4" s="1"/>
  <c r="W880" i="4"/>
  <c r="Y880" i="4" s="1"/>
  <c r="T881" i="4"/>
  <c r="V881" i="4" s="1"/>
  <c r="T882" i="4"/>
  <c r="V882" i="4" s="1"/>
  <c r="W882" i="4"/>
  <c r="Y882" i="4" s="1"/>
  <c r="T903" i="4"/>
  <c r="V903" i="4" s="1"/>
  <c r="T904" i="4"/>
  <c r="V904" i="4" s="1"/>
  <c r="T929" i="4"/>
  <c r="V929" i="4" s="1"/>
  <c r="T927" i="4"/>
  <c r="T931" i="4"/>
  <c r="V931" i="4" s="1"/>
  <c r="T932" i="4"/>
  <c r="V932" i="4" s="1"/>
  <c r="T933" i="4"/>
  <c r="V933" i="4" s="1"/>
  <c r="T926" i="4"/>
  <c r="V909" i="4"/>
  <c r="T910" i="4"/>
  <c r="V910" i="4" s="1"/>
  <c r="T911" i="4"/>
  <c r="V911" i="4" s="1"/>
  <c r="T912" i="4"/>
  <c r="V912" i="4" s="1"/>
  <c r="T913" i="4"/>
  <c r="V913" i="4" s="1"/>
  <c r="T908" i="4"/>
  <c r="V908" i="4" s="1"/>
  <c r="T688" i="4"/>
  <c r="V688" i="4" s="1"/>
  <c r="T689" i="4"/>
  <c r="V689" i="4" s="1"/>
  <c r="T691" i="4"/>
  <c r="V691" i="4" s="1"/>
  <c r="V694" i="4"/>
  <c r="V697" i="4"/>
  <c r="V699" i="4"/>
  <c r="T678" i="4"/>
  <c r="V678" i="4" s="1"/>
  <c r="T679" i="4"/>
  <c r="V679" i="4" s="1"/>
  <c r="T680" i="4"/>
  <c r="V680" i="4" s="1"/>
  <c r="V681" i="4"/>
  <c r="T675" i="4"/>
  <c r="V675" i="4" s="1"/>
  <c r="T673" i="4"/>
  <c r="V673" i="4" s="1"/>
  <c r="T636" i="4"/>
  <c r="V636" i="4" s="1"/>
  <c r="T620" i="4"/>
  <c r="V620" i="4" s="1"/>
  <c r="T621" i="4"/>
  <c r="V621" i="4" s="1"/>
  <c r="T623" i="4"/>
  <c r="V623" i="4" s="1"/>
  <c r="T624" i="4"/>
  <c r="V624" i="4" s="1"/>
  <c r="T626" i="4"/>
  <c r="V626" i="4" s="1"/>
  <c r="T627" i="4"/>
  <c r="V627" i="4" s="1"/>
  <c r="T629" i="4"/>
  <c r="V629" i="4" s="1"/>
  <c r="T632" i="4"/>
  <c r="V632" i="4" s="1"/>
  <c r="T633" i="4"/>
  <c r="V633" i="4" s="1"/>
  <c r="T634" i="4"/>
  <c r="V634" i="4" s="1"/>
  <c r="T635" i="4"/>
  <c r="V635" i="4" s="1"/>
  <c r="X619" i="4"/>
  <c r="T619" i="4"/>
  <c r="V619" i="4" s="1"/>
  <c r="AB798" i="4"/>
  <c r="AB800" i="4"/>
  <c r="AB799" i="4"/>
  <c r="AB797" i="4"/>
  <c r="AB796" i="4"/>
  <c r="AB765" i="4"/>
  <c r="Q765" i="4"/>
  <c r="W765" i="4" s="1"/>
  <c r="Y765" i="4" s="1"/>
  <c r="F765" i="4"/>
  <c r="F794" i="4"/>
  <c r="F787" i="4"/>
  <c r="F801" i="4"/>
  <c r="F786" i="4"/>
  <c r="AB736" i="4"/>
  <c r="Q736" i="4"/>
  <c r="W736" i="4" s="1"/>
  <c r="Y736" i="4" s="1"/>
  <c r="F736" i="4"/>
  <c r="R736" i="4" s="1"/>
  <c r="AD736" i="4" s="1"/>
  <c r="F737" i="4"/>
  <c r="R737" i="4" s="1"/>
  <c r="AD737" i="4" s="1"/>
  <c r="AB737" i="4"/>
  <c r="Q737" i="4"/>
  <c r="W737" i="4" s="1"/>
  <c r="Y737" i="4" s="1"/>
  <c r="D735" i="4"/>
  <c r="F709" i="4"/>
  <c r="R709" i="4" s="1"/>
  <c r="AD709" i="4" s="1"/>
  <c r="F735" i="4"/>
  <c r="AB734" i="4"/>
  <c r="Q734" i="4"/>
  <c r="W734" i="4" s="1"/>
  <c r="Y734" i="4" s="1"/>
  <c r="F734" i="4"/>
  <c r="R734" i="4" s="1"/>
  <c r="AD734" i="4" s="1"/>
  <c r="AB709" i="4"/>
  <c r="Q709" i="4"/>
  <c r="W709" i="4" s="1"/>
  <c r="Y709" i="4" s="1"/>
  <c r="F729" i="4"/>
  <c r="AB729" i="4"/>
  <c r="Q729" i="4"/>
  <c r="W729" i="4" s="1"/>
  <c r="Y729" i="4" s="1"/>
  <c r="F746" i="4"/>
  <c r="AB745" i="4"/>
  <c r="Q745" i="4"/>
  <c r="W745" i="4" s="1"/>
  <c r="Y745" i="4" s="1"/>
  <c r="F745" i="4"/>
  <c r="R745" i="4" s="1"/>
  <c r="AD745" i="4" s="1"/>
  <c r="F717" i="4"/>
  <c r="R717" i="4" s="1"/>
  <c r="AD717" i="4" s="1"/>
  <c r="AB717" i="4"/>
  <c r="Q717" i="4"/>
  <c r="W717" i="4" s="1"/>
  <c r="Y717" i="4" s="1"/>
  <c r="AB720" i="4"/>
  <c r="Q720" i="4"/>
  <c r="W720" i="4" s="1"/>
  <c r="Y720" i="4" s="1"/>
  <c r="F720" i="4"/>
  <c r="AB723" i="4"/>
  <c r="Q723" i="4"/>
  <c r="W723" i="4" s="1"/>
  <c r="Y723" i="4" s="1"/>
  <c r="F723" i="4"/>
  <c r="Q643" i="4"/>
  <c r="AB646" i="4"/>
  <c r="Q646" i="4"/>
  <c r="AB675" i="4"/>
  <c r="F675" i="4"/>
  <c r="AB647" i="4"/>
  <c r="Q647" i="4"/>
  <c r="R647" i="4"/>
  <c r="AB645" i="4"/>
  <c r="Q645" i="4"/>
  <c r="N645" i="4"/>
  <c r="F643" i="4"/>
  <c r="N643" i="4" s="1"/>
  <c r="AB648" i="4"/>
  <c r="Q648" i="4"/>
  <c r="S648" i="4" s="1"/>
  <c r="AB644" i="4"/>
  <c r="Q644" i="4"/>
  <c r="R644" i="4"/>
  <c r="F618" i="4"/>
  <c r="AB482" i="4"/>
  <c r="F480" i="4"/>
  <c r="F479" i="4"/>
  <c r="F478" i="4"/>
  <c r="F369" i="4"/>
  <c r="R369" i="4" s="1"/>
  <c r="AD369" i="4" s="1"/>
  <c r="F454" i="4"/>
  <c r="F365" i="4"/>
  <c r="R365" i="4" s="1"/>
  <c r="AD365" i="4" s="1"/>
  <c r="AB368" i="4"/>
  <c r="AB366" i="4"/>
  <c r="AB365" i="4"/>
  <c r="AB371" i="4"/>
  <c r="D937" i="4"/>
  <c r="W937" i="4" s="1"/>
  <c r="Y937" i="4" s="1"/>
  <c r="AE937" i="4" s="1"/>
  <c r="D936" i="4"/>
  <c r="W936" i="4" s="1"/>
  <c r="Y936" i="4" s="1"/>
  <c r="AE936" i="4" s="1"/>
  <c r="Q934" i="4"/>
  <c r="W934" i="4" s="1"/>
  <c r="Y934" i="4" s="1"/>
  <c r="F934" i="4"/>
  <c r="R934" i="4" s="1"/>
  <c r="AD934" i="4" s="1"/>
  <c r="Q947" i="4"/>
  <c r="F947" i="4"/>
  <c r="F946" i="4"/>
  <c r="R946" i="4" s="1"/>
  <c r="F939" i="4"/>
  <c r="R939" i="4" s="1"/>
  <c r="Q955" i="4"/>
  <c r="F955" i="4"/>
  <c r="Q957" i="4"/>
  <c r="Q946" i="4"/>
  <c r="F945" i="4"/>
  <c r="D942" i="4"/>
  <c r="W942" i="4" s="1"/>
  <c r="Y942" i="4" s="1"/>
  <c r="D941" i="4"/>
  <c r="W941" i="4" s="1"/>
  <c r="Y941" i="4" s="1"/>
  <c r="Q945" i="4"/>
  <c r="Q897" i="4"/>
  <c r="Y897" i="4" s="1"/>
  <c r="F897" i="4"/>
  <c r="G164" i="4"/>
  <c r="F164" i="4" s="1"/>
  <c r="G153" i="4"/>
  <c r="D153" i="4"/>
  <c r="W153" i="4" s="1"/>
  <c r="Y153" i="4" s="1"/>
  <c r="Y152" i="4" s="1"/>
  <c r="F196" i="4"/>
  <c r="R196" i="4" s="1"/>
  <c r="F200" i="4"/>
  <c r="AB201" i="4"/>
  <c r="Q201" i="4"/>
  <c r="R201" i="4"/>
  <c r="AB200" i="4"/>
  <c r="AB202" i="4"/>
  <c r="Q202" i="4"/>
  <c r="R202" i="4"/>
  <c r="F192" i="4"/>
  <c r="S192" i="4" s="1"/>
  <c r="AE192" i="4" s="1"/>
  <c r="F191" i="4"/>
  <c r="AB193" i="4"/>
  <c r="Q193" i="4"/>
  <c r="R193" i="4"/>
  <c r="F176" i="4"/>
  <c r="F175" i="4"/>
  <c r="S175" i="4" s="1"/>
  <c r="AE175" i="4" s="1"/>
  <c r="F167" i="4"/>
  <c r="F147" i="4"/>
  <c r="F146" i="4"/>
  <c r="F135" i="4"/>
  <c r="S135" i="4" s="1"/>
  <c r="AE135" i="4" s="1"/>
  <c r="F134" i="4"/>
  <c r="S134" i="4" s="1"/>
  <c r="AE134" i="4" s="1"/>
  <c r="F159" i="4"/>
  <c r="R159" i="4" s="1"/>
  <c r="S164" i="4"/>
  <c r="AB168" i="4"/>
  <c r="Q168" i="4"/>
  <c r="S168" i="4" s="1"/>
  <c r="AB167" i="4"/>
  <c r="AB169" i="4"/>
  <c r="Q169" i="4"/>
  <c r="AB162" i="4"/>
  <c r="AB161" i="4"/>
  <c r="AB163" i="4"/>
  <c r="AB160" i="4"/>
  <c r="G141" i="4"/>
  <c r="G140" i="4" s="1"/>
  <c r="G137" i="4"/>
  <c r="G128" i="4" s="1"/>
  <c r="A522" i="9" l="1"/>
  <c r="AF14" i="4"/>
  <c r="R164" i="4"/>
  <c r="AE164" i="4"/>
  <c r="V926" i="4"/>
  <c r="V927" i="4"/>
  <c r="G152" i="4"/>
  <c r="V613" i="4"/>
  <c r="V491" i="4" s="1"/>
  <c r="V907" i="4"/>
  <c r="V884" i="4"/>
  <c r="V7" i="4" s="1"/>
  <c r="S765" i="4"/>
  <c r="AE765" i="4" s="1"/>
  <c r="R765" i="4"/>
  <c r="AD765" i="4" s="1"/>
  <c r="S736" i="4"/>
  <c r="AE736" i="4" s="1"/>
  <c r="S737" i="4"/>
  <c r="AE737" i="4" s="1"/>
  <c r="S734" i="4"/>
  <c r="AE734" i="4" s="1"/>
  <c r="S709" i="4"/>
  <c r="AE709" i="4" s="1"/>
  <c r="S729" i="4"/>
  <c r="AE729" i="4" s="1"/>
  <c r="R729" i="4"/>
  <c r="AD729" i="4" s="1"/>
  <c r="S745" i="4"/>
  <c r="AE745" i="4" s="1"/>
  <c r="R720" i="4"/>
  <c r="AD720" i="4" s="1"/>
  <c r="R723" i="4"/>
  <c r="AD723" i="4" s="1"/>
  <c r="S723" i="4"/>
  <c r="AE723" i="4" s="1"/>
  <c r="S717" i="4"/>
  <c r="AE717" i="4" s="1"/>
  <c r="S720" i="4"/>
  <c r="AE720" i="4" s="1"/>
  <c r="O675" i="4"/>
  <c r="AE675" i="4" s="1"/>
  <c r="O643" i="4"/>
  <c r="S644" i="4"/>
  <c r="O644" i="4"/>
  <c r="N644" i="4"/>
  <c r="O648" i="4"/>
  <c r="N675" i="4"/>
  <c r="AD675" i="4" s="1"/>
  <c r="S646" i="4"/>
  <c r="R646" i="4"/>
  <c r="O646" i="4"/>
  <c r="N646" i="4"/>
  <c r="S647" i="4"/>
  <c r="O647" i="4"/>
  <c r="N647" i="4"/>
  <c r="S645" i="4"/>
  <c r="R645" i="4"/>
  <c r="O645" i="4"/>
  <c r="R648" i="4"/>
  <c r="N648" i="4"/>
  <c r="S365" i="4"/>
  <c r="AE365" i="4" s="1"/>
  <c r="S934" i="4"/>
  <c r="AE934" i="4" s="1"/>
  <c r="S946" i="4"/>
  <c r="AE946" i="4" s="1"/>
  <c r="S939" i="4"/>
  <c r="AE939" i="4" s="1"/>
  <c r="S947" i="4"/>
  <c r="AE947" i="4" s="1"/>
  <c r="S945" i="4"/>
  <c r="AE945" i="4" s="1"/>
  <c r="S957" i="4"/>
  <c r="S955" i="4"/>
  <c r="AE955" i="4" s="1"/>
  <c r="R957" i="4"/>
  <c r="R955" i="4"/>
  <c r="R947" i="4"/>
  <c r="R940" i="4"/>
  <c r="R941" i="4"/>
  <c r="R192" i="4"/>
  <c r="R200" i="4"/>
  <c r="S200" i="4"/>
  <c r="AE200" i="4" s="1"/>
  <c r="S193" i="4"/>
  <c r="S167" i="4"/>
  <c r="AE167" i="4" s="1"/>
  <c r="S159" i="4"/>
  <c r="AE159" i="4" s="1"/>
  <c r="R167" i="4"/>
  <c r="S169" i="4"/>
  <c r="AE183" i="5"/>
  <c r="AB183" i="5"/>
  <c r="Q183" i="5"/>
  <c r="F183" i="5"/>
  <c r="K183" i="5" s="1"/>
  <c r="AE182" i="5"/>
  <c r="AB182" i="5"/>
  <c r="Q182" i="5"/>
  <c r="F182" i="5"/>
  <c r="O182" i="5" s="1"/>
  <c r="AE181" i="5"/>
  <c r="AB181" i="5"/>
  <c r="Q181" i="5"/>
  <c r="F181" i="5"/>
  <c r="R181" i="5" s="1"/>
  <c r="AE180" i="5"/>
  <c r="AB180" i="5"/>
  <c r="Q180" i="5"/>
  <c r="F180" i="5"/>
  <c r="N180" i="5" s="1"/>
  <c r="AE179" i="5"/>
  <c r="AB179" i="5"/>
  <c r="Q179" i="5"/>
  <c r="F179" i="5"/>
  <c r="K179" i="5" s="1"/>
  <c r="AE178" i="5"/>
  <c r="AB178" i="5"/>
  <c r="Q178" i="5"/>
  <c r="F178" i="5"/>
  <c r="O178" i="5" s="1"/>
  <c r="AE177" i="5"/>
  <c r="AB177" i="5"/>
  <c r="Q177" i="5"/>
  <c r="F177" i="5"/>
  <c r="R177" i="5" s="1"/>
  <c r="AE176" i="5"/>
  <c r="AB176" i="5"/>
  <c r="Q176" i="5"/>
  <c r="F176" i="5"/>
  <c r="N176" i="5" s="1"/>
  <c r="AE175" i="5"/>
  <c r="AB175" i="5"/>
  <c r="Q175" i="5"/>
  <c r="F175" i="5"/>
  <c r="K175" i="5" s="1"/>
  <c r="AE174" i="5"/>
  <c r="AB174" i="5"/>
  <c r="Q174" i="5"/>
  <c r="F174" i="5"/>
  <c r="O174" i="5" s="1"/>
  <c r="AE173" i="5"/>
  <c r="AB173" i="5"/>
  <c r="Q173" i="5"/>
  <c r="F173" i="5"/>
  <c r="R173" i="5" s="1"/>
  <c r="AE172" i="5"/>
  <c r="AB172" i="5"/>
  <c r="Q172" i="5"/>
  <c r="F172" i="5"/>
  <c r="N172" i="5" s="1"/>
  <c r="AE171" i="5"/>
  <c r="AB171" i="5"/>
  <c r="Q171" i="5"/>
  <c r="F171" i="5"/>
  <c r="K171" i="5" s="1"/>
  <c r="AE170" i="5"/>
  <c r="AB170" i="5"/>
  <c r="Q170" i="5"/>
  <c r="F170" i="5"/>
  <c r="O170" i="5" s="1"/>
  <c r="AE169" i="5"/>
  <c r="AB169" i="5"/>
  <c r="Q169" i="5"/>
  <c r="F169" i="5"/>
  <c r="R169" i="5" s="1"/>
  <c r="AE168" i="5"/>
  <c r="AB168" i="5"/>
  <c r="Q168" i="5"/>
  <c r="F168" i="5"/>
  <c r="N168" i="5" s="1"/>
  <c r="AE167" i="5"/>
  <c r="AB167" i="5"/>
  <c r="Q167" i="5"/>
  <c r="F167" i="5"/>
  <c r="K167" i="5" s="1"/>
  <c r="AE166" i="5"/>
  <c r="AB166" i="5"/>
  <c r="Q166" i="5"/>
  <c r="F166" i="5"/>
  <c r="O166" i="5" s="1"/>
  <c r="AE165" i="5"/>
  <c r="AB165" i="5"/>
  <c r="Q165" i="5"/>
  <c r="F165" i="5"/>
  <c r="R165" i="5" s="1"/>
  <c r="AE164" i="5"/>
  <c r="AB164" i="5"/>
  <c r="Q164" i="5"/>
  <c r="F164" i="5"/>
  <c r="N164" i="5" s="1"/>
  <c r="AE163" i="5"/>
  <c r="AB163" i="5"/>
  <c r="Q163" i="5"/>
  <c r="F163" i="5"/>
  <c r="K163" i="5" s="1"/>
  <c r="AE162" i="5"/>
  <c r="AB162" i="5"/>
  <c r="Q162" i="5"/>
  <c r="F162" i="5"/>
  <c r="O162" i="5" s="1"/>
  <c r="AE161" i="5"/>
  <c r="AB161" i="5"/>
  <c r="Q161" i="5"/>
  <c r="F161" i="5"/>
  <c r="R161" i="5" s="1"/>
  <c r="AE160" i="5"/>
  <c r="AB160" i="5"/>
  <c r="Q160" i="5"/>
  <c r="F160" i="5"/>
  <c r="N160" i="5" s="1"/>
  <c r="AE159" i="5"/>
  <c r="AB159" i="5"/>
  <c r="Q159" i="5"/>
  <c r="F159" i="5"/>
  <c r="K159" i="5" s="1"/>
  <c r="AE158" i="5"/>
  <c r="AB158" i="5"/>
  <c r="Q158" i="5"/>
  <c r="F158" i="5"/>
  <c r="O158" i="5" s="1"/>
  <c r="AE157" i="5"/>
  <c r="AB157" i="5"/>
  <c r="Q157" i="5"/>
  <c r="F157" i="5"/>
  <c r="R157" i="5" s="1"/>
  <c r="AE156" i="5"/>
  <c r="AB156" i="5"/>
  <c r="Q156" i="5"/>
  <c r="F156" i="5"/>
  <c r="N156" i="5" s="1"/>
  <c r="AE155" i="5"/>
  <c r="AB155" i="5"/>
  <c r="Q155" i="5"/>
  <c r="F155" i="5"/>
  <c r="K155" i="5" s="1"/>
  <c r="AE154" i="5"/>
  <c r="AB154" i="5"/>
  <c r="Q154" i="5"/>
  <c r="F154" i="5"/>
  <c r="O154" i="5" s="1"/>
  <c r="AE153" i="5"/>
  <c r="AB153" i="5"/>
  <c r="Q153" i="5"/>
  <c r="F153" i="5"/>
  <c r="R153" i="5" s="1"/>
  <c r="AE152" i="5"/>
  <c r="AB152" i="5"/>
  <c r="Q152" i="5"/>
  <c r="F152" i="5"/>
  <c r="N152" i="5" s="1"/>
  <c r="AE151" i="5"/>
  <c r="AB151" i="5"/>
  <c r="Q151" i="5"/>
  <c r="F151" i="5"/>
  <c r="K151" i="5" s="1"/>
  <c r="AE150" i="5"/>
  <c r="AB150" i="5"/>
  <c r="Q150" i="5"/>
  <c r="F150" i="5"/>
  <c r="O150" i="5" s="1"/>
  <c r="AE149" i="5"/>
  <c r="AB149" i="5"/>
  <c r="Q149" i="5"/>
  <c r="F149" i="5"/>
  <c r="R149" i="5" s="1"/>
  <c r="AE148" i="5"/>
  <c r="AB148" i="5"/>
  <c r="Q148" i="5"/>
  <c r="F148" i="5"/>
  <c r="N148" i="5" s="1"/>
  <c r="AE147" i="5"/>
  <c r="AB147" i="5"/>
  <c r="Q147" i="5"/>
  <c r="F147" i="5"/>
  <c r="K147" i="5" s="1"/>
  <c r="AE146" i="5"/>
  <c r="AB146" i="5"/>
  <c r="Q146" i="5"/>
  <c r="F146" i="5"/>
  <c r="O146" i="5" s="1"/>
  <c r="AE145" i="5"/>
  <c r="AB145" i="5"/>
  <c r="Q145" i="5"/>
  <c r="F145" i="5"/>
  <c r="R145" i="5" s="1"/>
  <c r="AE144" i="5"/>
  <c r="AB144" i="5"/>
  <c r="Q144" i="5"/>
  <c r="F144" i="5"/>
  <c r="N144" i="5" s="1"/>
  <c r="AE143" i="5"/>
  <c r="AB143" i="5"/>
  <c r="Q143" i="5"/>
  <c r="F143" i="5"/>
  <c r="K143" i="5" s="1"/>
  <c r="AE142" i="5"/>
  <c r="AB142" i="5"/>
  <c r="Q142" i="5"/>
  <c r="F142" i="5"/>
  <c r="O142" i="5" s="1"/>
  <c r="AE141" i="5"/>
  <c r="AB141" i="5"/>
  <c r="Q141" i="5"/>
  <c r="F141" i="5"/>
  <c r="R141" i="5" s="1"/>
  <c r="AE140" i="5"/>
  <c r="AB140" i="5"/>
  <c r="Q140" i="5"/>
  <c r="F140" i="5"/>
  <c r="N140" i="5" s="1"/>
  <c r="AE139" i="5"/>
  <c r="AB139" i="5"/>
  <c r="Q139" i="5"/>
  <c r="F139" i="5"/>
  <c r="K139" i="5" s="1"/>
  <c r="AE138" i="5"/>
  <c r="AB138" i="5"/>
  <c r="Q138" i="5"/>
  <c r="F138" i="5"/>
  <c r="O138" i="5" s="1"/>
  <c r="AE137" i="5"/>
  <c r="AB137" i="5"/>
  <c r="Q137" i="5"/>
  <c r="F137" i="5"/>
  <c r="R137" i="5" s="1"/>
  <c r="AE136" i="5"/>
  <c r="AB136" i="5"/>
  <c r="Q136" i="5"/>
  <c r="F136" i="5"/>
  <c r="N136" i="5" s="1"/>
  <c r="AE135" i="5"/>
  <c r="AB135" i="5"/>
  <c r="Q135" i="5"/>
  <c r="F135" i="5"/>
  <c r="K135" i="5" s="1"/>
  <c r="AE134" i="5"/>
  <c r="AB134" i="5"/>
  <c r="Q134" i="5"/>
  <c r="F134" i="5"/>
  <c r="O134" i="5" s="1"/>
  <c r="AE133" i="5"/>
  <c r="AB133" i="5"/>
  <c r="Q133" i="5"/>
  <c r="F133" i="5"/>
  <c r="R133" i="5" s="1"/>
  <c r="AE132" i="5"/>
  <c r="AB132" i="5"/>
  <c r="Q132" i="5"/>
  <c r="F132" i="5"/>
  <c r="N132" i="5" s="1"/>
  <c r="AE131" i="5"/>
  <c r="AB131" i="5"/>
  <c r="Q131" i="5"/>
  <c r="F131" i="5"/>
  <c r="K131" i="5" s="1"/>
  <c r="AE130" i="5"/>
  <c r="AB130" i="5"/>
  <c r="Q130" i="5"/>
  <c r="F130" i="5"/>
  <c r="O130" i="5" s="1"/>
  <c r="AE129" i="5"/>
  <c r="AB129" i="5"/>
  <c r="Q129" i="5"/>
  <c r="F129" i="5"/>
  <c r="R129" i="5" s="1"/>
  <c r="AE128" i="5"/>
  <c r="AB128" i="5"/>
  <c r="Q128" i="5"/>
  <c r="F128" i="5"/>
  <c r="N128" i="5" s="1"/>
  <c r="AE127" i="5"/>
  <c r="AB127" i="5"/>
  <c r="Q127" i="5"/>
  <c r="F127" i="5"/>
  <c r="K127" i="5" s="1"/>
  <c r="AE126" i="5"/>
  <c r="AB126" i="5"/>
  <c r="Q126" i="5"/>
  <c r="F126" i="5"/>
  <c r="O126" i="5" s="1"/>
  <c r="AE125" i="5"/>
  <c r="AB125" i="5"/>
  <c r="Q125" i="5"/>
  <c r="F125" i="5"/>
  <c r="R125" i="5" s="1"/>
  <c r="AE124" i="5"/>
  <c r="AB124" i="5"/>
  <c r="Q124" i="5"/>
  <c r="F124" i="5"/>
  <c r="N124" i="5" s="1"/>
  <c r="AE123" i="5"/>
  <c r="AB123" i="5"/>
  <c r="Q123" i="5"/>
  <c r="F123" i="5"/>
  <c r="K123" i="5" s="1"/>
  <c r="AE122" i="5"/>
  <c r="AB122" i="5"/>
  <c r="Q122" i="5"/>
  <c r="F122" i="5"/>
  <c r="O122" i="5" s="1"/>
  <c r="AE121" i="5"/>
  <c r="AB121" i="5"/>
  <c r="Q121" i="5"/>
  <c r="F121" i="5"/>
  <c r="R121" i="5" s="1"/>
  <c r="AE120" i="5"/>
  <c r="AB120" i="5"/>
  <c r="Q120" i="5"/>
  <c r="F120" i="5"/>
  <c r="N120" i="5" s="1"/>
  <c r="AE119" i="5"/>
  <c r="AB119" i="5"/>
  <c r="Q119" i="5"/>
  <c r="F119" i="5"/>
  <c r="K119" i="5" s="1"/>
  <c r="AE118" i="5"/>
  <c r="AB118" i="5"/>
  <c r="Q118" i="5"/>
  <c r="F118" i="5"/>
  <c r="O118" i="5" s="1"/>
  <c r="AE117" i="5"/>
  <c r="AB117" i="5"/>
  <c r="Q117" i="5"/>
  <c r="F117" i="5"/>
  <c r="R117" i="5" s="1"/>
  <c r="AE116" i="5"/>
  <c r="AB116" i="5"/>
  <c r="Q116" i="5"/>
  <c r="F116" i="5"/>
  <c r="N116" i="5" s="1"/>
  <c r="AE115" i="5"/>
  <c r="AB115" i="5"/>
  <c r="Q115" i="5"/>
  <c r="F115" i="5"/>
  <c r="K115" i="5" s="1"/>
  <c r="AE114" i="5"/>
  <c r="AB114" i="5"/>
  <c r="Q114" i="5"/>
  <c r="F114" i="5"/>
  <c r="O114" i="5" s="1"/>
  <c r="AE113" i="5"/>
  <c r="AB113" i="5"/>
  <c r="Q113" i="5"/>
  <c r="F113" i="5"/>
  <c r="R113" i="5" s="1"/>
  <c r="AE112" i="5"/>
  <c r="AB112" i="5"/>
  <c r="Q112" i="5"/>
  <c r="F112" i="5"/>
  <c r="N112" i="5" s="1"/>
  <c r="AE111" i="5"/>
  <c r="AB111" i="5"/>
  <c r="Q111" i="5"/>
  <c r="F111" i="5"/>
  <c r="K111" i="5" s="1"/>
  <c r="AE110" i="5"/>
  <c r="AB110" i="5"/>
  <c r="Q110" i="5"/>
  <c r="F110" i="5"/>
  <c r="O110" i="5" s="1"/>
  <c r="AE109" i="5"/>
  <c r="AB109" i="5"/>
  <c r="Q109" i="5"/>
  <c r="F109" i="5"/>
  <c r="R109" i="5" s="1"/>
  <c r="AE108" i="5"/>
  <c r="AB108" i="5"/>
  <c r="Q108" i="5"/>
  <c r="F108" i="5"/>
  <c r="N108" i="5" s="1"/>
  <c r="AE107" i="5"/>
  <c r="AB107" i="5"/>
  <c r="Q107" i="5"/>
  <c r="F107" i="5"/>
  <c r="K107" i="5" s="1"/>
  <c r="AE106" i="5"/>
  <c r="AB106" i="5"/>
  <c r="Q106" i="5"/>
  <c r="F106" i="5"/>
  <c r="O106" i="5" s="1"/>
  <c r="AE105" i="5"/>
  <c r="AB105" i="5"/>
  <c r="Q105" i="5"/>
  <c r="F105" i="5"/>
  <c r="R105" i="5" s="1"/>
  <c r="AE104" i="5"/>
  <c r="AB104" i="5"/>
  <c r="Q104" i="5"/>
  <c r="F104" i="5"/>
  <c r="N104" i="5" s="1"/>
  <c r="AE103" i="5"/>
  <c r="AB103" i="5"/>
  <c r="Q103" i="5"/>
  <c r="F103" i="5"/>
  <c r="K103" i="5" s="1"/>
  <c r="AE102" i="5"/>
  <c r="AB102" i="5"/>
  <c r="Q102" i="5"/>
  <c r="F102" i="5"/>
  <c r="O102" i="5" s="1"/>
  <c r="AE101" i="5"/>
  <c r="AB101" i="5"/>
  <c r="Q101" i="5"/>
  <c r="F101" i="5"/>
  <c r="R101" i="5" s="1"/>
  <c r="AE100" i="5"/>
  <c r="AB100" i="5"/>
  <c r="Q100" i="5"/>
  <c r="F100" i="5"/>
  <c r="N100" i="5" s="1"/>
  <c r="AE99" i="5"/>
  <c r="AB99" i="5"/>
  <c r="Q99" i="5"/>
  <c r="F99" i="5"/>
  <c r="K99" i="5" s="1"/>
  <c r="AE98" i="5"/>
  <c r="AB98" i="5"/>
  <c r="Q98" i="5"/>
  <c r="F98" i="5"/>
  <c r="O98" i="5" s="1"/>
  <c r="AE97" i="5"/>
  <c r="AB97" i="5"/>
  <c r="Q97" i="5"/>
  <c r="F97" i="5"/>
  <c r="R97" i="5" s="1"/>
  <c r="AE96" i="5"/>
  <c r="AB96" i="5"/>
  <c r="Q96" i="5"/>
  <c r="F96" i="5"/>
  <c r="N96" i="5" s="1"/>
  <c r="AE95" i="5"/>
  <c r="AB95" i="5"/>
  <c r="Q95" i="5"/>
  <c r="F95" i="5"/>
  <c r="K95" i="5" s="1"/>
  <c r="AE94" i="5"/>
  <c r="AB94" i="5"/>
  <c r="Q94" i="5"/>
  <c r="F94" i="5"/>
  <c r="O94" i="5" s="1"/>
  <c r="AE93" i="5"/>
  <c r="AB93" i="5"/>
  <c r="Q93" i="5"/>
  <c r="F93" i="5"/>
  <c r="R93" i="5" s="1"/>
  <c r="AE92" i="5"/>
  <c r="AB92" i="5"/>
  <c r="Q92" i="5"/>
  <c r="F92" i="5"/>
  <c r="N92" i="5" s="1"/>
  <c r="AE91" i="5"/>
  <c r="AB91" i="5"/>
  <c r="Q91" i="5"/>
  <c r="F91" i="5"/>
  <c r="K91" i="5" s="1"/>
  <c r="AE90" i="5"/>
  <c r="AB90" i="5"/>
  <c r="Q90" i="5"/>
  <c r="F90" i="5"/>
  <c r="O90" i="5" s="1"/>
  <c r="AE89" i="5"/>
  <c r="AB89" i="5"/>
  <c r="Q89" i="5"/>
  <c r="F89" i="5"/>
  <c r="R89" i="5" s="1"/>
  <c r="AE88" i="5"/>
  <c r="AB88" i="5"/>
  <c r="Q88" i="5"/>
  <c r="F88" i="5"/>
  <c r="N88" i="5" s="1"/>
  <c r="AE87" i="5"/>
  <c r="AB87" i="5"/>
  <c r="Q87" i="5"/>
  <c r="F87" i="5"/>
  <c r="K87" i="5" s="1"/>
  <c r="AE86" i="5"/>
  <c r="AB86" i="5"/>
  <c r="Q86" i="5"/>
  <c r="F86" i="5"/>
  <c r="O86" i="5" s="1"/>
  <c r="AE85" i="5"/>
  <c r="AB85" i="5"/>
  <c r="Q85" i="5"/>
  <c r="F85" i="5"/>
  <c r="R85" i="5" s="1"/>
  <c r="AE84" i="5"/>
  <c r="AB84" i="5"/>
  <c r="Q84" i="5"/>
  <c r="F84" i="5"/>
  <c r="N84" i="5" s="1"/>
  <c r="AE83" i="5"/>
  <c r="AB83" i="5"/>
  <c r="Q83" i="5"/>
  <c r="F83" i="5"/>
  <c r="K83" i="5" s="1"/>
  <c r="AE82" i="5"/>
  <c r="AB82" i="5"/>
  <c r="Q82" i="5"/>
  <c r="F82" i="5"/>
  <c r="O82" i="5" s="1"/>
  <c r="AE81" i="5"/>
  <c r="AB81" i="5"/>
  <c r="Q81" i="5"/>
  <c r="F81" i="5"/>
  <c r="R81" i="5" s="1"/>
  <c r="AE80" i="5"/>
  <c r="AB80" i="5"/>
  <c r="Q80" i="5"/>
  <c r="F80" i="5"/>
  <c r="N80" i="5" s="1"/>
  <c r="AE79" i="5"/>
  <c r="AB79" i="5"/>
  <c r="Q79" i="5"/>
  <c r="F79" i="5"/>
  <c r="K79" i="5" s="1"/>
  <c r="AE78" i="5"/>
  <c r="AB78" i="5"/>
  <c r="Q78" i="5"/>
  <c r="F78" i="5"/>
  <c r="O78" i="5" s="1"/>
  <c r="AE77" i="5"/>
  <c r="AB77" i="5"/>
  <c r="Q77" i="5"/>
  <c r="F77" i="5"/>
  <c r="R77" i="5" s="1"/>
  <c r="AE76" i="5"/>
  <c r="AB76" i="5"/>
  <c r="Q76" i="5"/>
  <c r="F76" i="5"/>
  <c r="N76" i="5" s="1"/>
  <c r="AE75" i="5"/>
  <c r="AB75" i="5"/>
  <c r="Q75" i="5"/>
  <c r="F75" i="5"/>
  <c r="K75" i="5" s="1"/>
  <c r="AE74" i="5"/>
  <c r="AB74" i="5"/>
  <c r="Q74" i="5"/>
  <c r="F74" i="5"/>
  <c r="O74" i="5" s="1"/>
  <c r="AE73" i="5"/>
  <c r="AB73" i="5"/>
  <c r="Q73" i="5"/>
  <c r="F73" i="5"/>
  <c r="R73" i="5" s="1"/>
  <c r="AE72" i="5"/>
  <c r="AB72" i="5"/>
  <c r="Q72" i="5"/>
  <c r="F72" i="5"/>
  <c r="N72" i="5" s="1"/>
  <c r="AE71" i="5"/>
  <c r="AB71" i="5"/>
  <c r="Q71" i="5"/>
  <c r="F71" i="5"/>
  <c r="K71" i="5" s="1"/>
  <c r="AE70" i="5"/>
  <c r="AB70" i="5"/>
  <c r="Q70" i="5"/>
  <c r="F70" i="5"/>
  <c r="O70" i="5" s="1"/>
  <c r="AE69" i="5"/>
  <c r="AB69" i="5"/>
  <c r="Q69" i="5"/>
  <c r="F69" i="5"/>
  <c r="R69" i="5" s="1"/>
  <c r="AE68" i="5"/>
  <c r="AB68" i="5"/>
  <c r="Q68" i="5"/>
  <c r="F68" i="5"/>
  <c r="N68" i="5" s="1"/>
  <c r="AE67" i="5"/>
  <c r="AB67" i="5"/>
  <c r="Q67" i="5"/>
  <c r="F67" i="5"/>
  <c r="K67" i="5" s="1"/>
  <c r="AE66" i="5"/>
  <c r="AB66" i="5"/>
  <c r="Q66" i="5"/>
  <c r="F66" i="5"/>
  <c r="O66" i="5" s="1"/>
  <c r="AE65" i="5"/>
  <c r="AB65" i="5"/>
  <c r="Q65" i="5"/>
  <c r="F65" i="5"/>
  <c r="R65" i="5" s="1"/>
  <c r="AE64" i="5"/>
  <c r="AB64" i="5"/>
  <c r="Q64" i="5"/>
  <c r="F64" i="5"/>
  <c r="N64" i="5" s="1"/>
  <c r="AE63" i="5"/>
  <c r="AB63" i="5"/>
  <c r="Q63" i="5"/>
  <c r="F63" i="5"/>
  <c r="K63" i="5" s="1"/>
  <c r="AE62" i="5"/>
  <c r="AB62" i="5"/>
  <c r="Q62" i="5"/>
  <c r="F62" i="5"/>
  <c r="O62" i="5" s="1"/>
  <c r="AE61" i="5"/>
  <c r="AB61" i="5"/>
  <c r="Q61" i="5"/>
  <c r="F61" i="5"/>
  <c r="R61" i="5" s="1"/>
  <c r="AE60" i="5"/>
  <c r="AB60" i="5"/>
  <c r="Q60" i="5"/>
  <c r="F60" i="5"/>
  <c r="N60" i="5" s="1"/>
  <c r="AE59" i="5"/>
  <c r="AB59" i="5"/>
  <c r="Q59" i="5"/>
  <c r="F59" i="5"/>
  <c r="K59" i="5" s="1"/>
  <c r="AE58" i="5"/>
  <c r="AB58" i="5"/>
  <c r="Q58" i="5"/>
  <c r="F58" i="5"/>
  <c r="O58" i="5" s="1"/>
  <c r="AE57" i="5"/>
  <c r="AB57" i="5"/>
  <c r="Q57" i="5"/>
  <c r="F57" i="5"/>
  <c r="R57" i="5" s="1"/>
  <c r="AE56" i="5"/>
  <c r="AB56" i="5"/>
  <c r="Q56" i="5"/>
  <c r="F56" i="5"/>
  <c r="N56" i="5" s="1"/>
  <c r="AE55" i="5"/>
  <c r="AB55" i="5"/>
  <c r="Q55" i="5"/>
  <c r="F55" i="5"/>
  <c r="K55" i="5" s="1"/>
  <c r="AE54" i="5"/>
  <c r="AB54" i="5"/>
  <c r="Q54" i="5"/>
  <c r="F54" i="5"/>
  <c r="O54" i="5" s="1"/>
  <c r="AE53" i="5"/>
  <c r="AB53" i="5"/>
  <c r="Q53" i="5"/>
  <c r="F53" i="5"/>
  <c r="R53" i="5" s="1"/>
  <c r="AE52" i="5"/>
  <c r="AB52" i="5"/>
  <c r="Q52" i="5"/>
  <c r="F52" i="5"/>
  <c r="N52" i="5" s="1"/>
  <c r="AE51" i="5"/>
  <c r="AB51" i="5"/>
  <c r="Q51" i="5"/>
  <c r="F51" i="5"/>
  <c r="K51" i="5" s="1"/>
  <c r="AE50" i="5"/>
  <c r="AB50" i="5"/>
  <c r="Q50" i="5"/>
  <c r="F50" i="5"/>
  <c r="O50" i="5" s="1"/>
  <c r="AE49" i="5"/>
  <c r="AB49" i="5"/>
  <c r="Q49" i="5"/>
  <c r="F49" i="5"/>
  <c r="R49" i="5" s="1"/>
  <c r="AE48" i="5"/>
  <c r="AB48" i="5"/>
  <c r="Q48" i="5"/>
  <c r="F48" i="5"/>
  <c r="N48" i="5" s="1"/>
  <c r="AE47" i="5"/>
  <c r="AB47" i="5"/>
  <c r="Q47" i="5"/>
  <c r="F47" i="5"/>
  <c r="K47" i="5" s="1"/>
  <c r="AE46" i="5"/>
  <c r="AB46" i="5"/>
  <c r="Q46" i="5"/>
  <c r="F46" i="5"/>
  <c r="O46" i="5" s="1"/>
  <c r="AE45" i="5"/>
  <c r="AB45" i="5"/>
  <c r="Q45" i="5"/>
  <c r="F45" i="5"/>
  <c r="N45" i="5" s="1"/>
  <c r="AE44" i="5"/>
  <c r="AB44" i="5"/>
  <c r="Q44" i="5"/>
  <c r="F44" i="5"/>
  <c r="N44" i="5" s="1"/>
  <c r="AE43" i="5"/>
  <c r="AB43" i="5"/>
  <c r="Q43" i="5"/>
  <c r="F43" i="5"/>
  <c r="K43" i="5" s="1"/>
  <c r="AE42" i="5"/>
  <c r="AB42" i="5"/>
  <c r="Q42" i="5"/>
  <c r="F42" i="5"/>
  <c r="O42" i="5" s="1"/>
  <c r="AE41" i="5"/>
  <c r="AB41" i="5"/>
  <c r="Q41" i="5"/>
  <c r="F41" i="5"/>
  <c r="N41" i="5" s="1"/>
  <c r="AE40" i="5"/>
  <c r="AB40" i="5"/>
  <c r="Q40" i="5"/>
  <c r="F40" i="5"/>
  <c r="N40" i="5" s="1"/>
  <c r="AE39" i="5"/>
  <c r="AB39" i="5"/>
  <c r="Q39" i="5"/>
  <c r="F39" i="5"/>
  <c r="K39" i="5" s="1"/>
  <c r="AE38" i="5"/>
  <c r="AB38" i="5"/>
  <c r="Q38" i="5"/>
  <c r="F38" i="5"/>
  <c r="O38" i="5" s="1"/>
  <c r="AE37" i="5"/>
  <c r="AB37" i="5"/>
  <c r="Q37" i="5"/>
  <c r="F37" i="5"/>
  <c r="N37" i="5" s="1"/>
  <c r="AE36" i="5"/>
  <c r="AB36" i="5"/>
  <c r="Q36" i="5"/>
  <c r="F36" i="5"/>
  <c r="N36" i="5" s="1"/>
  <c r="AE35" i="5"/>
  <c r="AB35" i="5"/>
  <c r="Q35" i="5"/>
  <c r="F35" i="5"/>
  <c r="K35" i="5" s="1"/>
  <c r="AE34" i="5"/>
  <c r="AB34" i="5"/>
  <c r="Q34" i="5"/>
  <c r="F34" i="5"/>
  <c r="O34" i="5" s="1"/>
  <c r="AE33" i="5"/>
  <c r="AB33" i="5"/>
  <c r="Q33" i="5"/>
  <c r="F33" i="5"/>
  <c r="N33" i="5" s="1"/>
  <c r="AE32" i="5"/>
  <c r="AB32" i="5"/>
  <c r="Q32" i="5"/>
  <c r="F32" i="5"/>
  <c r="N32" i="5" s="1"/>
  <c r="AE31" i="5"/>
  <c r="AB31" i="5"/>
  <c r="Q31" i="5"/>
  <c r="F31" i="5"/>
  <c r="K31" i="5" s="1"/>
  <c r="AE30" i="5"/>
  <c r="AB30" i="5"/>
  <c r="Q30" i="5"/>
  <c r="F30" i="5"/>
  <c r="O30" i="5" s="1"/>
  <c r="AE29" i="5"/>
  <c r="AB29" i="5"/>
  <c r="Q29" i="5"/>
  <c r="F29" i="5"/>
  <c r="N29" i="5" s="1"/>
  <c r="AE28" i="5"/>
  <c r="AB28" i="5"/>
  <c r="Q28" i="5"/>
  <c r="F28" i="5"/>
  <c r="N28" i="5" s="1"/>
  <c r="AE27" i="5"/>
  <c r="AB27" i="5"/>
  <c r="Q27" i="5"/>
  <c r="F27" i="5"/>
  <c r="N27" i="5" s="1"/>
  <c r="AE26" i="5"/>
  <c r="AB26" i="5"/>
  <c r="Q26" i="5"/>
  <c r="F26" i="5"/>
  <c r="O26" i="5" s="1"/>
  <c r="AE25" i="5"/>
  <c r="AB25" i="5"/>
  <c r="Q25" i="5"/>
  <c r="F25" i="5"/>
  <c r="N25" i="5" s="1"/>
  <c r="AE24" i="5"/>
  <c r="AB24" i="5"/>
  <c r="Q24" i="5"/>
  <c r="F24" i="5"/>
  <c r="N24" i="5" s="1"/>
  <c r="AE23" i="5"/>
  <c r="AB23" i="5"/>
  <c r="Q23" i="5"/>
  <c r="F23" i="5"/>
  <c r="N23" i="5" s="1"/>
  <c r="AE22" i="5"/>
  <c r="AB22" i="5"/>
  <c r="Q22" i="5"/>
  <c r="F22" i="5"/>
  <c r="O22" i="5" s="1"/>
  <c r="AE21" i="5"/>
  <c r="AB21" i="5"/>
  <c r="Q21" i="5"/>
  <c r="F21" i="5"/>
  <c r="O21" i="5" s="1"/>
  <c r="AE20" i="5"/>
  <c r="AB20" i="5"/>
  <c r="Q20" i="5"/>
  <c r="F20" i="5"/>
  <c r="N20" i="5" s="1"/>
  <c r="AE19" i="5"/>
  <c r="AB19" i="5"/>
  <c r="Q19" i="5"/>
  <c r="F19" i="5"/>
  <c r="AE18" i="5"/>
  <c r="AB18" i="5"/>
  <c r="Q18" i="5"/>
  <c r="F18" i="5"/>
  <c r="O18" i="5" s="1"/>
  <c r="AE17" i="5"/>
  <c r="AB17" i="5"/>
  <c r="Q17" i="5"/>
  <c r="F17" i="5"/>
  <c r="N17" i="5" s="1"/>
  <c r="AE16" i="5"/>
  <c r="AB16" i="5"/>
  <c r="Q16" i="5"/>
  <c r="F16" i="5"/>
  <c r="N16" i="5" s="1"/>
  <c r="AE15" i="5"/>
  <c r="AB15" i="5"/>
  <c r="Q15" i="5"/>
  <c r="F15" i="5"/>
  <c r="O15" i="5" s="1"/>
  <c r="AE14" i="5"/>
  <c r="AB14" i="5"/>
  <c r="Q14" i="5"/>
  <c r="F14" i="5"/>
  <c r="O14" i="5" s="1"/>
  <c r="AE13" i="5"/>
  <c r="AB13" i="5"/>
  <c r="Q13" i="5"/>
  <c r="F13" i="5"/>
  <c r="O13" i="5" s="1"/>
  <c r="AE12" i="5"/>
  <c r="AB12" i="5"/>
  <c r="Q12" i="5"/>
  <c r="F12" i="5"/>
  <c r="N12" i="5" s="1"/>
  <c r="AE11" i="5"/>
  <c r="AB11" i="5"/>
  <c r="Q11" i="5"/>
  <c r="F11" i="5"/>
  <c r="N11" i="5" s="1"/>
  <c r="AE10" i="5"/>
  <c r="AB10" i="5"/>
  <c r="Q10" i="5"/>
  <c r="F10" i="5"/>
  <c r="O10" i="5" s="1"/>
  <c r="AE9" i="5"/>
  <c r="AB9" i="5"/>
  <c r="Q9" i="5"/>
  <c r="F9" i="5"/>
  <c r="O9" i="5" s="1"/>
  <c r="AE8" i="5"/>
  <c r="AB8" i="5"/>
  <c r="Q8" i="5"/>
  <c r="F8" i="5"/>
  <c r="N8" i="5" s="1"/>
  <c r="AE7" i="5"/>
  <c r="AB7" i="5"/>
  <c r="Q7" i="5"/>
  <c r="F7" i="5"/>
  <c r="N7" i="5" s="1"/>
  <c r="G6" i="5"/>
  <c r="G835" i="4"/>
  <c r="G824" i="4"/>
  <c r="F832" i="4"/>
  <c r="Q832" i="4"/>
  <c r="W832" i="4" s="1"/>
  <c r="AC832" i="4" s="1"/>
  <c r="F833" i="4"/>
  <c r="Q833" i="4"/>
  <c r="W833" i="4" s="1"/>
  <c r="AC833" i="4" s="1"/>
  <c r="F836" i="4"/>
  <c r="Q836" i="4"/>
  <c r="W836" i="4" s="1"/>
  <c r="AC836" i="4" s="1"/>
  <c r="F837" i="4"/>
  <c r="Q837" i="4"/>
  <c r="W837" i="4" s="1"/>
  <c r="AC837" i="4" s="1"/>
  <c r="F838" i="4"/>
  <c r="Q838" i="4"/>
  <c r="W838" i="4" s="1"/>
  <c r="AC838" i="4" s="1"/>
  <c r="F839" i="4"/>
  <c r="Q839" i="4"/>
  <c r="W839" i="4" s="1"/>
  <c r="AC839" i="4" s="1"/>
  <c r="F840" i="4"/>
  <c r="Q840" i="4"/>
  <c r="W840" i="4" s="1"/>
  <c r="AC840" i="4" s="1"/>
  <c r="F841" i="4"/>
  <c r="Q841" i="4"/>
  <c r="W841" i="4" s="1"/>
  <c r="AC841" i="4" s="1"/>
  <c r="F842" i="4"/>
  <c r="Q842" i="4"/>
  <c r="W842" i="4" s="1"/>
  <c r="AC842" i="4" s="1"/>
  <c r="F843" i="4"/>
  <c r="Q843" i="4"/>
  <c r="W843" i="4" s="1"/>
  <c r="AC843" i="4" s="1"/>
  <c r="F844" i="4"/>
  <c r="Q844" i="4"/>
  <c r="W844" i="4" s="1"/>
  <c r="AC844" i="4" s="1"/>
  <c r="F845" i="4"/>
  <c r="Q845" i="4"/>
  <c r="W845" i="4" s="1"/>
  <c r="AC845" i="4" s="1"/>
  <c r="F846" i="4"/>
  <c r="Q846" i="4"/>
  <c r="W846" i="4" s="1"/>
  <c r="AC846" i="4" s="1"/>
  <c r="F847" i="4"/>
  <c r="Q847" i="4"/>
  <c r="W847" i="4" s="1"/>
  <c r="AC847" i="4" s="1"/>
  <c r="F848" i="4"/>
  <c r="Q848" i="4"/>
  <c r="W848" i="4" s="1"/>
  <c r="AC848" i="4" s="1"/>
  <c r="F849" i="4"/>
  <c r="Q849" i="4"/>
  <c r="W849" i="4" s="1"/>
  <c r="AC849" i="4" s="1"/>
  <c r="F850" i="4"/>
  <c r="Q850" i="4"/>
  <c r="W850" i="4" s="1"/>
  <c r="AC850" i="4" s="1"/>
  <c r="F851" i="4"/>
  <c r="Q851" i="4"/>
  <c r="W851" i="4" s="1"/>
  <c r="AC851" i="4" s="1"/>
  <c r="F852" i="4"/>
  <c r="Q852" i="4"/>
  <c r="W852" i="4" s="1"/>
  <c r="AC852" i="4" s="1"/>
  <c r="F853" i="4"/>
  <c r="Q853" i="4"/>
  <c r="W853" i="4" s="1"/>
  <c r="AC853" i="4" s="1"/>
  <c r="F854" i="4"/>
  <c r="Q854" i="4"/>
  <c r="W854" i="4" s="1"/>
  <c r="AC854" i="4" s="1"/>
  <c r="F857" i="4"/>
  <c r="Q857" i="4"/>
  <c r="W857" i="4" s="1"/>
  <c r="AC857" i="4" s="1"/>
  <c r="F858" i="4"/>
  <c r="Q858" i="4"/>
  <c r="W858" i="4" s="1"/>
  <c r="AC858" i="4" s="1"/>
  <c r="F859" i="4"/>
  <c r="R859" i="4" s="1"/>
  <c r="AD859" i="4" s="1"/>
  <c r="Q859" i="4"/>
  <c r="W859" i="4" s="1"/>
  <c r="AC859" i="4" s="1"/>
  <c r="G1034" i="4"/>
  <c r="G965" i="4"/>
  <c r="G907" i="4"/>
  <c r="G613" i="4"/>
  <c r="F698" i="4"/>
  <c r="Q698" i="4"/>
  <c r="W698" i="4" s="1"/>
  <c r="AB698" i="4"/>
  <c r="F699" i="4"/>
  <c r="Q699" i="4"/>
  <c r="W699" i="4" s="1"/>
  <c r="AB699" i="4"/>
  <c r="F908" i="4"/>
  <c r="AB908" i="4"/>
  <c r="F909" i="4"/>
  <c r="AB909" i="4"/>
  <c r="F910" i="4"/>
  <c r="AB910" i="4"/>
  <c r="F911" i="4"/>
  <c r="J911" i="4" s="1"/>
  <c r="AD911" i="4" s="1"/>
  <c r="AB911" i="4"/>
  <c r="F912" i="4"/>
  <c r="AB912" i="4"/>
  <c r="F913" i="4"/>
  <c r="AB913" i="4"/>
  <c r="F914" i="4"/>
  <c r="Q914" i="4"/>
  <c r="W914" i="4" s="1"/>
  <c r="AB914" i="4"/>
  <c r="F915" i="4"/>
  <c r="Q915" i="4"/>
  <c r="W915" i="4" s="1"/>
  <c r="AB915" i="4"/>
  <c r="F916" i="4"/>
  <c r="Q916" i="4"/>
  <c r="W916" i="4" s="1"/>
  <c r="AB916" i="4"/>
  <c r="F922" i="4"/>
  <c r="Q922" i="4"/>
  <c r="F923" i="4"/>
  <c r="Q923" i="4"/>
  <c r="F925" i="4"/>
  <c r="Q925" i="4"/>
  <c r="F926" i="4"/>
  <c r="J926" i="4" s="1"/>
  <c r="AD926" i="4" s="1"/>
  <c r="F927" i="4"/>
  <c r="F929" i="4"/>
  <c r="Q929" i="4"/>
  <c r="W929" i="4" s="1"/>
  <c r="F930" i="4"/>
  <c r="Q930" i="4"/>
  <c r="W930" i="4" s="1"/>
  <c r="Y930" i="4" s="1"/>
  <c r="F932" i="4"/>
  <c r="J932" i="4" s="1"/>
  <c r="AD932" i="4" s="1"/>
  <c r="F933" i="4"/>
  <c r="F938" i="4"/>
  <c r="Q938" i="4"/>
  <c r="F953" i="4"/>
  <c r="Q953" i="4"/>
  <c r="F954" i="4"/>
  <c r="Q954" i="4"/>
  <c r="W954" i="4" s="1"/>
  <c r="Y954" i="4" s="1"/>
  <c r="F931" i="4"/>
  <c r="Q931" i="4"/>
  <c r="W931" i="4" s="1"/>
  <c r="Y931" i="4" s="1"/>
  <c r="F920" i="4"/>
  <c r="Q920" i="4"/>
  <c r="W920" i="4" s="1"/>
  <c r="F921" i="4"/>
  <c r="Q921" i="4"/>
  <c r="Q951" i="4"/>
  <c r="F928" i="4"/>
  <c r="Q928" i="4"/>
  <c r="W928" i="4" s="1"/>
  <c r="F919" i="4"/>
  <c r="Q919" i="4"/>
  <c r="Q958" i="4"/>
  <c r="F959" i="4"/>
  <c r="Q959" i="4"/>
  <c r="F960" i="4"/>
  <c r="Q960" i="4"/>
  <c r="F961" i="4"/>
  <c r="Q961" i="4"/>
  <c r="F962" i="4"/>
  <c r="Q962" i="4"/>
  <c r="F924" i="4"/>
  <c r="Q924" i="4"/>
  <c r="F966" i="4"/>
  <c r="Q966" i="4"/>
  <c r="W966" i="4" s="1"/>
  <c r="F967" i="4"/>
  <c r="Q967" i="4"/>
  <c r="W967" i="4" s="1"/>
  <c r="AC967" i="4" s="1"/>
  <c r="F968" i="4"/>
  <c r="Q968" i="4"/>
  <c r="W968" i="4" s="1"/>
  <c r="AC968" i="4" s="1"/>
  <c r="F969" i="4"/>
  <c r="Q969" i="4"/>
  <c r="W969" i="4" s="1"/>
  <c r="AC969" i="4" s="1"/>
  <c r="F970" i="4"/>
  <c r="Q970" i="4"/>
  <c r="W970" i="4" s="1"/>
  <c r="AC970" i="4" s="1"/>
  <c r="F971" i="4"/>
  <c r="R971" i="4" s="1"/>
  <c r="AD971" i="4" s="1"/>
  <c r="Q971" i="4"/>
  <c r="W971" i="4" s="1"/>
  <c r="AC971" i="4" s="1"/>
  <c r="F972" i="4"/>
  <c r="Q972" i="4"/>
  <c r="W972" i="4" s="1"/>
  <c r="AC972" i="4" s="1"/>
  <c r="F973" i="4"/>
  <c r="Q973" i="4"/>
  <c r="W973" i="4" s="1"/>
  <c r="AC973" i="4" s="1"/>
  <c r="F974" i="4"/>
  <c r="Q974" i="4"/>
  <c r="W974" i="4" s="1"/>
  <c r="AC974" i="4" s="1"/>
  <c r="F975" i="4"/>
  <c r="Q975" i="4"/>
  <c r="W975" i="4" s="1"/>
  <c r="AC975" i="4" s="1"/>
  <c r="F976" i="4"/>
  <c r="Q976" i="4"/>
  <c r="W976" i="4" s="1"/>
  <c r="AC976" i="4" s="1"/>
  <c r="F977" i="4"/>
  <c r="Q977" i="4"/>
  <c r="W977" i="4" s="1"/>
  <c r="AC977" i="4" s="1"/>
  <c r="F978" i="4"/>
  <c r="Q978" i="4"/>
  <c r="W978" i="4" s="1"/>
  <c r="AC978" i="4" s="1"/>
  <c r="F979" i="4"/>
  <c r="R979" i="4" s="1"/>
  <c r="AD979" i="4" s="1"/>
  <c r="Q979" i="4"/>
  <c r="W979" i="4" s="1"/>
  <c r="AC979" i="4" s="1"/>
  <c r="F980" i="4"/>
  <c r="Q980" i="4"/>
  <c r="W980" i="4" s="1"/>
  <c r="AC980" i="4" s="1"/>
  <c r="F981" i="4"/>
  <c r="Q981" i="4"/>
  <c r="W981" i="4" s="1"/>
  <c r="AC981" i="4" s="1"/>
  <c r="F982" i="4"/>
  <c r="Q982" i="4"/>
  <c r="W982" i="4" s="1"/>
  <c r="AC982" i="4" s="1"/>
  <c r="F983" i="4"/>
  <c r="Q983" i="4"/>
  <c r="W983" i="4" s="1"/>
  <c r="AC983" i="4" s="1"/>
  <c r="F984" i="4"/>
  <c r="Q984" i="4"/>
  <c r="W984" i="4" s="1"/>
  <c r="AC984" i="4" s="1"/>
  <c r="F985" i="4"/>
  <c r="Q985" i="4"/>
  <c r="W985" i="4" s="1"/>
  <c r="AC985" i="4" s="1"/>
  <c r="F986" i="4"/>
  <c r="Q986" i="4"/>
  <c r="W986" i="4" s="1"/>
  <c r="AC986" i="4" s="1"/>
  <c r="F987" i="4"/>
  <c r="R987" i="4" s="1"/>
  <c r="AD987" i="4" s="1"/>
  <c r="Q987" i="4"/>
  <c r="W987" i="4" s="1"/>
  <c r="AC987" i="4" s="1"/>
  <c r="F988" i="4"/>
  <c r="Q988" i="4"/>
  <c r="W988" i="4" s="1"/>
  <c r="AC988" i="4" s="1"/>
  <c r="F989" i="4"/>
  <c r="Q989" i="4"/>
  <c r="W989" i="4" s="1"/>
  <c r="AC989" i="4" s="1"/>
  <c r="F990" i="4"/>
  <c r="Q990" i="4"/>
  <c r="W990" i="4" s="1"/>
  <c r="AC990" i="4" s="1"/>
  <c r="F991" i="4"/>
  <c r="Q991" i="4"/>
  <c r="W991" i="4" s="1"/>
  <c r="AC991" i="4" s="1"/>
  <c r="F992" i="4"/>
  <c r="Q992" i="4"/>
  <c r="W992" i="4" s="1"/>
  <c r="AC992" i="4" s="1"/>
  <c r="F993" i="4"/>
  <c r="Q993" i="4"/>
  <c r="W993" i="4" s="1"/>
  <c r="AC993" i="4" s="1"/>
  <c r="F994" i="4"/>
  <c r="Q994" i="4"/>
  <c r="W994" i="4" s="1"/>
  <c r="AC994" i="4" s="1"/>
  <c r="F995" i="4"/>
  <c r="R995" i="4" s="1"/>
  <c r="AD995" i="4" s="1"/>
  <c r="Q995" i="4"/>
  <c r="W995" i="4" s="1"/>
  <c r="AC995" i="4" s="1"/>
  <c r="F996" i="4"/>
  <c r="Q996" i="4"/>
  <c r="W996" i="4" s="1"/>
  <c r="AC996" i="4" s="1"/>
  <c r="F997" i="4"/>
  <c r="Q997" i="4"/>
  <c r="W997" i="4" s="1"/>
  <c r="AC997" i="4" s="1"/>
  <c r="F998" i="4"/>
  <c r="Q998" i="4"/>
  <c r="W998" i="4" s="1"/>
  <c r="AC998" i="4" s="1"/>
  <c r="F999" i="4"/>
  <c r="Q999" i="4"/>
  <c r="W999" i="4" s="1"/>
  <c r="AC999" i="4" s="1"/>
  <c r="F1000" i="4"/>
  <c r="Q1000" i="4"/>
  <c r="W1000" i="4" s="1"/>
  <c r="AC1000" i="4" s="1"/>
  <c r="F1001" i="4"/>
  <c r="Q1001" i="4"/>
  <c r="W1001" i="4" s="1"/>
  <c r="AC1001" i="4" s="1"/>
  <c r="F1002" i="4"/>
  <c r="Q1002" i="4"/>
  <c r="W1002" i="4" s="1"/>
  <c r="AC1002" i="4" s="1"/>
  <c r="F1003" i="4"/>
  <c r="R1003" i="4" s="1"/>
  <c r="AD1003" i="4" s="1"/>
  <c r="Q1003" i="4"/>
  <c r="W1003" i="4" s="1"/>
  <c r="AC1003" i="4" s="1"/>
  <c r="F1004" i="4"/>
  <c r="R1004" i="4" s="1"/>
  <c r="AD1004" i="4" s="1"/>
  <c r="Q1004" i="4"/>
  <c r="W1004" i="4" s="1"/>
  <c r="AC1004" i="4" s="1"/>
  <c r="F1005" i="4"/>
  <c r="Q1005" i="4"/>
  <c r="W1005" i="4" s="1"/>
  <c r="AC1005" i="4" s="1"/>
  <c r="F1006" i="4"/>
  <c r="Q1006" i="4"/>
  <c r="W1006" i="4" s="1"/>
  <c r="AC1006" i="4" s="1"/>
  <c r="F1007" i="4"/>
  <c r="Q1007" i="4"/>
  <c r="W1007" i="4" s="1"/>
  <c r="AC1007" i="4" s="1"/>
  <c r="F1008" i="4"/>
  <c r="R1008" i="4" s="1"/>
  <c r="AD1008" i="4" s="1"/>
  <c r="Q1008" i="4"/>
  <c r="W1008" i="4" s="1"/>
  <c r="AC1008" i="4" s="1"/>
  <c r="F1009" i="4"/>
  <c r="Q1009" i="4"/>
  <c r="W1009" i="4" s="1"/>
  <c r="AC1009" i="4" s="1"/>
  <c r="F1010" i="4"/>
  <c r="Q1010" i="4"/>
  <c r="W1010" i="4" s="1"/>
  <c r="AC1010" i="4" s="1"/>
  <c r="F1011" i="4"/>
  <c r="Q1011" i="4"/>
  <c r="W1011" i="4" s="1"/>
  <c r="AC1011" i="4" s="1"/>
  <c r="F1012" i="4"/>
  <c r="R1012" i="4" s="1"/>
  <c r="AD1012" i="4" s="1"/>
  <c r="Q1012" i="4"/>
  <c r="W1012" i="4" s="1"/>
  <c r="AC1012" i="4" s="1"/>
  <c r="F1013" i="4"/>
  <c r="Q1013" i="4"/>
  <c r="W1013" i="4" s="1"/>
  <c r="AC1013" i="4" s="1"/>
  <c r="F1014" i="4"/>
  <c r="Q1014" i="4"/>
  <c r="W1014" i="4" s="1"/>
  <c r="AC1014" i="4" s="1"/>
  <c r="F1015" i="4"/>
  <c r="Q1015" i="4"/>
  <c r="W1015" i="4" s="1"/>
  <c r="AC1015" i="4" s="1"/>
  <c r="F1016" i="4"/>
  <c r="R1016" i="4" s="1"/>
  <c r="AD1016" i="4" s="1"/>
  <c r="Q1016" i="4"/>
  <c r="W1016" i="4" s="1"/>
  <c r="AC1016" i="4" s="1"/>
  <c r="F1017" i="4"/>
  <c r="Q1017" i="4"/>
  <c r="W1017" i="4" s="1"/>
  <c r="AC1017" i="4" s="1"/>
  <c r="F1018" i="4"/>
  <c r="Q1018" i="4"/>
  <c r="W1018" i="4" s="1"/>
  <c r="AC1018" i="4" s="1"/>
  <c r="F1019" i="4"/>
  <c r="R1019" i="4" s="1"/>
  <c r="AD1019" i="4" s="1"/>
  <c r="Q1019" i="4"/>
  <c r="W1019" i="4" s="1"/>
  <c r="AC1019" i="4" s="1"/>
  <c r="F1020" i="4"/>
  <c r="R1020" i="4" s="1"/>
  <c r="AD1020" i="4" s="1"/>
  <c r="Q1020" i="4"/>
  <c r="W1020" i="4" s="1"/>
  <c r="AC1020" i="4" s="1"/>
  <c r="F1021" i="4"/>
  <c r="Q1021" i="4"/>
  <c r="W1021" i="4" s="1"/>
  <c r="AC1021" i="4" s="1"/>
  <c r="F1022" i="4"/>
  <c r="Q1022" i="4"/>
  <c r="W1022" i="4" s="1"/>
  <c r="AC1022" i="4" s="1"/>
  <c r="F1023" i="4"/>
  <c r="Q1023" i="4"/>
  <c r="W1023" i="4" s="1"/>
  <c r="AC1023" i="4" s="1"/>
  <c r="F1024" i="4"/>
  <c r="R1024" i="4" s="1"/>
  <c r="AD1024" i="4" s="1"/>
  <c r="Q1024" i="4"/>
  <c r="W1024" i="4" s="1"/>
  <c r="AC1024" i="4" s="1"/>
  <c r="F1025" i="4"/>
  <c r="Q1025" i="4"/>
  <c r="W1025" i="4" s="1"/>
  <c r="AC1025" i="4" s="1"/>
  <c r="F1026" i="4"/>
  <c r="Q1026" i="4"/>
  <c r="W1026" i="4" s="1"/>
  <c r="AC1026" i="4" s="1"/>
  <c r="F1027" i="4"/>
  <c r="Q1027" i="4"/>
  <c r="W1027" i="4" s="1"/>
  <c r="AC1027" i="4" s="1"/>
  <c r="F1028" i="4"/>
  <c r="R1028" i="4" s="1"/>
  <c r="AD1028" i="4" s="1"/>
  <c r="Q1028" i="4"/>
  <c r="W1028" i="4" s="1"/>
  <c r="AC1028" i="4" s="1"/>
  <c r="F1029" i="4"/>
  <c r="Q1029" i="4"/>
  <c r="W1029" i="4" s="1"/>
  <c r="AC1029" i="4" s="1"/>
  <c r="F1030" i="4"/>
  <c r="Q1030" i="4"/>
  <c r="W1030" i="4" s="1"/>
  <c r="AC1030" i="4" s="1"/>
  <c r="F1031" i="4"/>
  <c r="Q1031" i="4"/>
  <c r="W1031" i="4" s="1"/>
  <c r="AC1031" i="4" s="1"/>
  <c r="F1032" i="4"/>
  <c r="R1032" i="4" s="1"/>
  <c r="AD1032" i="4" s="1"/>
  <c r="Q1032" i="4"/>
  <c r="W1032" i="4" s="1"/>
  <c r="AC1032" i="4" s="1"/>
  <c r="F1035" i="4"/>
  <c r="Q1035" i="4"/>
  <c r="W1035" i="4" s="1"/>
  <c r="AC1035" i="4" s="1"/>
  <c r="F1036" i="4"/>
  <c r="Q1036" i="4"/>
  <c r="W1036" i="4" s="1"/>
  <c r="AC1036" i="4" s="1"/>
  <c r="F1037" i="4"/>
  <c r="R1037" i="4" s="1"/>
  <c r="AD1037" i="4" s="1"/>
  <c r="Q1037" i="4"/>
  <c r="W1037" i="4" s="1"/>
  <c r="AC1037" i="4" s="1"/>
  <c r="F1038" i="4"/>
  <c r="R1038" i="4" s="1"/>
  <c r="AD1038" i="4" s="1"/>
  <c r="Q1038" i="4"/>
  <c r="W1038" i="4" s="1"/>
  <c r="AC1038" i="4" s="1"/>
  <c r="F1039" i="4"/>
  <c r="Q1039" i="4"/>
  <c r="W1039" i="4" s="1"/>
  <c r="AC1039" i="4" s="1"/>
  <c r="F1040" i="4"/>
  <c r="Q1040" i="4"/>
  <c r="W1040" i="4" s="1"/>
  <c r="AC1040" i="4" s="1"/>
  <c r="F1041" i="4"/>
  <c r="Q1041" i="4"/>
  <c r="W1041" i="4" s="1"/>
  <c r="AC1041" i="4" s="1"/>
  <c r="F1042" i="4"/>
  <c r="R1042" i="4" s="1"/>
  <c r="AD1042" i="4" s="1"/>
  <c r="Q1042" i="4"/>
  <c r="W1042" i="4" s="1"/>
  <c r="AC1042" i="4" s="1"/>
  <c r="F1043" i="4"/>
  <c r="Q1043" i="4"/>
  <c r="W1043" i="4" s="1"/>
  <c r="AC1043" i="4" s="1"/>
  <c r="F1044" i="4"/>
  <c r="Q1044" i="4"/>
  <c r="W1044" i="4" s="1"/>
  <c r="AC1044" i="4" s="1"/>
  <c r="F1045" i="4"/>
  <c r="Q1045" i="4"/>
  <c r="W1045" i="4" s="1"/>
  <c r="AC1045" i="4" s="1"/>
  <c r="F1046" i="4"/>
  <c r="R1046" i="4" s="1"/>
  <c r="AD1046" i="4" s="1"/>
  <c r="Q1046" i="4"/>
  <c r="W1046" i="4" s="1"/>
  <c r="AC1046" i="4" s="1"/>
  <c r="F1047" i="4"/>
  <c r="Q1047" i="4"/>
  <c r="W1047" i="4" s="1"/>
  <c r="AC1047" i="4" s="1"/>
  <c r="F1048" i="4"/>
  <c r="Q1048" i="4"/>
  <c r="W1048" i="4" s="1"/>
  <c r="AC1048" i="4" s="1"/>
  <c r="F1049" i="4"/>
  <c r="Q1049" i="4"/>
  <c r="W1049" i="4" s="1"/>
  <c r="AC1049" i="4" s="1"/>
  <c r="F1050" i="4"/>
  <c r="R1050" i="4" s="1"/>
  <c r="AD1050" i="4" s="1"/>
  <c r="Q1050" i="4"/>
  <c r="W1050" i="4" s="1"/>
  <c r="AC1050" i="4" s="1"/>
  <c r="F1051" i="4"/>
  <c r="Q1051" i="4"/>
  <c r="W1051" i="4" s="1"/>
  <c r="AC1051" i="4" s="1"/>
  <c r="F1052" i="4"/>
  <c r="Q1052" i="4"/>
  <c r="W1052" i="4" s="1"/>
  <c r="AC1052" i="4" s="1"/>
  <c r="F1053" i="4"/>
  <c r="Q1053" i="4"/>
  <c r="W1053" i="4" s="1"/>
  <c r="AC1053" i="4" s="1"/>
  <c r="F1054" i="4"/>
  <c r="R1054" i="4" s="1"/>
  <c r="AD1054" i="4" s="1"/>
  <c r="Q1054" i="4"/>
  <c r="W1054" i="4" s="1"/>
  <c r="AC1054" i="4" s="1"/>
  <c r="F1055" i="4"/>
  <c r="Q1055" i="4"/>
  <c r="W1055" i="4" s="1"/>
  <c r="AC1055" i="4" s="1"/>
  <c r="F1056" i="4"/>
  <c r="Q1056" i="4"/>
  <c r="W1056" i="4" s="1"/>
  <c r="AC1056" i="4" s="1"/>
  <c r="F1057" i="4"/>
  <c r="R1057" i="4" s="1"/>
  <c r="AD1057" i="4" s="1"/>
  <c r="Q1057" i="4"/>
  <c r="W1057" i="4" s="1"/>
  <c r="AC1057" i="4" s="1"/>
  <c r="F1058" i="4"/>
  <c r="R1058" i="4" s="1"/>
  <c r="AD1058" i="4" s="1"/>
  <c r="Q1058" i="4"/>
  <c r="W1058" i="4" s="1"/>
  <c r="AC1058" i="4" s="1"/>
  <c r="F825" i="4"/>
  <c r="Q825" i="4"/>
  <c r="W825" i="4" s="1"/>
  <c r="AC825" i="4" s="1"/>
  <c r="F826" i="4"/>
  <c r="Q826" i="4"/>
  <c r="W826" i="4" s="1"/>
  <c r="AC826" i="4" s="1"/>
  <c r="F827" i="4"/>
  <c r="Q827" i="4"/>
  <c r="W827" i="4" s="1"/>
  <c r="AC827" i="4" s="1"/>
  <c r="F828" i="4"/>
  <c r="R828" i="4" s="1"/>
  <c r="AD828" i="4" s="1"/>
  <c r="Q828" i="4"/>
  <c r="W828" i="4" s="1"/>
  <c r="AC828" i="4" s="1"/>
  <c r="F829" i="4"/>
  <c r="Q829" i="4"/>
  <c r="W829" i="4" s="1"/>
  <c r="AC829" i="4" s="1"/>
  <c r="F830" i="4"/>
  <c r="Q830" i="4"/>
  <c r="W830" i="4" s="1"/>
  <c r="AC830" i="4" s="1"/>
  <c r="F831" i="4"/>
  <c r="Q831" i="4"/>
  <c r="W831" i="4" s="1"/>
  <c r="AC831" i="4" s="1"/>
  <c r="AB614" i="4"/>
  <c r="AB615" i="4"/>
  <c r="AB616" i="4"/>
  <c r="AB617" i="4"/>
  <c r="AB618" i="4"/>
  <c r="AB619" i="4"/>
  <c r="AB620" i="4"/>
  <c r="AB621" i="4"/>
  <c r="AB622" i="4"/>
  <c r="AB623" i="4"/>
  <c r="AB624" i="4"/>
  <c r="AB625" i="4"/>
  <c r="AB626" i="4"/>
  <c r="AB627" i="4"/>
  <c r="AB628" i="4"/>
  <c r="AB629" i="4"/>
  <c r="AB630" i="4"/>
  <c r="AB631" i="4"/>
  <c r="AB632" i="4"/>
  <c r="AB633" i="4"/>
  <c r="AB634" i="4"/>
  <c r="AB635" i="4"/>
  <c r="AB636" i="4"/>
  <c r="AB637" i="4"/>
  <c r="AB638" i="4"/>
  <c r="AB639" i="4"/>
  <c r="AB640" i="4"/>
  <c r="AB641" i="4"/>
  <c r="AB642" i="4"/>
  <c r="AB643" i="4"/>
  <c r="AB649" i="4"/>
  <c r="AB650" i="4"/>
  <c r="AB651" i="4"/>
  <c r="AB652" i="4"/>
  <c r="AB653" i="4"/>
  <c r="AB654" i="4"/>
  <c r="AB655" i="4"/>
  <c r="AB656" i="4"/>
  <c r="AB657" i="4"/>
  <c r="AB658" i="4"/>
  <c r="AB659" i="4"/>
  <c r="AB660" i="4"/>
  <c r="AB661" i="4"/>
  <c r="AB662" i="4"/>
  <c r="AB663" i="4"/>
  <c r="AB664" i="4"/>
  <c r="AB665" i="4"/>
  <c r="AB666" i="4"/>
  <c r="AB667" i="4"/>
  <c r="AB668" i="4"/>
  <c r="AB669" i="4"/>
  <c r="AB670" i="4"/>
  <c r="AB671" i="4"/>
  <c r="AB672" i="4"/>
  <c r="AB673" i="4"/>
  <c r="AB674" i="4"/>
  <c r="AB676" i="4"/>
  <c r="AB677" i="4"/>
  <c r="AB678" i="4"/>
  <c r="AB679" i="4"/>
  <c r="AB680" i="4"/>
  <c r="AB681" i="4"/>
  <c r="AB682" i="4"/>
  <c r="AB683" i="4"/>
  <c r="AB684" i="4"/>
  <c r="AB685" i="4"/>
  <c r="AB686" i="4"/>
  <c r="AB687" i="4"/>
  <c r="AB688" i="4"/>
  <c r="AB689" i="4"/>
  <c r="AB690" i="4"/>
  <c r="AB691" i="4"/>
  <c r="AB692" i="4"/>
  <c r="AB693" i="4"/>
  <c r="AB694" i="4"/>
  <c r="AB695" i="4"/>
  <c r="AB696" i="4"/>
  <c r="AB697" i="4"/>
  <c r="F614" i="4"/>
  <c r="O614" i="4" s="1"/>
  <c r="Q614" i="4"/>
  <c r="W614" i="4" s="1"/>
  <c r="F615" i="4"/>
  <c r="Q615" i="4"/>
  <c r="W615" i="4" s="1"/>
  <c r="F616" i="4"/>
  <c r="O616" i="4" s="1"/>
  <c r="Q616" i="4"/>
  <c r="W616" i="4" s="1"/>
  <c r="F617" i="4"/>
  <c r="Q617" i="4"/>
  <c r="W617" i="4" s="1"/>
  <c r="F619" i="4"/>
  <c r="O619" i="4" s="1"/>
  <c r="Q619" i="4"/>
  <c r="W619" i="4" s="1"/>
  <c r="F620" i="4"/>
  <c r="O620" i="4" s="1"/>
  <c r="F621" i="4"/>
  <c r="O621" i="4" s="1"/>
  <c r="Q621" i="4"/>
  <c r="W621" i="4" s="1"/>
  <c r="F622" i="4"/>
  <c r="Q622" i="4"/>
  <c r="W622" i="4" s="1"/>
  <c r="F623" i="4"/>
  <c r="O623" i="4" s="1"/>
  <c r="AE623" i="4" s="1"/>
  <c r="F624" i="4"/>
  <c r="O624" i="4" s="1"/>
  <c r="AE624" i="4" s="1"/>
  <c r="F625" i="4"/>
  <c r="Q625" i="4"/>
  <c r="W625" i="4" s="1"/>
  <c r="F626" i="4"/>
  <c r="O626" i="4" s="1"/>
  <c r="AE626" i="4" s="1"/>
  <c r="F627" i="4"/>
  <c r="O627" i="4" s="1"/>
  <c r="AE627" i="4" s="1"/>
  <c r="F628" i="4"/>
  <c r="Q628" i="4"/>
  <c r="W628" i="4" s="1"/>
  <c r="F629" i="4"/>
  <c r="O629" i="4" s="1"/>
  <c r="AE629" i="4" s="1"/>
  <c r="F630" i="4"/>
  <c r="Q630" i="4"/>
  <c r="W630" i="4" s="1"/>
  <c r="F631" i="4"/>
  <c r="Q631" i="4"/>
  <c r="W631" i="4" s="1"/>
  <c r="F632" i="4"/>
  <c r="O632" i="4" s="1"/>
  <c r="AE632" i="4" s="1"/>
  <c r="F633" i="4"/>
  <c r="O633" i="4" s="1"/>
  <c r="AE633" i="4" s="1"/>
  <c r="F634" i="4"/>
  <c r="O634" i="4" s="1"/>
  <c r="AE634" i="4" s="1"/>
  <c r="F635" i="4"/>
  <c r="O635" i="4" s="1"/>
  <c r="AE635" i="4" s="1"/>
  <c r="F636" i="4"/>
  <c r="O636" i="4" s="1"/>
  <c r="AE636" i="4" s="1"/>
  <c r="F637" i="4"/>
  <c r="Q637" i="4"/>
  <c r="W637" i="4" s="1"/>
  <c r="F638" i="4"/>
  <c r="Q638" i="4"/>
  <c r="W638" i="4" s="1"/>
  <c r="F639" i="4"/>
  <c r="Q639" i="4"/>
  <c r="W639" i="4" s="1"/>
  <c r="F640" i="4"/>
  <c r="Q640" i="4"/>
  <c r="W640" i="4" s="1"/>
  <c r="F641" i="4"/>
  <c r="Q641" i="4"/>
  <c r="W641" i="4" s="1"/>
  <c r="F642" i="4"/>
  <c r="Q642" i="4"/>
  <c r="W642" i="4" s="1"/>
  <c r="F649" i="4"/>
  <c r="O649" i="4" s="1"/>
  <c r="AE649" i="4" s="1"/>
  <c r="F650" i="4"/>
  <c r="Q650" i="4"/>
  <c r="W650" i="4" s="1"/>
  <c r="F651" i="4"/>
  <c r="Q651" i="4"/>
  <c r="W651" i="4" s="1"/>
  <c r="F652" i="4"/>
  <c r="Q652" i="4"/>
  <c r="W652" i="4" s="1"/>
  <c r="F653" i="4"/>
  <c r="Q653" i="4"/>
  <c r="W653" i="4" s="1"/>
  <c r="F654" i="4"/>
  <c r="O654" i="4" s="1"/>
  <c r="AE654" i="4" s="1"/>
  <c r="F655" i="4"/>
  <c r="Q655" i="4"/>
  <c r="W655" i="4" s="1"/>
  <c r="F656" i="4"/>
  <c r="Q656" i="4"/>
  <c r="W656" i="4" s="1"/>
  <c r="F657" i="4"/>
  <c r="O657" i="4" s="1"/>
  <c r="F658" i="4"/>
  <c r="O658" i="4" s="1"/>
  <c r="Q658" i="4"/>
  <c r="W658" i="4" s="1"/>
  <c r="F659" i="4"/>
  <c r="Q659" i="4"/>
  <c r="W659" i="4" s="1"/>
  <c r="F660" i="4"/>
  <c r="Q660" i="4"/>
  <c r="W660" i="4" s="1"/>
  <c r="F661" i="4"/>
  <c r="O661" i="4" s="1"/>
  <c r="Q661" i="4"/>
  <c r="W661" i="4" s="1"/>
  <c r="F662" i="4"/>
  <c r="Q662" i="4"/>
  <c r="W662" i="4" s="1"/>
  <c r="F663" i="4"/>
  <c r="O663" i="4" s="1"/>
  <c r="F664" i="4"/>
  <c r="Q664" i="4"/>
  <c r="W664" i="4" s="1"/>
  <c r="F665" i="4"/>
  <c r="O665" i="4" s="1"/>
  <c r="Q665" i="4"/>
  <c r="F666" i="4"/>
  <c r="Q666" i="4"/>
  <c r="F667" i="4"/>
  <c r="Q667" i="4"/>
  <c r="F668" i="4"/>
  <c r="Q668" i="4"/>
  <c r="F669" i="4"/>
  <c r="Q669" i="4"/>
  <c r="W669" i="4" s="1"/>
  <c r="F670" i="4"/>
  <c r="Q670" i="4"/>
  <c r="W670" i="4" s="1"/>
  <c r="F671" i="4"/>
  <c r="Q671" i="4"/>
  <c r="W671" i="4" s="1"/>
  <c r="F672" i="4"/>
  <c r="O672" i="4" s="1"/>
  <c r="AE672" i="4" s="1"/>
  <c r="F673" i="4"/>
  <c r="O673" i="4" s="1"/>
  <c r="AE673" i="4" s="1"/>
  <c r="F674" i="4"/>
  <c r="O674" i="4" s="1"/>
  <c r="AE674" i="4" s="1"/>
  <c r="Q674" i="4"/>
  <c r="F676" i="4"/>
  <c r="Q676" i="4"/>
  <c r="W676" i="4" s="1"/>
  <c r="F677" i="4"/>
  <c r="F678" i="4"/>
  <c r="O678" i="4" s="1"/>
  <c r="Q678" i="4"/>
  <c r="W678" i="4" s="1"/>
  <c r="Y678" i="4" s="1"/>
  <c r="F679" i="4"/>
  <c r="O679" i="4" s="1"/>
  <c r="AE679" i="4" s="1"/>
  <c r="F680" i="4"/>
  <c r="O680" i="4" s="1"/>
  <c r="AE680" i="4" s="1"/>
  <c r="F681" i="4"/>
  <c r="F682" i="4"/>
  <c r="Q682" i="4"/>
  <c r="W682" i="4" s="1"/>
  <c r="F683" i="4"/>
  <c r="Q683" i="4"/>
  <c r="W683" i="4" s="1"/>
  <c r="F684" i="4"/>
  <c r="Q684" i="4"/>
  <c r="W684" i="4" s="1"/>
  <c r="F685" i="4"/>
  <c r="Q685" i="4"/>
  <c r="W685" i="4" s="1"/>
  <c r="F686" i="4"/>
  <c r="Q686" i="4"/>
  <c r="W686" i="4" s="1"/>
  <c r="F687" i="4"/>
  <c r="F688" i="4"/>
  <c r="O688" i="4" s="1"/>
  <c r="AE688" i="4" s="1"/>
  <c r="F689" i="4"/>
  <c r="O689" i="4" s="1"/>
  <c r="AE689" i="4" s="1"/>
  <c r="F690" i="4"/>
  <c r="Q690" i="4"/>
  <c r="W690" i="4" s="1"/>
  <c r="F691" i="4"/>
  <c r="O691" i="4" s="1"/>
  <c r="Q691" i="4"/>
  <c r="W691" i="4" s="1"/>
  <c r="F692" i="4"/>
  <c r="Q692" i="4"/>
  <c r="W692" i="4" s="1"/>
  <c r="F693" i="4"/>
  <c r="Q693" i="4"/>
  <c r="F694" i="4"/>
  <c r="O694" i="4" s="1"/>
  <c r="Q694" i="4"/>
  <c r="W694" i="4" s="1"/>
  <c r="F695" i="4"/>
  <c r="O695" i="4" s="1"/>
  <c r="Q695" i="4"/>
  <c r="W695" i="4" s="1"/>
  <c r="F696" i="4"/>
  <c r="Q696" i="4"/>
  <c r="W696" i="4" s="1"/>
  <c r="F697" i="4"/>
  <c r="O697" i="4" s="1"/>
  <c r="Q697" i="4"/>
  <c r="W697" i="4" s="1"/>
  <c r="G868" i="4"/>
  <c r="D868" i="4"/>
  <c r="F342" i="4"/>
  <c r="G206" i="4"/>
  <c r="F810" i="4"/>
  <c r="G751" i="4"/>
  <c r="G364" i="4"/>
  <c r="G809" i="4"/>
  <c r="F792" i="4"/>
  <c r="R792" i="4" s="1"/>
  <c r="AD792" i="4" s="1"/>
  <c r="F793" i="4"/>
  <c r="R801" i="4"/>
  <c r="AD801" i="4" s="1"/>
  <c r="F802" i="4"/>
  <c r="R802" i="4" s="1"/>
  <c r="AD802" i="4" s="1"/>
  <c r="F803" i="4"/>
  <c r="F804" i="4"/>
  <c r="F805" i="4"/>
  <c r="R805" i="4" s="1"/>
  <c r="AD805" i="4" s="1"/>
  <c r="F806" i="4"/>
  <c r="F807" i="4"/>
  <c r="R807" i="4" s="1"/>
  <c r="AD807" i="4" s="1"/>
  <c r="G789" i="4"/>
  <c r="G774" i="4"/>
  <c r="F778" i="4"/>
  <c r="F775" i="4"/>
  <c r="R775" i="4" s="1"/>
  <c r="AD775" i="4" s="1"/>
  <c r="F784" i="4"/>
  <c r="R784" i="4" s="1"/>
  <c r="AD784" i="4" s="1"/>
  <c r="AD760" i="4"/>
  <c r="G759" i="4"/>
  <c r="F752" i="4"/>
  <c r="R752" i="4" s="1"/>
  <c r="AD752" i="4" s="1"/>
  <c r="F477" i="4"/>
  <c r="R477" i="4" s="1"/>
  <c r="AD477" i="4" s="1"/>
  <c r="F459" i="4"/>
  <c r="R459" i="4" s="1"/>
  <c r="AD459" i="4" s="1"/>
  <c r="G701" i="4"/>
  <c r="G453" i="4"/>
  <c r="G475" i="4"/>
  <c r="G348" i="4"/>
  <c r="G334" i="4"/>
  <c r="G902" i="4"/>
  <c r="D902" i="4"/>
  <c r="Q902" i="4" s="1"/>
  <c r="W902" i="4" s="1"/>
  <c r="Y902" i="4" s="1"/>
  <c r="G901" i="4"/>
  <c r="D901" i="4"/>
  <c r="Q901" i="4" s="1"/>
  <c r="W901" i="4" s="1"/>
  <c r="Y901" i="4" s="1"/>
  <c r="G893" i="4"/>
  <c r="D893" i="4"/>
  <c r="Q893" i="4" s="1"/>
  <c r="W893" i="4" s="1"/>
  <c r="Y893" i="4" s="1"/>
  <c r="I875" i="4"/>
  <c r="T875" i="4" s="1"/>
  <c r="V875" i="4" s="1"/>
  <c r="V861" i="4" s="1"/>
  <c r="V8" i="4" s="1"/>
  <c r="G875" i="4"/>
  <c r="D875" i="4"/>
  <c r="G887" i="4"/>
  <c r="D887" i="4"/>
  <c r="Q887" i="4" s="1"/>
  <c r="W887" i="4" s="1"/>
  <c r="Y887" i="4" s="1"/>
  <c r="Q879" i="4"/>
  <c r="W879" i="4" s="1"/>
  <c r="Y879" i="4" s="1"/>
  <c r="G879" i="4"/>
  <c r="D879" i="4"/>
  <c r="Q878" i="4"/>
  <c r="W878" i="4" s="1"/>
  <c r="Y878" i="4" s="1"/>
  <c r="G878" i="4"/>
  <c r="D878" i="4"/>
  <c r="Q864" i="4"/>
  <c r="W864" i="4" s="1"/>
  <c r="Y864" i="4" s="1"/>
  <c r="Q863" i="4"/>
  <c r="W863" i="4" s="1"/>
  <c r="Y863" i="4" s="1"/>
  <c r="G864" i="4"/>
  <c r="D864" i="4"/>
  <c r="F863" i="4"/>
  <c r="AB863" i="4"/>
  <c r="AB864" i="4"/>
  <c r="F865" i="4"/>
  <c r="AB865" i="4"/>
  <c r="AB868" i="4"/>
  <c r="F869" i="4"/>
  <c r="AB869" i="4"/>
  <c r="F880" i="4"/>
  <c r="AB880" i="4"/>
  <c r="F881" i="4"/>
  <c r="R881" i="4" s="1"/>
  <c r="AD881" i="4" s="1"/>
  <c r="AB881" i="4"/>
  <c r="F870" i="4"/>
  <c r="AB870" i="4"/>
  <c r="F866" i="4"/>
  <c r="R866" i="4" s="1"/>
  <c r="AD866" i="4" s="1"/>
  <c r="AB866" i="4"/>
  <c r="F871" i="4"/>
  <c r="J871" i="4" s="1"/>
  <c r="AB871" i="4"/>
  <c r="F872" i="4"/>
  <c r="AB872" i="4"/>
  <c r="F873" i="4"/>
  <c r="AB873" i="4"/>
  <c r="F867" i="4"/>
  <c r="R867" i="4" s="1"/>
  <c r="AD867" i="4" s="1"/>
  <c r="AB867" i="4"/>
  <c r="F874" i="4"/>
  <c r="AB874" i="4"/>
  <c r="AB875" i="4"/>
  <c r="F876" i="4"/>
  <c r="AB876" i="4"/>
  <c r="F882" i="4"/>
  <c r="J882" i="4" s="1"/>
  <c r="AB882" i="4"/>
  <c r="F877" i="4"/>
  <c r="R877" i="4" s="1"/>
  <c r="AD877" i="4" s="1"/>
  <c r="AB877" i="4"/>
  <c r="AB878" i="4"/>
  <c r="AB879" i="4"/>
  <c r="F885" i="4"/>
  <c r="R885" i="4" s="1"/>
  <c r="AD885" i="4" s="1"/>
  <c r="Q885" i="4"/>
  <c r="W885" i="4" s="1"/>
  <c r="Y885" i="4" s="1"/>
  <c r="AB885" i="4"/>
  <c r="F886" i="4"/>
  <c r="Q886" i="4"/>
  <c r="W886" i="4" s="1"/>
  <c r="Y886" i="4" s="1"/>
  <c r="AB886" i="4"/>
  <c r="AB887" i="4"/>
  <c r="F888" i="4"/>
  <c r="Q888" i="4"/>
  <c r="W888" i="4" s="1"/>
  <c r="Y888" i="4" s="1"/>
  <c r="AB888" i="4"/>
  <c r="F904" i="4"/>
  <c r="R904" i="4" s="1"/>
  <c r="AD904" i="4" s="1"/>
  <c r="Q904" i="4"/>
  <c r="W904" i="4" s="1"/>
  <c r="Y904" i="4" s="1"/>
  <c r="AB904" i="4"/>
  <c r="F889" i="4"/>
  <c r="R889" i="4" s="1"/>
  <c r="AD889" i="4" s="1"/>
  <c r="Q889" i="4"/>
  <c r="W889" i="4" s="1"/>
  <c r="Y889" i="4" s="1"/>
  <c r="AB889" i="4"/>
  <c r="F890" i="4"/>
  <c r="R890" i="4" s="1"/>
  <c r="AD890" i="4" s="1"/>
  <c r="Q890" i="4"/>
  <c r="W890" i="4" s="1"/>
  <c r="Y890" i="4" s="1"/>
  <c r="AB890" i="4"/>
  <c r="F891" i="4"/>
  <c r="Q891" i="4"/>
  <c r="AB891" i="4"/>
  <c r="F892" i="4"/>
  <c r="R892" i="4" s="1"/>
  <c r="AD892" i="4" s="1"/>
  <c r="Q892" i="4"/>
  <c r="W892" i="4" s="1"/>
  <c r="Y892" i="4" s="1"/>
  <c r="AB892" i="4"/>
  <c r="AB893" i="4"/>
  <c r="F894" i="4"/>
  <c r="R894" i="4" s="1"/>
  <c r="AD894" i="4" s="1"/>
  <c r="Q894" i="4"/>
  <c r="Y894" i="4" s="1"/>
  <c r="AB894" i="4"/>
  <c r="F896" i="4"/>
  <c r="Q896" i="4"/>
  <c r="W896" i="4" s="1"/>
  <c r="Y896" i="4" s="1"/>
  <c r="AB896" i="4"/>
  <c r="F903" i="4"/>
  <c r="R903" i="4" s="1"/>
  <c r="AD903" i="4" s="1"/>
  <c r="Q903" i="4"/>
  <c r="W903" i="4" s="1"/>
  <c r="Y903" i="4" s="1"/>
  <c r="AB903" i="4"/>
  <c r="F895" i="4"/>
  <c r="R895" i="4" s="1"/>
  <c r="AD895" i="4" s="1"/>
  <c r="Q895" i="4"/>
  <c r="W895" i="4" s="1"/>
  <c r="Y895" i="4" s="1"/>
  <c r="AB895" i="4"/>
  <c r="AB897" i="4"/>
  <c r="F898" i="4"/>
  <c r="Q898" i="4"/>
  <c r="W898" i="4" s="1"/>
  <c r="Y898" i="4" s="1"/>
  <c r="AB898" i="4"/>
  <c r="F899" i="4"/>
  <c r="R899" i="4" s="1"/>
  <c r="AD899" i="4" s="1"/>
  <c r="Q899" i="4"/>
  <c r="Y899" i="4" s="1"/>
  <c r="AB899" i="4"/>
  <c r="F900" i="4"/>
  <c r="R900" i="4" s="1"/>
  <c r="AD900" i="4" s="1"/>
  <c r="Q900" i="4"/>
  <c r="W900" i="4" s="1"/>
  <c r="Y900" i="4" s="1"/>
  <c r="AB900" i="4"/>
  <c r="AB901" i="4"/>
  <c r="AB902" i="4"/>
  <c r="F335" i="4"/>
  <c r="R335" i="4" s="1"/>
  <c r="AD335" i="4" s="1"/>
  <c r="Q335" i="4"/>
  <c r="W335" i="4" s="1"/>
  <c r="Y335" i="4" s="1"/>
  <c r="AB335" i="4"/>
  <c r="F336" i="4"/>
  <c r="R336" i="4" s="1"/>
  <c r="AD336" i="4" s="1"/>
  <c r="Q336" i="4"/>
  <c r="W336" i="4" s="1"/>
  <c r="Y336" i="4" s="1"/>
  <c r="AB336" i="4"/>
  <c r="F337" i="4"/>
  <c r="Q337" i="4"/>
  <c r="W337" i="4" s="1"/>
  <c r="Y337" i="4" s="1"/>
  <c r="AB337" i="4"/>
  <c r="F338" i="4"/>
  <c r="R338" i="4" s="1"/>
  <c r="AD338" i="4" s="1"/>
  <c r="Q338" i="4"/>
  <c r="W338" i="4" s="1"/>
  <c r="Y338" i="4" s="1"/>
  <c r="AB338" i="4"/>
  <c r="F339" i="4"/>
  <c r="R339" i="4" s="1"/>
  <c r="AD339" i="4" s="1"/>
  <c r="Q339" i="4"/>
  <c r="W339" i="4" s="1"/>
  <c r="Y339" i="4" s="1"/>
  <c r="AB339" i="4"/>
  <c r="F340" i="4"/>
  <c r="R340" i="4" s="1"/>
  <c r="AD340" i="4" s="1"/>
  <c r="Q340" i="4"/>
  <c r="W340" i="4" s="1"/>
  <c r="Y340" i="4" s="1"/>
  <c r="AB340" i="4"/>
  <c r="F341" i="4"/>
  <c r="Q341" i="4"/>
  <c r="W341" i="4" s="1"/>
  <c r="Y341" i="4" s="1"/>
  <c r="AB341" i="4"/>
  <c r="Q342" i="4"/>
  <c r="W342" i="4" s="1"/>
  <c r="Y342" i="4" s="1"/>
  <c r="AB342" i="4"/>
  <c r="F343" i="4"/>
  <c r="R343" i="4" s="1"/>
  <c r="AD343" i="4" s="1"/>
  <c r="Q343" i="4"/>
  <c r="W343" i="4" s="1"/>
  <c r="Y343" i="4" s="1"/>
  <c r="AB343" i="4"/>
  <c r="F344" i="4"/>
  <c r="R344" i="4" s="1"/>
  <c r="AD344" i="4" s="1"/>
  <c r="Q344" i="4"/>
  <c r="W344" i="4" s="1"/>
  <c r="Y344" i="4" s="1"/>
  <c r="AB344" i="4"/>
  <c r="F345" i="4"/>
  <c r="Q345" i="4"/>
  <c r="W345" i="4" s="1"/>
  <c r="Y345" i="4" s="1"/>
  <c r="AB345" i="4"/>
  <c r="F346" i="4"/>
  <c r="Q346" i="4"/>
  <c r="W346" i="4" s="1"/>
  <c r="Y346" i="4" s="1"/>
  <c r="AB346" i="4"/>
  <c r="F349" i="4"/>
  <c r="R349" i="4" s="1"/>
  <c r="AD349" i="4" s="1"/>
  <c r="Q349" i="4"/>
  <c r="W349" i="4" s="1"/>
  <c r="Y349" i="4" s="1"/>
  <c r="AB349" i="4"/>
  <c r="F350" i="4"/>
  <c r="R350" i="4" s="1"/>
  <c r="AD350" i="4" s="1"/>
  <c r="Q350" i="4"/>
  <c r="W350" i="4" s="1"/>
  <c r="Y350" i="4" s="1"/>
  <c r="AB350" i="4"/>
  <c r="F351" i="4"/>
  <c r="Q351" i="4"/>
  <c r="W351" i="4" s="1"/>
  <c r="Y351" i="4" s="1"/>
  <c r="AB351" i="4"/>
  <c r="F352" i="4"/>
  <c r="Q352" i="4"/>
  <c r="W352" i="4" s="1"/>
  <c r="Y352" i="4" s="1"/>
  <c r="AB352" i="4"/>
  <c r="F353" i="4"/>
  <c r="R353" i="4" s="1"/>
  <c r="AD353" i="4" s="1"/>
  <c r="Q353" i="4"/>
  <c r="W353" i="4" s="1"/>
  <c r="Y353" i="4" s="1"/>
  <c r="AB353" i="4"/>
  <c r="F354" i="4"/>
  <c r="R354" i="4" s="1"/>
  <c r="AD354" i="4" s="1"/>
  <c r="Q354" i="4"/>
  <c r="W354" i="4" s="1"/>
  <c r="Y354" i="4" s="1"/>
  <c r="AB354" i="4"/>
  <c r="F355" i="4"/>
  <c r="Q355" i="4"/>
  <c r="W355" i="4" s="1"/>
  <c r="Y355" i="4" s="1"/>
  <c r="AB355" i="4"/>
  <c r="F356" i="4"/>
  <c r="Q356" i="4"/>
  <c r="W356" i="4" s="1"/>
  <c r="Y356" i="4" s="1"/>
  <c r="AB356" i="4"/>
  <c r="F357" i="4"/>
  <c r="R357" i="4" s="1"/>
  <c r="AD357" i="4" s="1"/>
  <c r="Q357" i="4"/>
  <c r="W357" i="4" s="1"/>
  <c r="Y357" i="4" s="1"/>
  <c r="AB357" i="4"/>
  <c r="F358" i="4"/>
  <c r="Q358" i="4"/>
  <c r="W358" i="4" s="1"/>
  <c r="Y358" i="4" s="1"/>
  <c r="AB358" i="4"/>
  <c r="F359" i="4"/>
  <c r="R359" i="4" s="1"/>
  <c r="AD359" i="4" s="1"/>
  <c r="Q359" i="4"/>
  <c r="W359" i="4" s="1"/>
  <c r="Y359" i="4" s="1"/>
  <c r="AB359" i="4"/>
  <c r="F360" i="4"/>
  <c r="R360" i="4" s="1"/>
  <c r="AD360" i="4" s="1"/>
  <c r="Q360" i="4"/>
  <c r="W360" i="4" s="1"/>
  <c r="Y360" i="4" s="1"/>
  <c r="AB360" i="4"/>
  <c r="F361" i="4"/>
  <c r="Q361" i="4"/>
  <c r="W361" i="4" s="1"/>
  <c r="Y361" i="4" s="1"/>
  <c r="AB361" i="4"/>
  <c r="F362" i="4"/>
  <c r="Q362" i="4"/>
  <c r="W362" i="4" s="1"/>
  <c r="Y362" i="4" s="1"/>
  <c r="AB362" i="4"/>
  <c r="AB367" i="4"/>
  <c r="AB369" i="4"/>
  <c r="F370" i="4"/>
  <c r="R370" i="4" s="1"/>
  <c r="AD370" i="4" s="1"/>
  <c r="AB370" i="4"/>
  <c r="F372" i="4"/>
  <c r="R372" i="4" s="1"/>
  <c r="AD372" i="4" s="1"/>
  <c r="AB372" i="4"/>
  <c r="F373" i="4"/>
  <c r="R373" i="4" s="1"/>
  <c r="AD373" i="4" s="1"/>
  <c r="AB373" i="4"/>
  <c r="F374" i="4"/>
  <c r="R374" i="4" s="1"/>
  <c r="AD374" i="4" s="1"/>
  <c r="AB374" i="4"/>
  <c r="F375" i="4"/>
  <c r="R375" i="4" s="1"/>
  <c r="AD375" i="4" s="1"/>
  <c r="AB375" i="4"/>
  <c r="F376" i="4"/>
  <c r="R376" i="4" s="1"/>
  <c r="AD376" i="4" s="1"/>
  <c r="AB376" i="4"/>
  <c r="F377" i="4"/>
  <c r="R377" i="4" s="1"/>
  <c r="AD377" i="4" s="1"/>
  <c r="AB377" i="4"/>
  <c r="F378" i="4"/>
  <c r="R378" i="4" s="1"/>
  <c r="AD378" i="4" s="1"/>
  <c r="AB378" i="4"/>
  <c r="F379" i="4"/>
  <c r="R379" i="4" s="1"/>
  <c r="AD379" i="4" s="1"/>
  <c r="AB379" i="4"/>
  <c r="F380" i="4"/>
  <c r="R380" i="4" s="1"/>
  <c r="AD380" i="4" s="1"/>
  <c r="AB380" i="4"/>
  <c r="AB454" i="4"/>
  <c r="F455" i="4"/>
  <c r="R455" i="4" s="1"/>
  <c r="AD455" i="4" s="1"/>
  <c r="Q455" i="4"/>
  <c r="W455" i="4" s="1"/>
  <c r="Y455" i="4" s="1"/>
  <c r="AB455" i="4"/>
  <c r="F456" i="4"/>
  <c r="R456" i="4" s="1"/>
  <c r="AD456" i="4" s="1"/>
  <c r="Q456" i="4"/>
  <c r="W456" i="4" s="1"/>
  <c r="Y456" i="4" s="1"/>
  <c r="AB456" i="4"/>
  <c r="F457" i="4"/>
  <c r="Q457" i="4"/>
  <c r="W457" i="4" s="1"/>
  <c r="Y457" i="4" s="1"/>
  <c r="AB457" i="4"/>
  <c r="F458" i="4"/>
  <c r="Q458" i="4"/>
  <c r="W458" i="4" s="1"/>
  <c r="Y458" i="4" s="1"/>
  <c r="AB458" i="4"/>
  <c r="Q459" i="4"/>
  <c r="W459" i="4" s="1"/>
  <c r="Y459" i="4" s="1"/>
  <c r="AB459" i="4"/>
  <c r="F476" i="4"/>
  <c r="R476" i="4" s="1"/>
  <c r="AD476" i="4" s="1"/>
  <c r="Q476" i="4"/>
  <c r="W476" i="4" s="1"/>
  <c r="Y476" i="4" s="1"/>
  <c r="AB476" i="4"/>
  <c r="Q477" i="4"/>
  <c r="W477" i="4" s="1"/>
  <c r="Y477" i="4" s="1"/>
  <c r="AB477" i="4"/>
  <c r="AB478" i="4"/>
  <c r="AB479" i="4"/>
  <c r="R480" i="4"/>
  <c r="AD480" i="4" s="1"/>
  <c r="AB480" i="4"/>
  <c r="F481" i="4"/>
  <c r="R481" i="4" s="1"/>
  <c r="AD481" i="4" s="1"/>
  <c r="Q481" i="4"/>
  <c r="W481" i="4" s="1"/>
  <c r="Y481" i="4" s="1"/>
  <c r="AB481" i="4"/>
  <c r="F483" i="4"/>
  <c r="Q483" i="4"/>
  <c r="W483" i="4" s="1"/>
  <c r="Y483" i="4" s="1"/>
  <c r="AB483" i="4"/>
  <c r="F484" i="4"/>
  <c r="R484" i="4" s="1"/>
  <c r="AD484" i="4" s="1"/>
  <c r="Q484" i="4"/>
  <c r="W484" i="4" s="1"/>
  <c r="Y484" i="4" s="1"/>
  <c r="AB484" i="4"/>
  <c r="F485" i="4"/>
  <c r="R485" i="4" s="1"/>
  <c r="AD485" i="4" s="1"/>
  <c r="Q485" i="4"/>
  <c r="W485" i="4" s="1"/>
  <c r="Y485" i="4" s="1"/>
  <c r="AB485" i="4"/>
  <c r="F486" i="4"/>
  <c r="Q486" i="4"/>
  <c r="W486" i="4" s="1"/>
  <c r="Y486" i="4" s="1"/>
  <c r="AB486" i="4"/>
  <c r="F487" i="4"/>
  <c r="Q487" i="4"/>
  <c r="W487" i="4" s="1"/>
  <c r="Y487" i="4" s="1"/>
  <c r="AB487" i="4"/>
  <c r="F488" i="4"/>
  <c r="R488" i="4" s="1"/>
  <c r="AD488" i="4" s="1"/>
  <c r="Q488" i="4"/>
  <c r="W488" i="4" s="1"/>
  <c r="Y488" i="4" s="1"/>
  <c r="AB488" i="4"/>
  <c r="F489" i="4"/>
  <c r="R489" i="4" s="1"/>
  <c r="AD489" i="4" s="1"/>
  <c r="Q489" i="4"/>
  <c r="W489" i="4" s="1"/>
  <c r="Y489" i="4" s="1"/>
  <c r="AB489" i="4"/>
  <c r="F702" i="4"/>
  <c r="R702" i="4" s="1"/>
  <c r="AD702" i="4" s="1"/>
  <c r="Q702" i="4"/>
  <c r="W702" i="4" s="1"/>
  <c r="Y702" i="4" s="1"/>
  <c r="AB702" i="4"/>
  <c r="F703" i="4"/>
  <c r="R703" i="4" s="1"/>
  <c r="AD703" i="4" s="1"/>
  <c r="Q703" i="4"/>
  <c r="W703" i="4" s="1"/>
  <c r="Y703" i="4" s="1"/>
  <c r="AB703" i="4"/>
  <c r="F704" i="4"/>
  <c r="Q704" i="4"/>
  <c r="W704" i="4" s="1"/>
  <c r="Y704" i="4" s="1"/>
  <c r="AB704" i="4"/>
  <c r="F705" i="4"/>
  <c r="Q705" i="4"/>
  <c r="W705" i="4" s="1"/>
  <c r="Y705" i="4" s="1"/>
  <c r="AB705" i="4"/>
  <c r="F706" i="4"/>
  <c r="R706" i="4" s="1"/>
  <c r="AD706" i="4" s="1"/>
  <c r="Q706" i="4"/>
  <c r="W706" i="4" s="1"/>
  <c r="Y706" i="4" s="1"/>
  <c r="AB706" i="4"/>
  <c r="F707" i="4"/>
  <c r="R707" i="4" s="1"/>
  <c r="AD707" i="4" s="1"/>
  <c r="Q707" i="4"/>
  <c r="W707" i="4" s="1"/>
  <c r="Y707" i="4" s="1"/>
  <c r="AB707" i="4"/>
  <c r="F708" i="4"/>
  <c r="Q708" i="4"/>
  <c r="W708" i="4" s="1"/>
  <c r="Y708" i="4" s="1"/>
  <c r="AB708" i="4"/>
  <c r="F711" i="4"/>
  <c r="Q711" i="4"/>
  <c r="W711" i="4" s="1"/>
  <c r="Y711" i="4" s="1"/>
  <c r="AB711" i="4"/>
  <c r="F712" i="4"/>
  <c r="R712" i="4" s="1"/>
  <c r="AD712" i="4" s="1"/>
  <c r="Q712" i="4"/>
  <c r="W712" i="4" s="1"/>
  <c r="Y712" i="4" s="1"/>
  <c r="AB712" i="4"/>
  <c r="F713" i="4"/>
  <c r="R713" i="4" s="1"/>
  <c r="AD713" i="4" s="1"/>
  <c r="Q713" i="4"/>
  <c r="W713" i="4" s="1"/>
  <c r="Y713" i="4" s="1"/>
  <c r="AB713" i="4"/>
  <c r="F714" i="4"/>
  <c r="Q714" i="4"/>
  <c r="W714" i="4" s="1"/>
  <c r="Y714" i="4" s="1"/>
  <c r="AB714" i="4"/>
  <c r="F715" i="4"/>
  <c r="Q715" i="4"/>
  <c r="W715" i="4" s="1"/>
  <c r="Y715" i="4" s="1"/>
  <c r="AB715" i="4"/>
  <c r="F710" i="4"/>
  <c r="R710" i="4" s="1"/>
  <c r="AD710" i="4" s="1"/>
  <c r="Q710" i="4"/>
  <c r="W710" i="4" s="1"/>
  <c r="Y710" i="4" s="1"/>
  <c r="AB710" i="4"/>
  <c r="F733" i="4"/>
  <c r="R733" i="4" s="1"/>
  <c r="AD733" i="4" s="1"/>
  <c r="Q733" i="4"/>
  <c r="W733" i="4" s="1"/>
  <c r="Y733" i="4" s="1"/>
  <c r="AB733" i="4"/>
  <c r="Q735" i="4"/>
  <c r="W735" i="4" s="1"/>
  <c r="Y735" i="4" s="1"/>
  <c r="AB735" i="4"/>
  <c r="F716" i="4"/>
  <c r="Q716" i="4"/>
  <c r="W716" i="4" s="1"/>
  <c r="Y716" i="4" s="1"/>
  <c r="AB716" i="4"/>
  <c r="F718" i="4"/>
  <c r="R718" i="4" s="1"/>
  <c r="AD718" i="4" s="1"/>
  <c r="Q718" i="4"/>
  <c r="W718" i="4" s="1"/>
  <c r="Y718" i="4" s="1"/>
  <c r="AB718" i="4"/>
  <c r="F719" i="4"/>
  <c r="Q719" i="4"/>
  <c r="W719" i="4" s="1"/>
  <c r="Y719" i="4" s="1"/>
  <c r="AB719" i="4"/>
  <c r="F731" i="4"/>
  <c r="Q731" i="4"/>
  <c r="W731" i="4" s="1"/>
  <c r="Y731" i="4" s="1"/>
  <c r="AB731" i="4"/>
  <c r="F721" i="4"/>
  <c r="R721" i="4" s="1"/>
  <c r="AD721" i="4" s="1"/>
  <c r="Q721" i="4"/>
  <c r="W721" i="4" s="1"/>
  <c r="Y721" i="4" s="1"/>
  <c r="AB721" i="4"/>
  <c r="F722" i="4"/>
  <c r="Q722" i="4"/>
  <c r="W722" i="4" s="1"/>
  <c r="Y722" i="4" s="1"/>
  <c r="AB722" i="4"/>
  <c r="F724" i="4"/>
  <c r="R724" i="4" s="1"/>
  <c r="AD724" i="4" s="1"/>
  <c r="Q724" i="4"/>
  <c r="W724" i="4" s="1"/>
  <c r="Y724" i="4" s="1"/>
  <c r="AB724" i="4"/>
  <c r="F732" i="4"/>
  <c r="R732" i="4" s="1"/>
  <c r="AD732" i="4" s="1"/>
  <c r="Q732" i="4"/>
  <c r="W732" i="4" s="1"/>
  <c r="Y732" i="4" s="1"/>
  <c r="AB732" i="4"/>
  <c r="F725" i="4"/>
  <c r="Q725" i="4"/>
  <c r="W725" i="4" s="1"/>
  <c r="Y725" i="4" s="1"/>
  <c r="AB725" i="4"/>
  <c r="F726" i="4"/>
  <c r="Q726" i="4"/>
  <c r="W726" i="4" s="1"/>
  <c r="Y726" i="4" s="1"/>
  <c r="AB726" i="4"/>
  <c r="F727" i="4"/>
  <c r="R727" i="4" s="1"/>
  <c r="AD727" i="4" s="1"/>
  <c r="Q727" i="4"/>
  <c r="W727" i="4" s="1"/>
  <c r="Y727" i="4" s="1"/>
  <c r="AB727" i="4"/>
  <c r="F728" i="4"/>
  <c r="R728" i="4" s="1"/>
  <c r="AD728" i="4" s="1"/>
  <c r="Q728" i="4"/>
  <c r="W728" i="4" s="1"/>
  <c r="Y728" i="4" s="1"/>
  <c r="AB728" i="4"/>
  <c r="F730" i="4"/>
  <c r="Q730" i="4"/>
  <c r="W730" i="4" s="1"/>
  <c r="Y730" i="4" s="1"/>
  <c r="AB730" i="4"/>
  <c r="F738" i="4"/>
  <c r="R738" i="4" s="1"/>
  <c r="AD738" i="4" s="1"/>
  <c r="Q738" i="4"/>
  <c r="W738" i="4" s="1"/>
  <c r="Y738" i="4" s="1"/>
  <c r="AB738" i="4"/>
  <c r="F739" i="4"/>
  <c r="R739" i="4" s="1"/>
  <c r="AD739" i="4" s="1"/>
  <c r="Q739" i="4"/>
  <c r="W739" i="4" s="1"/>
  <c r="Y739" i="4" s="1"/>
  <c r="AB739" i="4"/>
  <c r="F740" i="4"/>
  <c r="Q740" i="4"/>
  <c r="W740" i="4" s="1"/>
  <c r="Y740" i="4" s="1"/>
  <c r="AB740" i="4"/>
  <c r="F741" i="4"/>
  <c r="Q741" i="4"/>
  <c r="W741" i="4" s="1"/>
  <c r="Y741" i="4" s="1"/>
  <c r="AB741" i="4"/>
  <c r="F742" i="4"/>
  <c r="R742" i="4" s="1"/>
  <c r="AD742" i="4" s="1"/>
  <c r="Q742" i="4"/>
  <c r="W742" i="4" s="1"/>
  <c r="Y742" i="4" s="1"/>
  <c r="AB742" i="4"/>
  <c r="F743" i="4"/>
  <c r="R743" i="4" s="1"/>
  <c r="AD743" i="4" s="1"/>
  <c r="Q743" i="4"/>
  <c r="W743" i="4" s="1"/>
  <c r="Y743" i="4" s="1"/>
  <c r="AB743" i="4"/>
  <c r="F744" i="4"/>
  <c r="Q744" i="4"/>
  <c r="W744" i="4" s="1"/>
  <c r="Y744" i="4" s="1"/>
  <c r="AB744" i="4"/>
  <c r="Q746" i="4"/>
  <c r="W746" i="4" s="1"/>
  <c r="Y746" i="4" s="1"/>
  <c r="AB746" i="4"/>
  <c r="F747" i="4"/>
  <c r="R747" i="4" s="1"/>
  <c r="AD747" i="4" s="1"/>
  <c r="Q747" i="4"/>
  <c r="W747" i="4" s="1"/>
  <c r="Y747" i="4" s="1"/>
  <c r="AB747" i="4"/>
  <c r="F748" i="4"/>
  <c r="R748" i="4" s="1"/>
  <c r="AD748" i="4" s="1"/>
  <c r="Q748" i="4"/>
  <c r="W748" i="4" s="1"/>
  <c r="Y748" i="4" s="1"/>
  <c r="AB748" i="4"/>
  <c r="F749" i="4"/>
  <c r="Q749" i="4"/>
  <c r="W749" i="4" s="1"/>
  <c r="Y749" i="4" s="1"/>
  <c r="AB749" i="4"/>
  <c r="Q752" i="4"/>
  <c r="W752" i="4" s="1"/>
  <c r="Y752" i="4" s="1"/>
  <c r="AB752" i="4"/>
  <c r="F753" i="4"/>
  <c r="R753" i="4" s="1"/>
  <c r="AD753" i="4" s="1"/>
  <c r="Q753" i="4"/>
  <c r="W753" i="4" s="1"/>
  <c r="Y753" i="4" s="1"/>
  <c r="AB753" i="4"/>
  <c r="F754" i="4"/>
  <c r="Q754" i="4"/>
  <c r="W754" i="4" s="1"/>
  <c r="Y754" i="4" s="1"/>
  <c r="AB754" i="4"/>
  <c r="F755" i="4"/>
  <c r="R755" i="4" s="1"/>
  <c r="AD755" i="4" s="1"/>
  <c r="Q755" i="4"/>
  <c r="W755" i="4" s="1"/>
  <c r="Y755" i="4" s="1"/>
  <c r="AB755" i="4"/>
  <c r="F756" i="4"/>
  <c r="R756" i="4" s="1"/>
  <c r="AD756" i="4" s="1"/>
  <c r="Q756" i="4"/>
  <c r="W756" i="4" s="1"/>
  <c r="Y756" i="4" s="1"/>
  <c r="AB756" i="4"/>
  <c r="F757" i="4"/>
  <c r="Q757" i="4"/>
  <c r="W757" i="4" s="1"/>
  <c r="Y757" i="4" s="1"/>
  <c r="AB757" i="4"/>
  <c r="Q760" i="4"/>
  <c r="AB760" i="4"/>
  <c r="F761" i="4"/>
  <c r="Q761" i="4"/>
  <c r="W761" i="4" s="1"/>
  <c r="Y761" i="4" s="1"/>
  <c r="AB761" i="4"/>
  <c r="F762" i="4"/>
  <c r="R762" i="4" s="1"/>
  <c r="AD762" i="4" s="1"/>
  <c r="Q762" i="4"/>
  <c r="W762" i="4" s="1"/>
  <c r="Y762" i="4" s="1"/>
  <c r="AB762" i="4"/>
  <c r="F763" i="4"/>
  <c r="R763" i="4" s="1"/>
  <c r="AD763" i="4" s="1"/>
  <c r="Q763" i="4"/>
  <c r="W763" i="4" s="1"/>
  <c r="Y763" i="4" s="1"/>
  <c r="AB763" i="4"/>
  <c r="F764" i="4"/>
  <c r="Q764" i="4"/>
  <c r="W764" i="4" s="1"/>
  <c r="Y764" i="4" s="1"/>
  <c r="AB764" i="4"/>
  <c r="AB795" i="4"/>
  <c r="F766" i="4"/>
  <c r="R766" i="4" s="1"/>
  <c r="AD766" i="4" s="1"/>
  <c r="Q766" i="4"/>
  <c r="W766" i="4" s="1"/>
  <c r="Y766" i="4" s="1"/>
  <c r="AB766" i="4"/>
  <c r="F767" i="4"/>
  <c r="R767" i="4" s="1"/>
  <c r="AD767" i="4" s="1"/>
  <c r="Q767" i="4"/>
  <c r="W767" i="4" s="1"/>
  <c r="Y767" i="4" s="1"/>
  <c r="AB767" i="4"/>
  <c r="F768" i="4"/>
  <c r="Q768" i="4"/>
  <c r="W768" i="4" s="1"/>
  <c r="Y768" i="4" s="1"/>
  <c r="AB768" i="4"/>
  <c r="F769" i="4"/>
  <c r="Q769" i="4"/>
  <c r="W769" i="4" s="1"/>
  <c r="Y769" i="4" s="1"/>
  <c r="AB769" i="4"/>
  <c r="F770" i="4"/>
  <c r="R770" i="4" s="1"/>
  <c r="AD770" i="4" s="1"/>
  <c r="Q770" i="4"/>
  <c r="W770" i="4" s="1"/>
  <c r="Y770" i="4" s="1"/>
  <c r="AB770" i="4"/>
  <c r="F771" i="4"/>
  <c r="R771" i="4" s="1"/>
  <c r="AD771" i="4" s="1"/>
  <c r="Q771" i="4"/>
  <c r="W771" i="4" s="1"/>
  <c r="Y771" i="4" s="1"/>
  <c r="AB771" i="4"/>
  <c r="F772" i="4"/>
  <c r="Q772" i="4"/>
  <c r="W772" i="4" s="1"/>
  <c r="Y772" i="4" s="1"/>
  <c r="AB772" i="4"/>
  <c r="Q775" i="4"/>
  <c r="W775" i="4" s="1"/>
  <c r="Y775" i="4" s="1"/>
  <c r="AB775" i="4"/>
  <c r="F776" i="4"/>
  <c r="R776" i="4" s="1"/>
  <c r="AD776" i="4" s="1"/>
  <c r="Q776" i="4"/>
  <c r="W776" i="4" s="1"/>
  <c r="Y776" i="4" s="1"/>
  <c r="AB776" i="4"/>
  <c r="F777" i="4"/>
  <c r="Q777" i="4"/>
  <c r="W777" i="4" s="1"/>
  <c r="Y777" i="4" s="1"/>
  <c r="AB777" i="4"/>
  <c r="Q778" i="4"/>
  <c r="W778" i="4" s="1"/>
  <c r="Y778" i="4" s="1"/>
  <c r="AB778" i="4"/>
  <c r="F779" i="4"/>
  <c r="R779" i="4" s="1"/>
  <c r="AD779" i="4" s="1"/>
  <c r="Q779" i="4"/>
  <c r="W779" i="4" s="1"/>
  <c r="Y779" i="4" s="1"/>
  <c r="AB779" i="4"/>
  <c r="F780" i="4"/>
  <c r="R780" i="4" s="1"/>
  <c r="AD780" i="4" s="1"/>
  <c r="Q780" i="4"/>
  <c r="W780" i="4" s="1"/>
  <c r="Y780" i="4" s="1"/>
  <c r="AB780" i="4"/>
  <c r="F781" i="4"/>
  <c r="Q781" i="4"/>
  <c r="W781" i="4" s="1"/>
  <c r="Y781" i="4" s="1"/>
  <c r="AB781" i="4"/>
  <c r="F782" i="4"/>
  <c r="R782" i="4" s="1"/>
  <c r="AD782" i="4" s="1"/>
  <c r="Q782" i="4"/>
  <c r="W782" i="4" s="1"/>
  <c r="Y782" i="4" s="1"/>
  <c r="AB782" i="4"/>
  <c r="F783" i="4"/>
  <c r="R783" i="4" s="1"/>
  <c r="AD783" i="4" s="1"/>
  <c r="Q783" i="4"/>
  <c r="W783" i="4" s="1"/>
  <c r="Y783" i="4" s="1"/>
  <c r="AB783" i="4"/>
  <c r="Q784" i="4"/>
  <c r="W784" i="4" s="1"/>
  <c r="Y784" i="4" s="1"/>
  <c r="AB784" i="4"/>
  <c r="F785" i="4"/>
  <c r="Q785" i="4"/>
  <c r="W785" i="4" s="1"/>
  <c r="Y785" i="4" s="1"/>
  <c r="AB785" i="4"/>
  <c r="R786" i="4"/>
  <c r="AD786" i="4" s="1"/>
  <c r="AB786" i="4"/>
  <c r="R787" i="4"/>
  <c r="AD787" i="4" s="1"/>
  <c r="AB787" i="4"/>
  <c r="Q790" i="4"/>
  <c r="W790" i="4" s="1"/>
  <c r="Y790" i="4" s="1"/>
  <c r="AB790" i="4"/>
  <c r="F791" i="4"/>
  <c r="R791" i="4" s="1"/>
  <c r="AD791" i="4" s="1"/>
  <c r="Q791" i="4"/>
  <c r="W791" i="4" s="1"/>
  <c r="Y791" i="4" s="1"/>
  <c r="AB791" i="4"/>
  <c r="Q792" i="4"/>
  <c r="W792" i="4" s="1"/>
  <c r="Y792" i="4" s="1"/>
  <c r="AB792" i="4"/>
  <c r="Q793" i="4"/>
  <c r="W793" i="4" s="1"/>
  <c r="Y793" i="4" s="1"/>
  <c r="AB793" i="4"/>
  <c r="Q794" i="4"/>
  <c r="Y794" i="4" s="1"/>
  <c r="AB794" i="4"/>
  <c r="AB801" i="4"/>
  <c r="Q802" i="4"/>
  <c r="W802" i="4" s="1"/>
  <c r="Y802" i="4" s="1"/>
  <c r="AB802" i="4"/>
  <c r="Q803" i="4"/>
  <c r="W803" i="4" s="1"/>
  <c r="Y803" i="4" s="1"/>
  <c r="AB803" i="4"/>
  <c r="Q804" i="4"/>
  <c r="W804" i="4" s="1"/>
  <c r="Y804" i="4" s="1"/>
  <c r="AB804" i="4"/>
  <c r="Q805" i="4"/>
  <c r="W805" i="4" s="1"/>
  <c r="Y805" i="4" s="1"/>
  <c r="AB805" i="4"/>
  <c r="Q806" i="4"/>
  <c r="W806" i="4" s="1"/>
  <c r="Y806" i="4" s="1"/>
  <c r="AB806" i="4"/>
  <c r="Q807" i="4"/>
  <c r="W807" i="4" s="1"/>
  <c r="Y807" i="4" s="1"/>
  <c r="AB807" i="4"/>
  <c r="Q810" i="4"/>
  <c r="W810" i="4" s="1"/>
  <c r="Y810" i="4" s="1"/>
  <c r="AB810" i="4"/>
  <c r="F811" i="4"/>
  <c r="R811" i="4" s="1"/>
  <c r="AD811" i="4" s="1"/>
  <c r="Q811" i="4"/>
  <c r="W811" i="4" s="1"/>
  <c r="Y811" i="4" s="1"/>
  <c r="AB811" i="4"/>
  <c r="F812" i="4"/>
  <c r="Q812" i="4"/>
  <c r="W812" i="4" s="1"/>
  <c r="Y812" i="4" s="1"/>
  <c r="AB812" i="4"/>
  <c r="F813" i="4"/>
  <c r="R813" i="4" s="1"/>
  <c r="AD813" i="4" s="1"/>
  <c r="Q813" i="4"/>
  <c r="W813" i="4" s="1"/>
  <c r="Y813" i="4" s="1"/>
  <c r="AB813" i="4"/>
  <c r="F814" i="4"/>
  <c r="R814" i="4" s="1"/>
  <c r="AD814" i="4" s="1"/>
  <c r="Q814" i="4"/>
  <c r="W814" i="4" s="1"/>
  <c r="Y814" i="4" s="1"/>
  <c r="AB814" i="4"/>
  <c r="F815" i="4"/>
  <c r="R815" i="4" s="1"/>
  <c r="AD815" i="4" s="1"/>
  <c r="Q815" i="4"/>
  <c r="W815" i="4" s="1"/>
  <c r="Y815" i="4" s="1"/>
  <c r="AB815" i="4"/>
  <c r="F816" i="4"/>
  <c r="Q816" i="4"/>
  <c r="W816" i="4" s="1"/>
  <c r="Y816" i="4" s="1"/>
  <c r="AB816" i="4"/>
  <c r="F817" i="4"/>
  <c r="R817" i="4" s="1"/>
  <c r="AD817" i="4" s="1"/>
  <c r="Q817" i="4"/>
  <c r="W817" i="4" s="1"/>
  <c r="Y817" i="4" s="1"/>
  <c r="AB817" i="4"/>
  <c r="F818" i="4"/>
  <c r="R818" i="4" s="1"/>
  <c r="AD818" i="4" s="1"/>
  <c r="Q818" i="4"/>
  <c r="W818" i="4" s="1"/>
  <c r="Y818" i="4" s="1"/>
  <c r="AB818" i="4"/>
  <c r="F819" i="4"/>
  <c r="Q819" i="4"/>
  <c r="W819" i="4" s="1"/>
  <c r="Y819" i="4" s="1"/>
  <c r="AB819" i="4"/>
  <c r="F820" i="4"/>
  <c r="Q820" i="4"/>
  <c r="W820" i="4" s="1"/>
  <c r="Y820" i="4" s="1"/>
  <c r="AB820" i="4"/>
  <c r="F821" i="4"/>
  <c r="R821" i="4" s="1"/>
  <c r="AD821" i="4" s="1"/>
  <c r="Q821" i="4"/>
  <c r="W821" i="4" s="1"/>
  <c r="Y821" i="4" s="1"/>
  <c r="AB821" i="4"/>
  <c r="F822" i="4"/>
  <c r="R822" i="4" s="1"/>
  <c r="AD822" i="4" s="1"/>
  <c r="Q822" i="4"/>
  <c r="W822" i="4" s="1"/>
  <c r="Y822" i="4" s="1"/>
  <c r="AB822" i="4"/>
  <c r="Q228" i="4"/>
  <c r="F250" i="4"/>
  <c r="Q250" i="4"/>
  <c r="AB250" i="4"/>
  <c r="F251" i="4"/>
  <c r="Q251" i="4"/>
  <c r="AB251" i="4"/>
  <c r="F252" i="4"/>
  <c r="R252" i="4" s="1"/>
  <c r="AD252" i="4" s="1"/>
  <c r="Q252" i="4"/>
  <c r="AB252" i="4"/>
  <c r="F862" i="4"/>
  <c r="AB862" i="4"/>
  <c r="F225" i="4"/>
  <c r="Q225" i="4"/>
  <c r="AB225" i="4"/>
  <c r="F226" i="4"/>
  <c r="R226" i="4" s="1"/>
  <c r="AD226" i="4" s="1"/>
  <c r="Q226" i="4"/>
  <c r="AB226" i="4"/>
  <c r="F227" i="4"/>
  <c r="Q227" i="4"/>
  <c r="AB227" i="4"/>
  <c r="F228" i="4"/>
  <c r="AB228" i="4"/>
  <c r="F229" i="4"/>
  <c r="Q229" i="4"/>
  <c r="AB229" i="4"/>
  <c r="F230" i="4"/>
  <c r="Q230" i="4"/>
  <c r="AB230" i="4"/>
  <c r="F231" i="4"/>
  <c r="R231" i="4" s="1"/>
  <c r="AD231" i="4" s="1"/>
  <c r="Q231" i="4"/>
  <c r="AB231" i="4"/>
  <c r="F232" i="4"/>
  <c r="Q232" i="4"/>
  <c r="AB232" i="4"/>
  <c r="F233" i="4"/>
  <c r="Q233" i="4"/>
  <c r="AB233" i="4"/>
  <c r="F234" i="4"/>
  <c r="R234" i="4" s="1"/>
  <c r="AD234" i="4" s="1"/>
  <c r="Q234" i="4"/>
  <c r="AB234" i="4"/>
  <c r="F235" i="4"/>
  <c r="Q235" i="4"/>
  <c r="AB235" i="4"/>
  <c r="F236" i="4"/>
  <c r="Q236" i="4"/>
  <c r="AB236" i="4"/>
  <c r="F237" i="4"/>
  <c r="Q237" i="4"/>
  <c r="AB237" i="4"/>
  <c r="F238" i="4"/>
  <c r="R238" i="4" s="1"/>
  <c r="AD238" i="4" s="1"/>
  <c r="Q238" i="4"/>
  <c r="AB238" i="4"/>
  <c r="F239" i="4"/>
  <c r="Q239" i="4"/>
  <c r="AB239" i="4"/>
  <c r="F240" i="4"/>
  <c r="Q240" i="4"/>
  <c r="AB240" i="4"/>
  <c r="F241" i="4"/>
  <c r="Q241" i="4"/>
  <c r="AB241" i="4"/>
  <c r="F242" i="4"/>
  <c r="R242" i="4" s="1"/>
  <c r="AD242" i="4" s="1"/>
  <c r="Q242" i="4"/>
  <c r="AB242" i="4"/>
  <c r="F243" i="4"/>
  <c r="Q243" i="4"/>
  <c r="AB243" i="4"/>
  <c r="F244" i="4"/>
  <c r="Q244" i="4"/>
  <c r="AB244" i="4"/>
  <c r="F245" i="4"/>
  <c r="Q245" i="4"/>
  <c r="AB245" i="4"/>
  <c r="F246" i="4"/>
  <c r="R246" i="4" s="1"/>
  <c r="AD246" i="4" s="1"/>
  <c r="Q246" i="4"/>
  <c r="AB246" i="4"/>
  <c r="Q247" i="4"/>
  <c r="AB247" i="4"/>
  <c r="F248" i="4"/>
  <c r="Q248" i="4"/>
  <c r="AB248" i="4"/>
  <c r="F249" i="4"/>
  <c r="R249" i="4" s="1"/>
  <c r="AD249" i="4" s="1"/>
  <c r="Q249" i="4"/>
  <c r="AB249" i="4"/>
  <c r="G149" i="4"/>
  <c r="F141" i="4"/>
  <c r="Q141" i="4"/>
  <c r="W141" i="4" s="1"/>
  <c r="Y141" i="4" s="1"/>
  <c r="AB141" i="4"/>
  <c r="A524" i="9" l="1"/>
  <c r="A526" i="9" s="1"/>
  <c r="A528" i="9" s="1"/>
  <c r="A529" i="9" s="1"/>
  <c r="A530" i="9" s="1"/>
  <c r="A531" i="9" s="1"/>
  <c r="A532" i="9" s="1"/>
  <c r="G964" i="4"/>
  <c r="G12" i="4"/>
  <c r="G10" i="4"/>
  <c r="G906" i="4"/>
  <c r="G491" i="4"/>
  <c r="G5" i="4"/>
  <c r="G6" i="4"/>
  <c r="V5" i="4"/>
  <c r="G9" i="4"/>
  <c r="S909" i="4"/>
  <c r="R909" i="4"/>
  <c r="Y861" i="4"/>
  <c r="Y8" i="4" s="1"/>
  <c r="Z8" i="4" s="1"/>
  <c r="AE620" i="4"/>
  <c r="AD620" i="4"/>
  <c r="W891" i="4"/>
  <c r="Y891" i="4" s="1"/>
  <c r="Y884" i="4" s="1"/>
  <c r="Y7" i="4" s="1"/>
  <c r="Z7" i="4" s="1"/>
  <c r="Y348" i="4"/>
  <c r="Y334" i="4"/>
  <c r="Y475" i="4"/>
  <c r="Y701" i="4"/>
  <c r="Y774" i="4"/>
  <c r="AD810" i="4"/>
  <c r="Y809" i="4"/>
  <c r="AC966" i="4"/>
  <c r="Y966" i="4"/>
  <c r="O51" i="5"/>
  <c r="N69" i="5"/>
  <c r="V918" i="4"/>
  <c r="V1060" i="4" s="1"/>
  <c r="AE1050" i="4"/>
  <c r="AE1046" i="4"/>
  <c r="AE1042" i="4"/>
  <c r="AE1038" i="4"/>
  <c r="AE859" i="4"/>
  <c r="AE1057" i="4"/>
  <c r="AE1037" i="4"/>
  <c r="AE1008" i="4"/>
  <c r="AE1004" i="4"/>
  <c r="Y685" i="4"/>
  <c r="AC685" i="4"/>
  <c r="Y671" i="4"/>
  <c r="AC671" i="4"/>
  <c r="Y656" i="4"/>
  <c r="AC656" i="4"/>
  <c r="Y628" i="4"/>
  <c r="AC628" i="4"/>
  <c r="Y622" i="4"/>
  <c r="AC622" i="4"/>
  <c r="Y928" i="4"/>
  <c r="Y694" i="4"/>
  <c r="AC694" i="4"/>
  <c r="Y692" i="4"/>
  <c r="AC692" i="4"/>
  <c r="Y690" i="4"/>
  <c r="AC690" i="4"/>
  <c r="Y662" i="4"/>
  <c r="AC662" i="4"/>
  <c r="Y660" i="4"/>
  <c r="AC660" i="4"/>
  <c r="Y658" i="4"/>
  <c r="AC658" i="4"/>
  <c r="Y653" i="4"/>
  <c r="AC653" i="4"/>
  <c r="Y651" i="4"/>
  <c r="AC651" i="4"/>
  <c r="Y630" i="4"/>
  <c r="AC630" i="4"/>
  <c r="Y619" i="4"/>
  <c r="AC619" i="4"/>
  <c r="Y616" i="4"/>
  <c r="AC616" i="4"/>
  <c r="Y614" i="4"/>
  <c r="AC614" i="4"/>
  <c r="AE828" i="4"/>
  <c r="AE1058" i="4"/>
  <c r="AE1054" i="4"/>
  <c r="AE1032" i="4"/>
  <c r="AE1028" i="4"/>
  <c r="AE1024" i="4"/>
  <c r="AE1020" i="4"/>
  <c r="AE1016" i="4"/>
  <c r="AE1012" i="4"/>
  <c r="Y920" i="4"/>
  <c r="Y698" i="4"/>
  <c r="AC698" i="4"/>
  <c r="S139" i="5"/>
  <c r="K144" i="5"/>
  <c r="Y683" i="4"/>
  <c r="AC683" i="4"/>
  <c r="Y639" i="4"/>
  <c r="AC639" i="4"/>
  <c r="Y686" i="4"/>
  <c r="AC686" i="4"/>
  <c r="Y684" i="4"/>
  <c r="AC684" i="4"/>
  <c r="Y682" i="4"/>
  <c r="AC682" i="4"/>
  <c r="Y676" i="4"/>
  <c r="AC676" i="4"/>
  <c r="Y670" i="4"/>
  <c r="AC670" i="4"/>
  <c r="Y664" i="4"/>
  <c r="AC664" i="4"/>
  <c r="Y655" i="4"/>
  <c r="AC655" i="4"/>
  <c r="Y642" i="4"/>
  <c r="AC642" i="4"/>
  <c r="Y640" i="4"/>
  <c r="AC640" i="4"/>
  <c r="Y638" i="4"/>
  <c r="AC638" i="4"/>
  <c r="Y621" i="4"/>
  <c r="AC621" i="4"/>
  <c r="Y916" i="4"/>
  <c r="AC916" i="4"/>
  <c r="Y914" i="4"/>
  <c r="AC914" i="4"/>
  <c r="Y699" i="4"/>
  <c r="AC699" i="4"/>
  <c r="Y669" i="4"/>
  <c r="AC669" i="4"/>
  <c r="Y641" i="4"/>
  <c r="AC641" i="4"/>
  <c r="Y637" i="4"/>
  <c r="AC637" i="4"/>
  <c r="Y625" i="4"/>
  <c r="AC625" i="4"/>
  <c r="Y697" i="4"/>
  <c r="AC697" i="4"/>
  <c r="Y695" i="4"/>
  <c r="AC695" i="4"/>
  <c r="Y693" i="4"/>
  <c r="AC693" i="4"/>
  <c r="Y691" i="4"/>
  <c r="AC691" i="4"/>
  <c r="AC678" i="4"/>
  <c r="Y661" i="4"/>
  <c r="AC661" i="4"/>
  <c r="Y659" i="4"/>
  <c r="AC659" i="4"/>
  <c r="Y652" i="4"/>
  <c r="AC652" i="4"/>
  <c r="Y650" i="4"/>
  <c r="AC650" i="4"/>
  <c r="Y631" i="4"/>
  <c r="AC631" i="4"/>
  <c r="Y617" i="4"/>
  <c r="AC617" i="4"/>
  <c r="Y615" i="4"/>
  <c r="AC615" i="4"/>
  <c r="AE1019" i="4"/>
  <c r="AE1003" i="4"/>
  <c r="AE995" i="4"/>
  <c r="AE987" i="4"/>
  <c r="AE979" i="4"/>
  <c r="AE971" i="4"/>
  <c r="Y929" i="4"/>
  <c r="Y915" i="4"/>
  <c r="AC915" i="4"/>
  <c r="J24" i="5"/>
  <c r="R112" i="5"/>
  <c r="N113" i="5"/>
  <c r="S87" i="5"/>
  <c r="S91" i="5"/>
  <c r="S94" i="5"/>
  <c r="N103" i="5"/>
  <c r="R50" i="5"/>
  <c r="N51" i="5"/>
  <c r="S103" i="5"/>
  <c r="W923" i="4"/>
  <c r="W924" i="4"/>
  <c r="W921" i="4"/>
  <c r="W925" i="4"/>
  <c r="W922" i="4"/>
  <c r="Y453" i="4"/>
  <c r="AB364" i="4"/>
  <c r="Y751" i="4"/>
  <c r="S760" i="4"/>
  <c r="W760" i="4"/>
  <c r="Y760" i="4" s="1"/>
  <c r="Y759" i="4" s="1"/>
  <c r="Y789" i="4"/>
  <c r="K34" i="5"/>
  <c r="K80" i="5"/>
  <c r="J106" i="5"/>
  <c r="S38" i="5"/>
  <c r="N43" i="5"/>
  <c r="S58" i="5"/>
  <c r="S62" i="5"/>
  <c r="J86" i="5"/>
  <c r="J112" i="5"/>
  <c r="R114" i="5"/>
  <c r="S128" i="5"/>
  <c r="R154" i="5"/>
  <c r="S158" i="5"/>
  <c r="J164" i="5"/>
  <c r="S13" i="5"/>
  <c r="N15" i="5"/>
  <c r="R62" i="5"/>
  <c r="N65" i="5"/>
  <c r="K86" i="5"/>
  <c r="R128" i="5"/>
  <c r="K134" i="5"/>
  <c r="S164" i="5"/>
  <c r="O681" i="4"/>
  <c r="K681" i="4"/>
  <c r="S851" i="4"/>
  <c r="S840" i="4"/>
  <c r="S836" i="4"/>
  <c r="R997" i="4"/>
  <c r="AD997" i="4" s="1"/>
  <c r="AE997" i="4" s="1"/>
  <c r="S1019" i="4"/>
  <c r="S845" i="4"/>
  <c r="N9" i="5"/>
  <c r="N21" i="5"/>
  <c r="O36" i="5"/>
  <c r="S75" i="5"/>
  <c r="S76" i="5"/>
  <c r="S78" i="5"/>
  <c r="J80" i="5"/>
  <c r="O131" i="5"/>
  <c r="R136" i="5"/>
  <c r="O139" i="5"/>
  <c r="S170" i="5"/>
  <c r="O172" i="5"/>
  <c r="S63" i="5"/>
  <c r="R108" i="5"/>
  <c r="S172" i="5"/>
  <c r="S996" i="4"/>
  <c r="S995" i="4"/>
  <c r="J10" i="5"/>
  <c r="K24" i="5"/>
  <c r="S43" i="5"/>
  <c r="R54" i="5"/>
  <c r="S55" i="5"/>
  <c r="O56" i="5"/>
  <c r="O68" i="5"/>
  <c r="S80" i="5"/>
  <c r="N83" i="5"/>
  <c r="O103" i="5"/>
  <c r="S112" i="5"/>
  <c r="R120" i="5"/>
  <c r="J126" i="5"/>
  <c r="S134" i="5"/>
  <c r="K136" i="5"/>
  <c r="S144" i="5"/>
  <c r="S154" i="5"/>
  <c r="S662" i="4"/>
  <c r="S1020" i="4"/>
  <c r="S1007" i="4"/>
  <c r="S1026" i="4"/>
  <c r="S847" i="4"/>
  <c r="R841" i="4"/>
  <c r="AD841" i="4" s="1"/>
  <c r="AE841" i="4" s="1"/>
  <c r="S1018" i="4"/>
  <c r="S1003" i="4"/>
  <c r="S997" i="4"/>
  <c r="R831" i="4"/>
  <c r="AD831" i="4" s="1"/>
  <c r="AE831" i="4" s="1"/>
  <c r="R985" i="4"/>
  <c r="AD985" i="4" s="1"/>
  <c r="AE985" i="4" s="1"/>
  <c r="R837" i="4"/>
  <c r="AD837" i="4" s="1"/>
  <c r="AE837" i="4" s="1"/>
  <c r="J34" i="5"/>
  <c r="O43" i="5"/>
  <c r="J54" i="5"/>
  <c r="J68" i="5"/>
  <c r="R80" i="5"/>
  <c r="N87" i="5"/>
  <c r="R94" i="5"/>
  <c r="S107" i="5"/>
  <c r="J134" i="5"/>
  <c r="S142" i="5"/>
  <c r="J144" i="5"/>
  <c r="J170" i="5"/>
  <c r="O25" i="5"/>
  <c r="R28" i="5"/>
  <c r="S30" i="5"/>
  <c r="J32" i="5"/>
  <c r="S90" i="5"/>
  <c r="S140" i="5"/>
  <c r="J142" i="5"/>
  <c r="K166" i="5"/>
  <c r="S16" i="5"/>
  <c r="S18" i="5"/>
  <c r="J20" i="5"/>
  <c r="O88" i="5"/>
  <c r="N121" i="5"/>
  <c r="S135" i="5"/>
  <c r="O140" i="5"/>
  <c r="S147" i="5"/>
  <c r="R164" i="5"/>
  <c r="J166" i="5"/>
  <c r="K28" i="5"/>
  <c r="S10" i="5"/>
  <c r="O12" i="5"/>
  <c r="J28" i="5"/>
  <c r="S56" i="5"/>
  <c r="J58" i="5"/>
  <c r="J70" i="5"/>
  <c r="S95" i="5"/>
  <c r="N99" i="5"/>
  <c r="S108" i="5"/>
  <c r="K126" i="5"/>
  <c r="S131" i="5"/>
  <c r="K164" i="5"/>
  <c r="N129" i="5"/>
  <c r="J136" i="5"/>
  <c r="S174" i="5"/>
  <c r="S176" i="5"/>
  <c r="S178" i="5"/>
  <c r="S180" i="5"/>
  <c r="K54" i="5"/>
  <c r="K68" i="5"/>
  <c r="R82" i="5"/>
  <c r="O87" i="5"/>
  <c r="S9" i="5"/>
  <c r="K10" i="5"/>
  <c r="S22" i="5"/>
  <c r="R40" i="5"/>
  <c r="J42" i="5"/>
  <c r="R48" i="5"/>
  <c r="R52" i="5"/>
  <c r="N55" i="5"/>
  <c r="K58" i="5"/>
  <c r="K70" i="5"/>
  <c r="O83" i="5"/>
  <c r="S88" i="5"/>
  <c r="J90" i="5"/>
  <c r="J102" i="5"/>
  <c r="K112" i="5"/>
  <c r="O115" i="5"/>
  <c r="J120" i="5"/>
  <c r="O123" i="5"/>
  <c r="S126" i="5"/>
  <c r="J128" i="5"/>
  <c r="N137" i="5"/>
  <c r="K142" i="5"/>
  <c r="K170" i="5"/>
  <c r="S48" i="5"/>
  <c r="S71" i="5"/>
  <c r="O84" i="5"/>
  <c r="R96" i="5"/>
  <c r="S99" i="5"/>
  <c r="R100" i="5"/>
  <c r="S118" i="5"/>
  <c r="R168" i="5"/>
  <c r="S19" i="5"/>
  <c r="R20" i="5"/>
  <c r="S23" i="5"/>
  <c r="O29" i="5"/>
  <c r="R32" i="5"/>
  <c r="S35" i="5"/>
  <c r="K40" i="5"/>
  <c r="K48" i="5"/>
  <c r="O52" i="5"/>
  <c r="R64" i="5"/>
  <c r="S67" i="5"/>
  <c r="R68" i="5"/>
  <c r="O71" i="5"/>
  <c r="S74" i="5"/>
  <c r="K84" i="5"/>
  <c r="S106" i="5"/>
  <c r="K118" i="5"/>
  <c r="S124" i="5"/>
  <c r="S143" i="5"/>
  <c r="K146" i="5"/>
  <c r="S151" i="5"/>
  <c r="R162" i="5"/>
  <c r="S168" i="5"/>
  <c r="S20" i="5"/>
  <c r="R24" i="5"/>
  <c r="S32" i="5"/>
  <c r="O35" i="5"/>
  <c r="J40" i="5"/>
  <c r="S44" i="5"/>
  <c r="S46" i="5"/>
  <c r="J48" i="5"/>
  <c r="K52" i="5"/>
  <c r="S59" i="5"/>
  <c r="N71" i="5"/>
  <c r="K74" i="5"/>
  <c r="N81" i="5"/>
  <c r="J84" i="5"/>
  <c r="N85" i="5"/>
  <c r="R86" i="5"/>
  <c r="K96" i="5"/>
  <c r="O99" i="5"/>
  <c r="O100" i="5"/>
  <c r="K106" i="5"/>
  <c r="J118" i="5"/>
  <c r="O124" i="5"/>
  <c r="R130" i="5"/>
  <c r="R144" i="5"/>
  <c r="J146" i="5"/>
  <c r="O151" i="5"/>
  <c r="R158" i="5"/>
  <c r="O168" i="5"/>
  <c r="K20" i="5"/>
  <c r="K32" i="5"/>
  <c r="N35" i="5"/>
  <c r="R38" i="5"/>
  <c r="O44" i="5"/>
  <c r="N49" i="5"/>
  <c r="J52" i="5"/>
  <c r="N53" i="5"/>
  <c r="K64" i="5"/>
  <c r="O67" i="5"/>
  <c r="J74" i="5"/>
  <c r="J96" i="5"/>
  <c r="K100" i="5"/>
  <c r="S119" i="5"/>
  <c r="K168" i="5"/>
  <c r="J64" i="5"/>
  <c r="N67" i="5"/>
  <c r="O72" i="5"/>
  <c r="N97" i="5"/>
  <c r="J100" i="5"/>
  <c r="N101" i="5"/>
  <c r="O147" i="5"/>
  <c r="O156" i="5"/>
  <c r="J168" i="5"/>
  <c r="R22" i="5"/>
  <c r="S39" i="5"/>
  <c r="K42" i="5"/>
  <c r="O55" i="5"/>
  <c r="R84" i="5"/>
  <c r="K90" i="5"/>
  <c r="K102" i="5"/>
  <c r="S115" i="5"/>
  <c r="K120" i="5"/>
  <c r="S123" i="5"/>
  <c r="K128" i="5"/>
  <c r="R150" i="5"/>
  <c r="K8" i="5"/>
  <c r="R10" i="5"/>
  <c r="J12" i="5"/>
  <c r="N13" i="5"/>
  <c r="K14" i="5"/>
  <c r="J18" i="5"/>
  <c r="O19" i="5"/>
  <c r="O20" i="5"/>
  <c r="K26" i="5"/>
  <c r="J30" i="5"/>
  <c r="O31" i="5"/>
  <c r="O32" i="5"/>
  <c r="J36" i="5"/>
  <c r="S42" i="5"/>
  <c r="R44" i="5"/>
  <c r="J46" i="5"/>
  <c r="O47" i="5"/>
  <c r="O48" i="5"/>
  <c r="S54" i="5"/>
  <c r="R56" i="5"/>
  <c r="N59" i="5"/>
  <c r="K60" i="5"/>
  <c r="K66" i="5"/>
  <c r="S68" i="5"/>
  <c r="J72" i="5"/>
  <c r="N73" i="5"/>
  <c r="R74" i="5"/>
  <c r="J78" i="5"/>
  <c r="O79" i="5"/>
  <c r="O80" i="5"/>
  <c r="S86" i="5"/>
  <c r="R88" i="5"/>
  <c r="N91" i="5"/>
  <c r="K92" i="5"/>
  <c r="K98" i="5"/>
  <c r="S100" i="5"/>
  <c r="J104" i="5"/>
  <c r="N105" i="5"/>
  <c r="R106" i="5"/>
  <c r="J110" i="5"/>
  <c r="O111" i="5"/>
  <c r="O112" i="5"/>
  <c r="J116" i="5"/>
  <c r="N117" i="5"/>
  <c r="R118" i="5"/>
  <c r="K122" i="5"/>
  <c r="R124" i="5"/>
  <c r="O127" i="5"/>
  <c r="O128" i="5"/>
  <c r="J132" i="5"/>
  <c r="N133" i="5"/>
  <c r="R134" i="5"/>
  <c r="K138" i="5"/>
  <c r="R140" i="5"/>
  <c r="O143" i="5"/>
  <c r="O144" i="5"/>
  <c r="K148" i="5"/>
  <c r="J152" i="5"/>
  <c r="J156" i="5"/>
  <c r="K160" i="5"/>
  <c r="O164" i="5"/>
  <c r="R172" i="5"/>
  <c r="J174" i="5"/>
  <c r="J178" i="5"/>
  <c r="K182" i="5"/>
  <c r="J8" i="5"/>
  <c r="J14" i="5"/>
  <c r="R16" i="5"/>
  <c r="N19" i="5"/>
  <c r="J26" i="5"/>
  <c r="N31" i="5"/>
  <c r="N47" i="5"/>
  <c r="J60" i="5"/>
  <c r="N61" i="5"/>
  <c r="J66" i="5"/>
  <c r="R76" i="5"/>
  <c r="N79" i="5"/>
  <c r="J92" i="5"/>
  <c r="N93" i="5"/>
  <c r="J98" i="5"/>
  <c r="N111" i="5"/>
  <c r="J122" i="5"/>
  <c r="J138" i="5"/>
  <c r="J148" i="5"/>
  <c r="J160" i="5"/>
  <c r="R176" i="5"/>
  <c r="R180" i="5"/>
  <c r="J182" i="5"/>
  <c r="O16" i="5"/>
  <c r="K22" i="5"/>
  <c r="S24" i="5"/>
  <c r="S28" i="5"/>
  <c r="R34" i="5"/>
  <c r="K38" i="5"/>
  <c r="S40" i="5"/>
  <c r="K44" i="5"/>
  <c r="S50" i="5"/>
  <c r="S51" i="5"/>
  <c r="K56" i="5"/>
  <c r="K62" i="5"/>
  <c r="S64" i="5"/>
  <c r="R70" i="5"/>
  <c r="O75" i="5"/>
  <c r="O76" i="5"/>
  <c r="S82" i="5"/>
  <c r="S83" i="5"/>
  <c r="K88" i="5"/>
  <c r="K94" i="5"/>
  <c r="S96" i="5"/>
  <c r="R102" i="5"/>
  <c r="O107" i="5"/>
  <c r="O108" i="5"/>
  <c r="S114" i="5"/>
  <c r="S120" i="5"/>
  <c r="K124" i="5"/>
  <c r="S130" i="5"/>
  <c r="S136" i="5"/>
  <c r="K140" i="5"/>
  <c r="R146" i="5"/>
  <c r="S150" i="5"/>
  <c r="K154" i="5"/>
  <c r="K158" i="5"/>
  <c r="S162" i="5"/>
  <c r="R166" i="5"/>
  <c r="K172" i="5"/>
  <c r="O176" i="5"/>
  <c r="O180" i="5"/>
  <c r="R12" i="5"/>
  <c r="K16" i="5"/>
  <c r="J22" i="5"/>
  <c r="O23" i="5"/>
  <c r="O24" i="5"/>
  <c r="O28" i="5"/>
  <c r="S34" i="5"/>
  <c r="R36" i="5"/>
  <c r="J38" i="5"/>
  <c r="O39" i="5"/>
  <c r="O40" i="5"/>
  <c r="J44" i="5"/>
  <c r="K50" i="5"/>
  <c r="S52" i="5"/>
  <c r="J56" i="5"/>
  <c r="N57" i="5"/>
  <c r="R58" i="5"/>
  <c r="J62" i="5"/>
  <c r="O63" i="5"/>
  <c r="O64" i="5"/>
  <c r="S70" i="5"/>
  <c r="R72" i="5"/>
  <c r="N75" i="5"/>
  <c r="K76" i="5"/>
  <c r="K82" i="5"/>
  <c r="S84" i="5"/>
  <c r="J88" i="5"/>
  <c r="N89" i="5"/>
  <c r="R90" i="5"/>
  <c r="J94" i="5"/>
  <c r="O95" i="5"/>
  <c r="O96" i="5"/>
  <c r="S102" i="5"/>
  <c r="R104" i="5"/>
  <c r="N107" i="5"/>
  <c r="K108" i="5"/>
  <c r="K114" i="5"/>
  <c r="R116" i="5"/>
  <c r="O119" i="5"/>
  <c r="O120" i="5"/>
  <c r="J124" i="5"/>
  <c r="N125" i="5"/>
  <c r="R126" i="5"/>
  <c r="K130" i="5"/>
  <c r="R132" i="5"/>
  <c r="O135" i="5"/>
  <c r="O136" i="5"/>
  <c r="J140" i="5"/>
  <c r="N141" i="5"/>
  <c r="R142" i="5"/>
  <c r="S146" i="5"/>
  <c r="K150" i="5"/>
  <c r="R152" i="5"/>
  <c r="J154" i="5"/>
  <c r="R156" i="5"/>
  <c r="J158" i="5"/>
  <c r="K162" i="5"/>
  <c r="S166" i="5"/>
  <c r="R170" i="5"/>
  <c r="J172" i="5"/>
  <c r="K176" i="5"/>
  <c r="K180" i="5"/>
  <c r="S12" i="5"/>
  <c r="J16" i="5"/>
  <c r="O17" i="5"/>
  <c r="R18" i="5"/>
  <c r="R30" i="5"/>
  <c r="S36" i="5"/>
  <c r="N39" i="5"/>
  <c r="R46" i="5"/>
  <c r="J50" i="5"/>
  <c r="R60" i="5"/>
  <c r="N63" i="5"/>
  <c r="S72" i="5"/>
  <c r="J76" i="5"/>
  <c r="N77" i="5"/>
  <c r="R78" i="5"/>
  <c r="J82" i="5"/>
  <c r="R92" i="5"/>
  <c r="N95" i="5"/>
  <c r="S104" i="5"/>
  <c r="J108" i="5"/>
  <c r="N109" i="5"/>
  <c r="R110" i="5"/>
  <c r="J114" i="5"/>
  <c r="S116" i="5"/>
  <c r="J130" i="5"/>
  <c r="S132" i="5"/>
  <c r="R148" i="5"/>
  <c r="J150" i="5"/>
  <c r="S152" i="5"/>
  <c r="O155" i="5"/>
  <c r="S156" i="5"/>
  <c r="R160" i="5"/>
  <c r="J162" i="5"/>
  <c r="R174" i="5"/>
  <c r="J176" i="5"/>
  <c r="O177" i="5"/>
  <c r="R178" i="5"/>
  <c r="J180" i="5"/>
  <c r="R8" i="5"/>
  <c r="R14" i="5"/>
  <c r="R26" i="5"/>
  <c r="S31" i="5"/>
  <c r="S47" i="5"/>
  <c r="S60" i="5"/>
  <c r="R66" i="5"/>
  <c r="S79" i="5"/>
  <c r="S92" i="5"/>
  <c r="R98" i="5"/>
  <c r="O104" i="5"/>
  <c r="S110" i="5"/>
  <c r="S111" i="5"/>
  <c r="O116" i="5"/>
  <c r="R122" i="5"/>
  <c r="S127" i="5"/>
  <c r="O132" i="5"/>
  <c r="R138" i="5"/>
  <c r="S148" i="5"/>
  <c r="O152" i="5"/>
  <c r="S160" i="5"/>
  <c r="R182" i="5"/>
  <c r="S8" i="5"/>
  <c r="K12" i="5"/>
  <c r="S14" i="5"/>
  <c r="K18" i="5"/>
  <c r="S26" i="5"/>
  <c r="K30" i="5"/>
  <c r="K36" i="5"/>
  <c r="R42" i="5"/>
  <c r="K46" i="5"/>
  <c r="O59" i="5"/>
  <c r="O60" i="5"/>
  <c r="S66" i="5"/>
  <c r="K72" i="5"/>
  <c r="K78" i="5"/>
  <c r="O91" i="5"/>
  <c r="O92" i="5"/>
  <c r="S98" i="5"/>
  <c r="K104" i="5"/>
  <c r="K110" i="5"/>
  <c r="K116" i="5"/>
  <c r="S122" i="5"/>
  <c r="K132" i="5"/>
  <c r="S138" i="5"/>
  <c r="O148" i="5"/>
  <c r="K152" i="5"/>
  <c r="K156" i="5"/>
  <c r="O160" i="5"/>
  <c r="K174" i="5"/>
  <c r="K178" i="5"/>
  <c r="S182" i="5"/>
  <c r="R29" i="5"/>
  <c r="J29" i="5"/>
  <c r="K29" i="5"/>
  <c r="S33" i="5"/>
  <c r="S41" i="5"/>
  <c r="R9" i="5"/>
  <c r="J9" i="5"/>
  <c r="K9" i="5"/>
  <c r="K19" i="5"/>
  <c r="R19" i="5"/>
  <c r="J19" i="5"/>
  <c r="O11" i="5"/>
  <c r="S25" i="5"/>
  <c r="R21" i="5"/>
  <c r="J21" i="5"/>
  <c r="K21" i="5"/>
  <c r="S15" i="5"/>
  <c r="K11" i="5"/>
  <c r="R11" i="5"/>
  <c r="J11" i="5"/>
  <c r="R33" i="5"/>
  <c r="J33" i="5"/>
  <c r="K33" i="5"/>
  <c r="O33" i="5"/>
  <c r="R41" i="5"/>
  <c r="J41" i="5"/>
  <c r="K41" i="5"/>
  <c r="O41" i="5"/>
  <c r="S7" i="5"/>
  <c r="S17" i="5"/>
  <c r="S27" i="5"/>
  <c r="R13" i="5"/>
  <c r="J13" i="5"/>
  <c r="K13" i="5"/>
  <c r="K23" i="5"/>
  <c r="R23" i="5"/>
  <c r="J23" i="5"/>
  <c r="S29" i="5"/>
  <c r="S37" i="5"/>
  <c r="S45" i="5"/>
  <c r="R25" i="5"/>
  <c r="J25" i="5"/>
  <c r="K25" i="5"/>
  <c r="O7" i="5"/>
  <c r="O27" i="5"/>
  <c r="K15" i="5"/>
  <c r="R15" i="5"/>
  <c r="J15" i="5"/>
  <c r="S21" i="5"/>
  <c r="K7" i="5"/>
  <c r="R7" i="5"/>
  <c r="J7" i="5"/>
  <c r="R17" i="5"/>
  <c r="J17" i="5"/>
  <c r="K17" i="5"/>
  <c r="K27" i="5"/>
  <c r="R27" i="5"/>
  <c r="J27" i="5"/>
  <c r="R37" i="5"/>
  <c r="J37" i="5"/>
  <c r="K37" i="5"/>
  <c r="O37" i="5"/>
  <c r="R45" i="5"/>
  <c r="J45" i="5"/>
  <c r="K45" i="5"/>
  <c r="O45" i="5"/>
  <c r="S11" i="5"/>
  <c r="N10" i="5"/>
  <c r="N14" i="5"/>
  <c r="N18" i="5"/>
  <c r="N22" i="5"/>
  <c r="N26" i="5"/>
  <c r="N30" i="5"/>
  <c r="J31" i="5"/>
  <c r="N34" i="5"/>
  <c r="J35" i="5"/>
  <c r="N38" i="5"/>
  <c r="J39" i="5"/>
  <c r="N42" i="5"/>
  <c r="J43" i="5"/>
  <c r="N46" i="5"/>
  <c r="J47" i="5"/>
  <c r="N50" i="5"/>
  <c r="J51" i="5"/>
  <c r="N54" i="5"/>
  <c r="J55" i="5"/>
  <c r="N58" i="5"/>
  <c r="J59" i="5"/>
  <c r="N62" i="5"/>
  <c r="J63" i="5"/>
  <c r="N66" i="5"/>
  <c r="J67" i="5"/>
  <c r="N70" i="5"/>
  <c r="J71" i="5"/>
  <c r="N74" i="5"/>
  <c r="J75" i="5"/>
  <c r="N78" i="5"/>
  <c r="J79" i="5"/>
  <c r="N82" i="5"/>
  <c r="J83" i="5"/>
  <c r="N86" i="5"/>
  <c r="J87" i="5"/>
  <c r="N90" i="5"/>
  <c r="J91" i="5"/>
  <c r="N94" i="5"/>
  <c r="J95" i="5"/>
  <c r="N98" i="5"/>
  <c r="J99" i="5"/>
  <c r="N102" i="5"/>
  <c r="J103" i="5"/>
  <c r="N106" i="5"/>
  <c r="J107" i="5"/>
  <c r="N110" i="5"/>
  <c r="J111" i="5"/>
  <c r="N114" i="5"/>
  <c r="J115" i="5"/>
  <c r="N118" i="5"/>
  <c r="J119" i="5"/>
  <c r="N122" i="5"/>
  <c r="J123" i="5"/>
  <c r="N126" i="5"/>
  <c r="J127" i="5"/>
  <c r="N130" i="5"/>
  <c r="J131" i="5"/>
  <c r="N134" i="5"/>
  <c r="J135" i="5"/>
  <c r="N138" i="5"/>
  <c r="J139" i="5"/>
  <c r="N142" i="5"/>
  <c r="J143" i="5"/>
  <c r="N146" i="5"/>
  <c r="J147" i="5"/>
  <c r="N150" i="5"/>
  <c r="J151" i="5"/>
  <c r="N154" i="5"/>
  <c r="J155" i="5"/>
  <c r="N158" i="5"/>
  <c r="J159" i="5"/>
  <c r="N162" i="5"/>
  <c r="J163" i="5"/>
  <c r="N166" i="5"/>
  <c r="J167" i="5"/>
  <c r="N170" i="5"/>
  <c r="J171" i="5"/>
  <c r="N174" i="5"/>
  <c r="J175" i="5"/>
  <c r="N178" i="5"/>
  <c r="J179" i="5"/>
  <c r="N182" i="5"/>
  <c r="J183" i="5"/>
  <c r="O49" i="5"/>
  <c r="O53" i="5"/>
  <c r="O57" i="5"/>
  <c r="O61" i="5"/>
  <c r="O65" i="5"/>
  <c r="O69" i="5"/>
  <c r="O73" i="5"/>
  <c r="O77" i="5"/>
  <c r="O81" i="5"/>
  <c r="O85" i="5"/>
  <c r="O89" i="5"/>
  <c r="O93" i="5"/>
  <c r="O97" i="5"/>
  <c r="O101" i="5"/>
  <c r="O105" i="5"/>
  <c r="O109" i="5"/>
  <c r="O113" i="5"/>
  <c r="O117" i="5"/>
  <c r="O121" i="5"/>
  <c r="O125" i="5"/>
  <c r="O129" i="5"/>
  <c r="O133" i="5"/>
  <c r="O137" i="5"/>
  <c r="O141" i="5"/>
  <c r="O145" i="5"/>
  <c r="O149" i="5"/>
  <c r="O153" i="5"/>
  <c r="O157" i="5"/>
  <c r="O161" i="5"/>
  <c r="O165" i="5"/>
  <c r="O169" i="5"/>
  <c r="O173" i="5"/>
  <c r="O181" i="5"/>
  <c r="N145" i="5"/>
  <c r="N149" i="5"/>
  <c r="N153" i="5"/>
  <c r="S155" i="5"/>
  <c r="N157" i="5"/>
  <c r="S159" i="5"/>
  <c r="N161" i="5"/>
  <c r="S163" i="5"/>
  <c r="N165" i="5"/>
  <c r="S167" i="5"/>
  <c r="N169" i="5"/>
  <c r="S171" i="5"/>
  <c r="N173" i="5"/>
  <c r="S175" i="5"/>
  <c r="N177" i="5"/>
  <c r="S179" i="5"/>
  <c r="N181" i="5"/>
  <c r="S183" i="5"/>
  <c r="O8" i="5"/>
  <c r="R31" i="5"/>
  <c r="R35" i="5"/>
  <c r="R39" i="5"/>
  <c r="R43" i="5"/>
  <c r="R47" i="5"/>
  <c r="K49" i="5"/>
  <c r="R51" i="5"/>
  <c r="K53" i="5"/>
  <c r="R55" i="5"/>
  <c r="K57" i="5"/>
  <c r="R59" i="5"/>
  <c r="K61" i="5"/>
  <c r="R63" i="5"/>
  <c r="K65" i="5"/>
  <c r="R67" i="5"/>
  <c r="K69" i="5"/>
  <c r="R71" i="5"/>
  <c r="K73" i="5"/>
  <c r="R75" i="5"/>
  <c r="K77" i="5"/>
  <c r="R79" i="5"/>
  <c r="K81" i="5"/>
  <c r="R83" i="5"/>
  <c r="K85" i="5"/>
  <c r="R87" i="5"/>
  <c r="K89" i="5"/>
  <c r="R91" i="5"/>
  <c r="K93" i="5"/>
  <c r="R95" i="5"/>
  <c r="K97" i="5"/>
  <c r="R99" i="5"/>
  <c r="K101" i="5"/>
  <c r="R103" i="5"/>
  <c r="K105" i="5"/>
  <c r="R107" i="5"/>
  <c r="K109" i="5"/>
  <c r="R111" i="5"/>
  <c r="K113" i="5"/>
  <c r="R115" i="5"/>
  <c r="K117" i="5"/>
  <c r="R119" i="5"/>
  <c r="K121" i="5"/>
  <c r="R123" i="5"/>
  <c r="K125" i="5"/>
  <c r="R127" i="5"/>
  <c r="K129" i="5"/>
  <c r="R131" i="5"/>
  <c r="K133" i="5"/>
  <c r="R135" i="5"/>
  <c r="K137" i="5"/>
  <c r="R139" i="5"/>
  <c r="K141" i="5"/>
  <c r="R143" i="5"/>
  <c r="K145" i="5"/>
  <c r="R147" i="5"/>
  <c r="K149" i="5"/>
  <c r="R151" i="5"/>
  <c r="K153" i="5"/>
  <c r="R155" i="5"/>
  <c r="K157" i="5"/>
  <c r="R159" i="5"/>
  <c r="K161" i="5"/>
  <c r="R163" i="5"/>
  <c r="K165" i="5"/>
  <c r="R167" i="5"/>
  <c r="K169" i="5"/>
  <c r="R171" i="5"/>
  <c r="K173" i="5"/>
  <c r="R175" i="5"/>
  <c r="K177" i="5"/>
  <c r="R179" i="5"/>
  <c r="K181" i="5"/>
  <c r="R183" i="5"/>
  <c r="J49" i="5"/>
  <c r="J53" i="5"/>
  <c r="J57" i="5"/>
  <c r="J61" i="5"/>
  <c r="J65" i="5"/>
  <c r="J69" i="5"/>
  <c r="J73" i="5"/>
  <c r="J77" i="5"/>
  <c r="J81" i="5"/>
  <c r="J85" i="5"/>
  <c r="J89" i="5"/>
  <c r="J93" i="5"/>
  <c r="J97" i="5"/>
  <c r="J101" i="5"/>
  <c r="J105" i="5"/>
  <c r="J109" i="5"/>
  <c r="J113" i="5"/>
  <c r="J117" i="5"/>
  <c r="J121" i="5"/>
  <c r="J125" i="5"/>
  <c r="J129" i="5"/>
  <c r="J133" i="5"/>
  <c r="J137" i="5"/>
  <c r="J141" i="5"/>
  <c r="J145" i="5"/>
  <c r="J149" i="5"/>
  <c r="J153" i="5"/>
  <c r="J157" i="5"/>
  <c r="J161" i="5"/>
  <c r="J165" i="5"/>
  <c r="J169" i="5"/>
  <c r="J173" i="5"/>
  <c r="J177" i="5"/>
  <c r="J181" i="5"/>
  <c r="O159" i="5"/>
  <c r="O163" i="5"/>
  <c r="O167" i="5"/>
  <c r="O171" i="5"/>
  <c r="O175" i="5"/>
  <c r="O179" i="5"/>
  <c r="O183" i="5"/>
  <c r="S49" i="5"/>
  <c r="S53" i="5"/>
  <c r="S57" i="5"/>
  <c r="S61" i="5"/>
  <c r="S65" i="5"/>
  <c r="S69" i="5"/>
  <c r="S73" i="5"/>
  <c r="S77" i="5"/>
  <c r="S81" i="5"/>
  <c r="S85" i="5"/>
  <c r="S89" i="5"/>
  <c r="S93" i="5"/>
  <c r="S97" i="5"/>
  <c r="S101" i="5"/>
  <c r="S105" i="5"/>
  <c r="S109" i="5"/>
  <c r="S113" i="5"/>
  <c r="N115" i="5"/>
  <c r="S117" i="5"/>
  <c r="N119" i="5"/>
  <c r="S121" i="5"/>
  <c r="N123" i="5"/>
  <c r="S125" i="5"/>
  <c r="N127" i="5"/>
  <c r="S129" i="5"/>
  <c r="N131" i="5"/>
  <c r="S133" i="5"/>
  <c r="N135" i="5"/>
  <c r="S137" i="5"/>
  <c r="N139" i="5"/>
  <c r="S141" i="5"/>
  <c r="N143" i="5"/>
  <c r="S145" i="5"/>
  <c r="N147" i="5"/>
  <c r="S149" i="5"/>
  <c r="N151" i="5"/>
  <c r="S153" i="5"/>
  <c r="N155" i="5"/>
  <c r="S157" i="5"/>
  <c r="N159" i="5"/>
  <c r="S161" i="5"/>
  <c r="N163" i="5"/>
  <c r="S165" i="5"/>
  <c r="N167" i="5"/>
  <c r="S169" i="5"/>
  <c r="N171" i="5"/>
  <c r="S173" i="5"/>
  <c r="N175" i="5"/>
  <c r="S177" i="5"/>
  <c r="N179" i="5"/>
  <c r="S181" i="5"/>
  <c r="N183" i="5"/>
  <c r="R832" i="4"/>
  <c r="AD832" i="4" s="1"/>
  <c r="AE832" i="4" s="1"/>
  <c r="R855" i="4"/>
  <c r="AD855" i="4" s="1"/>
  <c r="AE855" i="4" s="1"/>
  <c r="S844" i="4"/>
  <c r="S837" i="4"/>
  <c r="S853" i="4"/>
  <c r="S846" i="4"/>
  <c r="R839" i="4"/>
  <c r="AD839" i="4" s="1"/>
  <c r="AE839" i="4" s="1"/>
  <c r="S841" i="4"/>
  <c r="S838" i="4"/>
  <c r="S854" i="4"/>
  <c r="R847" i="4"/>
  <c r="AD847" i="4" s="1"/>
  <c r="AE847" i="4" s="1"/>
  <c r="S859" i="4"/>
  <c r="R849" i="4"/>
  <c r="AD849" i="4" s="1"/>
  <c r="AE849" i="4" s="1"/>
  <c r="S843" i="4"/>
  <c r="S849" i="4"/>
  <c r="R843" i="4"/>
  <c r="AD843" i="4" s="1"/>
  <c r="AE843" i="4" s="1"/>
  <c r="S842" i="4"/>
  <c r="S852" i="4"/>
  <c r="R853" i="4"/>
  <c r="AD853" i="4" s="1"/>
  <c r="AE853" i="4" s="1"/>
  <c r="S858" i="4"/>
  <c r="S856" i="4"/>
  <c r="S855" i="4"/>
  <c r="R845" i="4"/>
  <c r="AD845" i="4" s="1"/>
  <c r="AE845" i="4" s="1"/>
  <c r="S839" i="4"/>
  <c r="R857" i="4"/>
  <c r="AD857" i="4" s="1"/>
  <c r="AE857" i="4" s="1"/>
  <c r="S857" i="4"/>
  <c r="R851" i="4"/>
  <c r="AD851" i="4" s="1"/>
  <c r="AE851" i="4" s="1"/>
  <c r="S850" i="4"/>
  <c r="S848" i="4"/>
  <c r="S833" i="4"/>
  <c r="S827" i="4"/>
  <c r="R827" i="4"/>
  <c r="AD827" i="4" s="1"/>
  <c r="AE827" i="4" s="1"/>
  <c r="S832" i="4"/>
  <c r="S828" i="4"/>
  <c r="S1057" i="4"/>
  <c r="R1051" i="4"/>
  <c r="AD1051" i="4" s="1"/>
  <c r="AE1051" i="4" s="1"/>
  <c r="S1051" i="4"/>
  <c r="R858" i="4"/>
  <c r="AD858" i="4" s="1"/>
  <c r="AE858" i="4" s="1"/>
  <c r="R854" i="4"/>
  <c r="AD854" i="4" s="1"/>
  <c r="AE854" i="4" s="1"/>
  <c r="R850" i="4"/>
  <c r="AD850" i="4" s="1"/>
  <c r="AE850" i="4" s="1"/>
  <c r="R846" i="4"/>
  <c r="AD846" i="4" s="1"/>
  <c r="AE846" i="4" s="1"/>
  <c r="R842" i="4"/>
  <c r="AD842" i="4" s="1"/>
  <c r="AE842" i="4" s="1"/>
  <c r="R838" i="4"/>
  <c r="AD838" i="4" s="1"/>
  <c r="AE838" i="4" s="1"/>
  <c r="R833" i="4"/>
  <c r="AD833" i="4" s="1"/>
  <c r="AE833" i="4" s="1"/>
  <c r="R856" i="4"/>
  <c r="R852" i="4"/>
  <c r="AD852" i="4" s="1"/>
  <c r="AE852" i="4" s="1"/>
  <c r="R848" i="4"/>
  <c r="AD848" i="4" s="1"/>
  <c r="AE848" i="4" s="1"/>
  <c r="R844" i="4"/>
  <c r="AD844" i="4" s="1"/>
  <c r="AE844" i="4" s="1"/>
  <c r="R840" i="4"/>
  <c r="AD840" i="4" s="1"/>
  <c r="AE840" i="4" s="1"/>
  <c r="R836" i="4"/>
  <c r="AD836" i="4" s="1"/>
  <c r="AE836" i="4" s="1"/>
  <c r="S829" i="4"/>
  <c r="R825" i="4"/>
  <c r="AD825" i="4" s="1"/>
  <c r="AE825" i="4" s="1"/>
  <c r="S1058" i="4"/>
  <c r="S1055" i="4"/>
  <c r="S1045" i="4"/>
  <c r="R1041" i="4"/>
  <c r="AD1041" i="4" s="1"/>
  <c r="AE1041" i="4" s="1"/>
  <c r="R829" i="4"/>
  <c r="AD829" i="4" s="1"/>
  <c r="AE829" i="4" s="1"/>
  <c r="S825" i="4"/>
  <c r="R1055" i="4"/>
  <c r="AD1055" i="4" s="1"/>
  <c r="AE1055" i="4" s="1"/>
  <c r="S831" i="4"/>
  <c r="S830" i="4"/>
  <c r="S1037" i="4"/>
  <c r="S1052" i="4"/>
  <c r="S1046" i="4"/>
  <c r="R1053" i="4"/>
  <c r="AD1053" i="4" s="1"/>
  <c r="AE1053" i="4" s="1"/>
  <c r="S1053" i="4"/>
  <c r="S826" i="4"/>
  <c r="S1047" i="4"/>
  <c r="S1056" i="4"/>
  <c r="S1054" i="4"/>
  <c r="S1044" i="4"/>
  <c r="S1004" i="4"/>
  <c r="R1023" i="4"/>
  <c r="AD1023" i="4" s="1"/>
  <c r="AE1023" i="4" s="1"/>
  <c r="S1015" i="4"/>
  <c r="S1010" i="4"/>
  <c r="R993" i="4"/>
  <c r="AD993" i="4" s="1"/>
  <c r="AE993" i="4" s="1"/>
  <c r="S986" i="4"/>
  <c r="R1015" i="4"/>
  <c r="AD1015" i="4" s="1"/>
  <c r="AE1015" i="4" s="1"/>
  <c r="S1009" i="4"/>
  <c r="S1030" i="4"/>
  <c r="R1009" i="4"/>
  <c r="AD1009" i="4" s="1"/>
  <c r="AE1009" i="4" s="1"/>
  <c r="S992" i="4"/>
  <c r="S1029" i="4"/>
  <c r="S1013" i="4"/>
  <c r="R1001" i="4"/>
  <c r="AD1001" i="4" s="1"/>
  <c r="AE1001" i="4" s="1"/>
  <c r="S1031" i="4"/>
  <c r="R1029" i="4"/>
  <c r="AD1029" i="4" s="1"/>
  <c r="AE1029" i="4" s="1"/>
  <c r="R1013" i="4"/>
  <c r="AD1013" i="4" s="1"/>
  <c r="AE1013" i="4" s="1"/>
  <c r="S975" i="4"/>
  <c r="S981" i="4"/>
  <c r="S914" i="4"/>
  <c r="R914" i="4"/>
  <c r="AD914" i="4" s="1"/>
  <c r="R1049" i="4"/>
  <c r="AD1049" i="4" s="1"/>
  <c r="AE1049" i="4" s="1"/>
  <c r="S1048" i="4"/>
  <c r="S1038" i="4"/>
  <c r="S1025" i="4"/>
  <c r="S1011" i="4"/>
  <c r="R1007" i="4"/>
  <c r="AD1007" i="4" s="1"/>
  <c r="AE1007" i="4" s="1"/>
  <c r="S999" i="4"/>
  <c r="S987" i="4"/>
  <c r="S1028" i="4"/>
  <c r="R1025" i="4"/>
  <c r="AD1025" i="4" s="1"/>
  <c r="AE1025" i="4" s="1"/>
  <c r="S1017" i="4"/>
  <c r="S1041" i="4"/>
  <c r="S1005" i="4"/>
  <c r="S1001" i="4"/>
  <c r="S993" i="4"/>
  <c r="S985" i="4"/>
  <c r="R1047" i="4"/>
  <c r="AD1047" i="4" s="1"/>
  <c r="AE1047" i="4" s="1"/>
  <c r="S1039" i="4"/>
  <c r="S1036" i="4"/>
  <c r="R1031" i="4"/>
  <c r="AD1031" i="4" s="1"/>
  <c r="AE1031" i="4" s="1"/>
  <c r="S1027" i="4"/>
  <c r="S1023" i="4"/>
  <c r="S1022" i="4"/>
  <c r="S1000" i="4"/>
  <c r="R989" i="4"/>
  <c r="AD989" i="4" s="1"/>
  <c r="AE989" i="4" s="1"/>
  <c r="S988" i="4"/>
  <c r="R967" i="4"/>
  <c r="AD967" i="4" s="1"/>
  <c r="AE967" i="4" s="1"/>
  <c r="R1039" i="4"/>
  <c r="AD1039" i="4" s="1"/>
  <c r="AE1039" i="4" s="1"/>
  <c r="S1012" i="4"/>
  <c r="S971" i="4"/>
  <c r="S1043" i="4"/>
  <c r="S1035" i="4"/>
  <c r="S1049" i="4"/>
  <c r="R1043" i="4"/>
  <c r="AD1043" i="4" s="1"/>
  <c r="AE1043" i="4" s="1"/>
  <c r="S1021" i="4"/>
  <c r="S1014" i="4"/>
  <c r="S1006" i="4"/>
  <c r="S991" i="4"/>
  <c r="R1045" i="4"/>
  <c r="S1042" i="4"/>
  <c r="R1027" i="4"/>
  <c r="AD1027" i="4" s="1"/>
  <c r="AE1027" i="4" s="1"/>
  <c r="S1024" i="4"/>
  <c r="R1011" i="4"/>
  <c r="AD1011" i="4" s="1"/>
  <c r="AE1011" i="4" s="1"/>
  <c r="S1008" i="4"/>
  <c r="R999" i="4"/>
  <c r="AD999" i="4" s="1"/>
  <c r="AE999" i="4" s="1"/>
  <c r="R991" i="4"/>
  <c r="AD991" i="4" s="1"/>
  <c r="AE991" i="4" s="1"/>
  <c r="S989" i="4"/>
  <c r="S983" i="4"/>
  <c r="S1040" i="4"/>
  <c r="R983" i="4"/>
  <c r="AD983" i="4" s="1"/>
  <c r="AE983" i="4" s="1"/>
  <c r="R1021" i="4"/>
  <c r="AD1021" i="4" s="1"/>
  <c r="AE1021" i="4" s="1"/>
  <c r="R1005" i="4"/>
  <c r="AD1005" i="4" s="1"/>
  <c r="AE1005" i="4" s="1"/>
  <c r="S1002" i="4"/>
  <c r="R975" i="4"/>
  <c r="AD975" i="4" s="1"/>
  <c r="AE975" i="4" s="1"/>
  <c r="S1050" i="4"/>
  <c r="R1035" i="4"/>
  <c r="AD1035" i="4" s="1"/>
  <c r="AE1035" i="4" s="1"/>
  <c r="S1032" i="4"/>
  <c r="R1017" i="4"/>
  <c r="AD1017" i="4" s="1"/>
  <c r="AE1017" i="4" s="1"/>
  <c r="S1016" i="4"/>
  <c r="S979" i="4"/>
  <c r="S967" i="4"/>
  <c r="S973" i="4"/>
  <c r="J933" i="4"/>
  <c r="AD933" i="4" s="1"/>
  <c r="S959" i="4"/>
  <c r="AE959" i="4" s="1"/>
  <c r="S930" i="4"/>
  <c r="AE930" i="4" s="1"/>
  <c r="R953" i="4"/>
  <c r="AD953" i="4" s="1"/>
  <c r="S919" i="4"/>
  <c r="AE919" i="4" s="1"/>
  <c r="S984" i="4"/>
  <c r="R977" i="4"/>
  <c r="AD977" i="4" s="1"/>
  <c r="AE977" i="4" s="1"/>
  <c r="S976" i="4"/>
  <c r="R969" i="4"/>
  <c r="AD969" i="4" s="1"/>
  <c r="AE969" i="4" s="1"/>
  <c r="S968" i="4"/>
  <c r="S962" i="4"/>
  <c r="AE962" i="4" s="1"/>
  <c r="R945" i="4"/>
  <c r="R981" i="4"/>
  <c r="AD981" i="4" s="1"/>
  <c r="AE981" i="4" s="1"/>
  <c r="S980" i="4"/>
  <c r="R973" i="4"/>
  <c r="AD973" i="4" s="1"/>
  <c r="AE973" i="4" s="1"/>
  <c r="S972" i="4"/>
  <c r="R961" i="4"/>
  <c r="AD961" i="4" s="1"/>
  <c r="S977" i="4"/>
  <c r="S969" i="4"/>
  <c r="R919" i="4"/>
  <c r="AD919" i="4" s="1"/>
  <c r="S921" i="4"/>
  <c r="S931" i="4"/>
  <c r="R925" i="4"/>
  <c r="AD925" i="4" s="1"/>
  <c r="R938" i="4"/>
  <c r="AD938" i="4" s="1"/>
  <c r="R920" i="4"/>
  <c r="AD920" i="4" s="1"/>
  <c r="R930" i="4"/>
  <c r="AD930" i="4" s="1"/>
  <c r="R951" i="4"/>
  <c r="S922" i="4"/>
  <c r="R924" i="4"/>
  <c r="AD924" i="4" s="1"/>
  <c r="J931" i="4"/>
  <c r="AD931" i="4" s="1"/>
  <c r="S953" i="4"/>
  <c r="AE953" i="4" s="1"/>
  <c r="K931" i="4"/>
  <c r="K933" i="4"/>
  <c r="AE933" i="4" s="1"/>
  <c r="S960" i="4"/>
  <c r="AE960" i="4" s="1"/>
  <c r="S923" i="4"/>
  <c r="S961" i="4"/>
  <c r="AE961" i="4" s="1"/>
  <c r="R959" i="4"/>
  <c r="AD959" i="4" s="1"/>
  <c r="S958" i="4"/>
  <c r="S920" i="4"/>
  <c r="R931" i="4"/>
  <c r="S954" i="4"/>
  <c r="AE954" i="4" s="1"/>
  <c r="S938" i="4"/>
  <c r="AE938" i="4" s="1"/>
  <c r="J929" i="4"/>
  <c r="J927" i="4"/>
  <c r="AD927" i="4" s="1"/>
  <c r="S925" i="4"/>
  <c r="R922" i="4"/>
  <c r="AD922" i="4" s="1"/>
  <c r="K927" i="4"/>
  <c r="AE927" i="4" s="1"/>
  <c r="S928" i="4"/>
  <c r="S929" i="4"/>
  <c r="S924" i="4"/>
  <c r="K910" i="4"/>
  <c r="AE910" i="4" s="1"/>
  <c r="S915" i="4"/>
  <c r="J913" i="4"/>
  <c r="AD913" i="4" s="1"/>
  <c r="J912" i="4"/>
  <c r="AD912" i="4" s="1"/>
  <c r="K912" i="4"/>
  <c r="AE912" i="4" s="1"/>
  <c r="J910" i="4"/>
  <c r="AD910" i="4" s="1"/>
  <c r="J909" i="4"/>
  <c r="AD909" i="4" s="1"/>
  <c r="J908" i="4"/>
  <c r="AD908" i="4" s="1"/>
  <c r="K908" i="4"/>
  <c r="AE908" i="4" s="1"/>
  <c r="S625" i="4"/>
  <c r="K662" i="4"/>
  <c r="N632" i="4"/>
  <c r="AD632" i="4" s="1"/>
  <c r="S628" i="4"/>
  <c r="K694" i="4"/>
  <c r="K677" i="4"/>
  <c r="AE677" i="4" s="1"/>
  <c r="S678" i="4"/>
  <c r="AE678" i="4" s="1"/>
  <c r="R625" i="4"/>
  <c r="AD625" i="4" s="1"/>
  <c r="S641" i="4"/>
  <c r="S657" i="4"/>
  <c r="AE657" i="4" s="1"/>
  <c r="S653" i="4"/>
  <c r="R650" i="4"/>
  <c r="AD650" i="4" s="1"/>
  <c r="S617" i="4"/>
  <c r="S690" i="4"/>
  <c r="S670" i="4"/>
  <c r="S640" i="4"/>
  <c r="S683" i="4"/>
  <c r="AE683" i="4" s="1"/>
  <c r="S682" i="4"/>
  <c r="S621" i="4"/>
  <c r="S650" i="4"/>
  <c r="J695" i="4"/>
  <c r="J687" i="4"/>
  <c r="AD687" i="4" s="1"/>
  <c r="R670" i="4"/>
  <c r="AD670" i="4" s="1"/>
  <c r="S658" i="4"/>
  <c r="N620" i="4"/>
  <c r="R617" i="4"/>
  <c r="AD617" i="4" s="1"/>
  <c r="S699" i="4"/>
  <c r="K695" i="4"/>
  <c r="K687" i="4"/>
  <c r="AE687" i="4" s="1"/>
  <c r="S661" i="4"/>
  <c r="R658" i="4"/>
  <c r="AD658" i="4" s="1"/>
  <c r="N616" i="4"/>
  <c r="S695" i="4"/>
  <c r="S666" i="4"/>
  <c r="AE666" i="4" s="1"/>
  <c r="R641" i="4"/>
  <c r="AD641" i="4" s="1"/>
  <c r="S616" i="4"/>
  <c r="S669" i="4"/>
  <c r="R666" i="4"/>
  <c r="J662" i="4"/>
  <c r="R616" i="4"/>
  <c r="R698" i="4"/>
  <c r="AD698" i="4" s="1"/>
  <c r="S674" i="4"/>
  <c r="S637" i="4"/>
  <c r="S698" i="4"/>
  <c r="R674" i="4"/>
  <c r="R637" i="4"/>
  <c r="AD637" i="4" s="1"/>
  <c r="K697" i="4"/>
  <c r="S694" i="4"/>
  <c r="S691" i="4"/>
  <c r="S686" i="4"/>
  <c r="S665" i="4"/>
  <c r="AE665" i="4" s="1"/>
  <c r="R662" i="4"/>
  <c r="AD662" i="4" s="1"/>
  <c r="N624" i="4"/>
  <c r="AD624" i="4" s="1"/>
  <c r="R621" i="4"/>
  <c r="AD621" i="4" s="1"/>
  <c r="R830" i="4"/>
  <c r="AD830" i="4" s="1"/>
  <c r="AE830" i="4" s="1"/>
  <c r="R826" i="4"/>
  <c r="AD826" i="4" s="1"/>
  <c r="AE826" i="4" s="1"/>
  <c r="R1056" i="4"/>
  <c r="AD1056" i="4" s="1"/>
  <c r="AE1056" i="4" s="1"/>
  <c r="R1052" i="4"/>
  <c r="AD1052" i="4" s="1"/>
  <c r="AE1052" i="4" s="1"/>
  <c r="R1048" i="4"/>
  <c r="AD1048" i="4" s="1"/>
  <c r="AE1048" i="4" s="1"/>
  <c r="R1044" i="4"/>
  <c r="AD1044" i="4" s="1"/>
  <c r="AE1044" i="4" s="1"/>
  <c r="R1040" i="4"/>
  <c r="AD1040" i="4" s="1"/>
  <c r="AE1040" i="4" s="1"/>
  <c r="R1036" i="4"/>
  <c r="AD1036" i="4" s="1"/>
  <c r="AE1036" i="4" s="1"/>
  <c r="R1030" i="4"/>
  <c r="AD1030" i="4" s="1"/>
  <c r="AE1030" i="4" s="1"/>
  <c r="R1026" i="4"/>
  <c r="AD1026" i="4" s="1"/>
  <c r="AE1026" i="4" s="1"/>
  <c r="R1022" i="4"/>
  <c r="AD1022" i="4" s="1"/>
  <c r="AE1022" i="4" s="1"/>
  <c r="R1018" i="4"/>
  <c r="AD1018" i="4" s="1"/>
  <c r="AE1018" i="4" s="1"/>
  <c r="R1014" i="4"/>
  <c r="AD1014" i="4" s="1"/>
  <c r="AE1014" i="4" s="1"/>
  <c r="R1010" i="4"/>
  <c r="AD1010" i="4" s="1"/>
  <c r="AE1010" i="4" s="1"/>
  <c r="R1006" i="4"/>
  <c r="AD1006" i="4" s="1"/>
  <c r="AE1006" i="4" s="1"/>
  <c r="R1002" i="4"/>
  <c r="AD1002" i="4" s="1"/>
  <c r="AE1002" i="4" s="1"/>
  <c r="R998" i="4"/>
  <c r="AD998" i="4" s="1"/>
  <c r="AE998" i="4" s="1"/>
  <c r="R994" i="4"/>
  <c r="AD994" i="4" s="1"/>
  <c r="AE994" i="4" s="1"/>
  <c r="R990" i="4"/>
  <c r="AD990" i="4" s="1"/>
  <c r="AE990" i="4" s="1"/>
  <c r="R986" i="4"/>
  <c r="AD986" i="4" s="1"/>
  <c r="AE986" i="4" s="1"/>
  <c r="R982" i="4"/>
  <c r="AD982" i="4" s="1"/>
  <c r="AE982" i="4" s="1"/>
  <c r="R978" i="4"/>
  <c r="AD978" i="4" s="1"/>
  <c r="AE978" i="4" s="1"/>
  <c r="R974" i="4"/>
  <c r="AD974" i="4" s="1"/>
  <c r="AE974" i="4" s="1"/>
  <c r="R970" i="4"/>
  <c r="AD970" i="4" s="1"/>
  <c r="AE970" i="4" s="1"/>
  <c r="R966" i="4"/>
  <c r="AD966" i="4" s="1"/>
  <c r="R960" i="4"/>
  <c r="AD960" i="4" s="1"/>
  <c r="R928" i="4"/>
  <c r="AD928" i="4" s="1"/>
  <c r="K932" i="4"/>
  <c r="AE932" i="4" s="1"/>
  <c r="R929" i="4"/>
  <c r="AD929" i="4" s="1"/>
  <c r="K926" i="4"/>
  <c r="AE926" i="4" s="1"/>
  <c r="R923" i="4"/>
  <c r="AD923" i="4" s="1"/>
  <c r="R916" i="4"/>
  <c r="AD916" i="4" s="1"/>
  <c r="K911" i="4"/>
  <c r="AE911" i="4" s="1"/>
  <c r="S998" i="4"/>
  <c r="S994" i="4"/>
  <c r="S990" i="4"/>
  <c r="S982" i="4"/>
  <c r="S978" i="4"/>
  <c r="S974" i="4"/>
  <c r="S970" i="4"/>
  <c r="S966" i="4"/>
  <c r="S916" i="4"/>
  <c r="N699" i="4"/>
  <c r="O699" i="4"/>
  <c r="R1000" i="4"/>
  <c r="AD1000" i="4" s="1"/>
  <c r="AE1000" i="4" s="1"/>
  <c r="R996" i="4"/>
  <c r="AD996" i="4" s="1"/>
  <c r="AE996" i="4" s="1"/>
  <c r="R992" i="4"/>
  <c r="AD992" i="4" s="1"/>
  <c r="AE992" i="4" s="1"/>
  <c r="R988" i="4"/>
  <c r="AD988" i="4" s="1"/>
  <c r="AE988" i="4" s="1"/>
  <c r="R984" i="4"/>
  <c r="AD984" i="4" s="1"/>
  <c r="AE984" i="4" s="1"/>
  <c r="R980" i="4"/>
  <c r="AD980" i="4" s="1"/>
  <c r="AE980" i="4" s="1"/>
  <c r="R976" i="4"/>
  <c r="AD976" i="4" s="1"/>
  <c r="AE976" i="4" s="1"/>
  <c r="R972" i="4"/>
  <c r="AD972" i="4" s="1"/>
  <c r="AE972" i="4" s="1"/>
  <c r="R968" i="4"/>
  <c r="AD968" i="4" s="1"/>
  <c r="AE968" i="4" s="1"/>
  <c r="R962" i="4"/>
  <c r="AD962" i="4" s="1"/>
  <c r="R958" i="4"/>
  <c r="R921" i="4"/>
  <c r="AD921" i="4" s="1"/>
  <c r="R954" i="4"/>
  <c r="AD954" i="4" s="1"/>
  <c r="R942" i="4"/>
  <c r="K929" i="4"/>
  <c r="R915" i="4"/>
  <c r="AD915" i="4" s="1"/>
  <c r="K913" i="4"/>
  <c r="AE913" i="4" s="1"/>
  <c r="K909" i="4"/>
  <c r="AE909" i="4" s="1"/>
  <c r="R699" i="4"/>
  <c r="AD699" i="4" s="1"/>
  <c r="N697" i="4"/>
  <c r="R694" i="4"/>
  <c r="AD694" i="4" s="1"/>
  <c r="R690" i="4"/>
  <c r="AD690" i="4" s="1"/>
  <c r="N689" i="4"/>
  <c r="AD689" i="4" s="1"/>
  <c r="R686" i="4"/>
  <c r="AD686" i="4" s="1"/>
  <c r="R682" i="4"/>
  <c r="AD682" i="4" s="1"/>
  <c r="N681" i="4"/>
  <c r="AD681" i="4" s="1"/>
  <c r="R678" i="4"/>
  <c r="AD678" i="4" s="1"/>
  <c r="N672" i="4"/>
  <c r="AD672" i="4" s="1"/>
  <c r="R669" i="4"/>
  <c r="AD669" i="4" s="1"/>
  <c r="R665" i="4"/>
  <c r="R661" i="4"/>
  <c r="AD661" i="4" s="1"/>
  <c r="R657" i="4"/>
  <c r="AD657" i="4" s="1"/>
  <c r="R653" i="4"/>
  <c r="AD653" i="4" s="1"/>
  <c r="R640" i="4"/>
  <c r="AD640" i="4" s="1"/>
  <c r="N635" i="4"/>
  <c r="AD635" i="4" s="1"/>
  <c r="R628" i="4"/>
  <c r="AD628" i="4" s="1"/>
  <c r="N627" i="4"/>
  <c r="AD627" i="4" s="1"/>
  <c r="N623" i="4"/>
  <c r="AD623" i="4" s="1"/>
  <c r="N619" i="4"/>
  <c r="S697" i="4"/>
  <c r="S693" i="4"/>
  <c r="S685" i="4"/>
  <c r="S668" i="4"/>
  <c r="AE668" i="4" s="1"/>
  <c r="S664" i="4"/>
  <c r="S660" i="4"/>
  <c r="S656" i="4"/>
  <c r="S652" i="4"/>
  <c r="S643" i="4"/>
  <c r="AE643" i="4" s="1"/>
  <c r="S639" i="4"/>
  <c r="S631" i="4"/>
  <c r="S619" i="4"/>
  <c r="AE619" i="4" s="1"/>
  <c r="S615" i="4"/>
  <c r="AE615" i="4" s="1"/>
  <c r="R697" i="4"/>
  <c r="AD697" i="4" s="1"/>
  <c r="R693" i="4"/>
  <c r="AD693" i="4" s="1"/>
  <c r="N688" i="4"/>
  <c r="AD688" i="4" s="1"/>
  <c r="R685" i="4"/>
  <c r="AD685" i="4" s="1"/>
  <c r="N680" i="4"/>
  <c r="AD680" i="4" s="1"/>
  <c r="R668" i="4"/>
  <c r="R664" i="4"/>
  <c r="AD664" i="4" s="1"/>
  <c r="N663" i="4"/>
  <c r="R660" i="4"/>
  <c r="AD660" i="4" s="1"/>
  <c r="R656" i="4"/>
  <c r="AD656" i="4" s="1"/>
  <c r="R652" i="4"/>
  <c r="AD652" i="4" s="1"/>
  <c r="R643" i="4"/>
  <c r="R639" i="4"/>
  <c r="AD639" i="4" s="1"/>
  <c r="N634" i="4"/>
  <c r="AD634" i="4" s="1"/>
  <c r="R631" i="4"/>
  <c r="AD631" i="4" s="1"/>
  <c r="N626" i="4"/>
  <c r="AD626" i="4" s="1"/>
  <c r="R619" i="4"/>
  <c r="R615" i="4"/>
  <c r="AD615" i="4" s="1"/>
  <c r="N614" i="4"/>
  <c r="S696" i="4"/>
  <c r="AE696" i="4" s="1"/>
  <c r="S692" i="4"/>
  <c r="S684" i="4"/>
  <c r="S676" i="4"/>
  <c r="S671" i="4"/>
  <c r="S667" i="4"/>
  <c r="AE667" i="4" s="1"/>
  <c r="S663" i="4"/>
  <c r="AE663" i="4" s="1"/>
  <c r="S659" i="4"/>
  <c r="AE659" i="4" s="1"/>
  <c r="S655" i="4"/>
  <c r="S651" i="4"/>
  <c r="S642" i="4"/>
  <c r="S638" i="4"/>
  <c r="S630" i="4"/>
  <c r="S622" i="4"/>
  <c r="S618" i="4"/>
  <c r="AE618" i="4" s="1"/>
  <c r="S614" i="4"/>
  <c r="AE614" i="4" s="1"/>
  <c r="R696" i="4"/>
  <c r="AD696" i="4" s="1"/>
  <c r="N695" i="4"/>
  <c r="J694" i="4"/>
  <c r="R692" i="4"/>
  <c r="AD692" i="4" s="1"/>
  <c r="N691" i="4"/>
  <c r="R684" i="4"/>
  <c r="AD684" i="4" s="1"/>
  <c r="N679" i="4"/>
  <c r="AD679" i="4" s="1"/>
  <c r="R676" i="4"/>
  <c r="AD676" i="4" s="1"/>
  <c r="N674" i="4"/>
  <c r="AD674" i="4" s="1"/>
  <c r="R671" i="4"/>
  <c r="AD671" i="4" s="1"/>
  <c r="R667" i="4"/>
  <c r="R663" i="4"/>
  <c r="AD663" i="4" s="1"/>
  <c r="R659" i="4"/>
  <c r="AD659" i="4" s="1"/>
  <c r="N658" i="4"/>
  <c r="R655" i="4"/>
  <c r="AD655" i="4" s="1"/>
  <c r="N654" i="4"/>
  <c r="AD654" i="4" s="1"/>
  <c r="R651" i="4"/>
  <c r="AD651" i="4" s="1"/>
  <c r="R642" i="4"/>
  <c r="AD642" i="4" s="1"/>
  <c r="R638" i="4"/>
  <c r="AD638" i="4" s="1"/>
  <c r="N633" i="4"/>
  <c r="AD633" i="4" s="1"/>
  <c r="R630" i="4"/>
  <c r="AD630" i="4" s="1"/>
  <c r="N629" i="4"/>
  <c r="AD629" i="4" s="1"/>
  <c r="R622" i="4"/>
  <c r="AD622" i="4" s="1"/>
  <c r="N621" i="4"/>
  <c r="R618" i="4"/>
  <c r="AD618" i="4" s="1"/>
  <c r="R614" i="4"/>
  <c r="J697" i="4"/>
  <c r="R695" i="4"/>
  <c r="AD695" i="4" s="1"/>
  <c r="N694" i="4"/>
  <c r="R691" i="4"/>
  <c r="AD691" i="4" s="1"/>
  <c r="R683" i="4"/>
  <c r="AD683" i="4" s="1"/>
  <c r="J681" i="4"/>
  <c r="N678" i="4"/>
  <c r="J677" i="4"/>
  <c r="AD677" i="4" s="1"/>
  <c r="N673" i="4"/>
  <c r="AD673" i="4" s="1"/>
  <c r="N665" i="4"/>
  <c r="N661" i="4"/>
  <c r="N657" i="4"/>
  <c r="N649" i="4"/>
  <c r="AD649" i="4" s="1"/>
  <c r="N636" i="4"/>
  <c r="AD636" i="4" s="1"/>
  <c r="S457" i="4"/>
  <c r="AE457" i="4" s="1"/>
  <c r="S477" i="4"/>
  <c r="AE477" i="4" s="1"/>
  <c r="S335" i="4"/>
  <c r="AE335" i="4" s="1"/>
  <c r="G884" i="4"/>
  <c r="G7" i="4" s="1"/>
  <c r="S369" i="4"/>
  <c r="AE369" i="4" s="1"/>
  <c r="S900" i="4"/>
  <c r="AE900" i="4" s="1"/>
  <c r="S377" i="4"/>
  <c r="AE377" i="4" s="1"/>
  <c r="S373" i="4"/>
  <c r="AE373" i="4" s="1"/>
  <c r="S361" i="4"/>
  <c r="AE361" i="4" s="1"/>
  <c r="S349" i="4"/>
  <c r="S752" i="4"/>
  <c r="AE752" i="4" s="1"/>
  <c r="S454" i="4"/>
  <c r="AE454" i="4" s="1"/>
  <c r="S702" i="4"/>
  <c r="AE702" i="4" s="1"/>
  <c r="S743" i="4"/>
  <c r="AE743" i="4" s="1"/>
  <c r="S342" i="4"/>
  <c r="AE342" i="4" s="1"/>
  <c r="S459" i="4"/>
  <c r="AE459" i="4" s="1"/>
  <c r="F902" i="4"/>
  <c r="R902" i="4" s="1"/>
  <c r="AD902" i="4" s="1"/>
  <c r="F901" i="4"/>
  <c r="F893" i="4"/>
  <c r="F875" i="4"/>
  <c r="S875" i="4" s="1"/>
  <c r="F868" i="4"/>
  <c r="K868" i="4" s="1"/>
  <c r="F887" i="4"/>
  <c r="R887" i="4" s="1"/>
  <c r="AD887" i="4" s="1"/>
  <c r="S341" i="4"/>
  <c r="AE341" i="4" s="1"/>
  <c r="S337" i="4"/>
  <c r="AE337" i="4" s="1"/>
  <c r="S718" i="4"/>
  <c r="AE718" i="4" s="1"/>
  <c r="S354" i="4"/>
  <c r="AE354" i="4" s="1"/>
  <c r="S819" i="4"/>
  <c r="AE819" i="4" s="1"/>
  <c r="S489" i="4"/>
  <c r="AE489" i="4" s="1"/>
  <c r="S763" i="4"/>
  <c r="AE763" i="4" s="1"/>
  <c r="S710" i="4"/>
  <c r="AE710" i="4" s="1"/>
  <c r="S362" i="4"/>
  <c r="AE362" i="4" s="1"/>
  <c r="R757" i="4"/>
  <c r="AD757" i="4" s="1"/>
  <c r="S713" i="4"/>
  <c r="AE713" i="4" s="1"/>
  <c r="S711" i="4"/>
  <c r="AE711" i="4" s="1"/>
  <c r="S810" i="4"/>
  <c r="AE810" i="4" s="1"/>
  <c r="R812" i="4"/>
  <c r="AD812" i="4" s="1"/>
  <c r="S704" i="4"/>
  <c r="AE704" i="4" s="1"/>
  <c r="S485" i="4"/>
  <c r="AE485" i="4" s="1"/>
  <c r="S818" i="4"/>
  <c r="S732" i="4"/>
  <c r="AE732" i="4" s="1"/>
  <c r="S379" i="4"/>
  <c r="AE379" i="4" s="1"/>
  <c r="S230" i="4"/>
  <c r="AE230" i="4" s="1"/>
  <c r="S358" i="4"/>
  <c r="AE358" i="4" s="1"/>
  <c r="S731" i="4"/>
  <c r="AE731" i="4" s="1"/>
  <c r="S375" i="4"/>
  <c r="AE375" i="4" s="1"/>
  <c r="S350" i="4"/>
  <c r="AE350" i="4" s="1"/>
  <c r="S894" i="4"/>
  <c r="AE894" i="4" s="1"/>
  <c r="S777" i="4"/>
  <c r="AE777" i="4" s="1"/>
  <c r="S728" i="4"/>
  <c r="AE728" i="4" s="1"/>
  <c r="S456" i="4"/>
  <c r="AE456" i="4" s="1"/>
  <c r="R454" i="4"/>
  <c r="AD454" i="4" s="1"/>
  <c r="F878" i="4"/>
  <c r="S814" i="4"/>
  <c r="AE814" i="4" s="1"/>
  <c r="S754" i="4"/>
  <c r="AE754" i="4" s="1"/>
  <c r="S730" i="4"/>
  <c r="AE730" i="4" s="1"/>
  <c r="S707" i="4"/>
  <c r="AE707" i="4" s="1"/>
  <c r="S487" i="4"/>
  <c r="AE487" i="4" s="1"/>
  <c r="S458" i="4"/>
  <c r="AE458" i="4" s="1"/>
  <c r="S767" i="4"/>
  <c r="AE767" i="4" s="1"/>
  <c r="R730" i="4"/>
  <c r="AD730" i="4" s="1"/>
  <c r="R487" i="4"/>
  <c r="AD487" i="4" s="1"/>
  <c r="R458" i="4"/>
  <c r="AD458" i="4" s="1"/>
  <c r="S822" i="4"/>
  <c r="AE822" i="4" s="1"/>
  <c r="R820" i="4"/>
  <c r="AD820" i="4" s="1"/>
  <c r="S746" i="4"/>
  <c r="AE746" i="4" s="1"/>
  <c r="S739" i="4"/>
  <c r="AE739" i="4" s="1"/>
  <c r="F879" i="4"/>
  <c r="S803" i="4"/>
  <c r="AE803" i="4" s="1"/>
  <c r="S793" i="4"/>
  <c r="AE793" i="4" s="1"/>
  <c r="S784" i="4"/>
  <c r="AE784" i="4" s="1"/>
  <c r="S378" i="4"/>
  <c r="AE378" i="4" s="1"/>
  <c r="R356" i="4"/>
  <c r="AD356" i="4" s="1"/>
  <c r="S741" i="4"/>
  <c r="AE741" i="4" s="1"/>
  <c r="S716" i="4"/>
  <c r="AE716" i="4" s="1"/>
  <c r="S733" i="4"/>
  <c r="AE733" i="4" s="1"/>
  <c r="S483" i="4"/>
  <c r="AE483" i="4" s="1"/>
  <c r="S356" i="4"/>
  <c r="AE356" i="4" s="1"/>
  <c r="S890" i="4"/>
  <c r="AE890" i="4" s="1"/>
  <c r="S233" i="4"/>
  <c r="AE233" i="4" s="1"/>
  <c r="S753" i="4"/>
  <c r="AE753" i="4" s="1"/>
  <c r="S705" i="4"/>
  <c r="AE705" i="4" s="1"/>
  <c r="S703" i="4"/>
  <c r="AE703" i="4" s="1"/>
  <c r="S360" i="4"/>
  <c r="S344" i="4"/>
  <c r="AE344" i="4" s="1"/>
  <c r="S340" i="4"/>
  <c r="AE340" i="4" s="1"/>
  <c r="S338" i="4"/>
  <c r="AE338" i="4" s="1"/>
  <c r="R705" i="4"/>
  <c r="AD705" i="4" s="1"/>
  <c r="S815" i="4"/>
  <c r="AE815" i="4" s="1"/>
  <c r="S346" i="4"/>
  <c r="AE346" i="4" s="1"/>
  <c r="R362" i="4"/>
  <c r="AD362" i="4" s="1"/>
  <c r="R346" i="4"/>
  <c r="AD346" i="4" s="1"/>
  <c r="S867" i="4"/>
  <c r="G861" i="4"/>
  <c r="G8" i="4" s="1"/>
  <c r="S785" i="4"/>
  <c r="AE785" i="4" s="1"/>
  <c r="S783" i="4"/>
  <c r="AE783" i="4" s="1"/>
  <c r="S780" i="4"/>
  <c r="AE780" i="4" s="1"/>
  <c r="S748" i="4"/>
  <c r="AE748" i="4" s="1"/>
  <c r="S742" i="4"/>
  <c r="AE742" i="4" s="1"/>
  <c r="R741" i="4"/>
  <c r="AD741" i="4" s="1"/>
  <c r="R716" i="4"/>
  <c r="AD716" i="4" s="1"/>
  <c r="S481" i="4"/>
  <c r="AE481" i="4" s="1"/>
  <c r="S479" i="4"/>
  <c r="AE479" i="4" s="1"/>
  <c r="S881" i="4"/>
  <c r="S794" i="4"/>
  <c r="AE794" i="4" s="1"/>
  <c r="S792" i="4"/>
  <c r="AE792" i="4" s="1"/>
  <c r="S787" i="4"/>
  <c r="AE787" i="4" s="1"/>
  <c r="S771" i="4"/>
  <c r="AE771" i="4" s="1"/>
  <c r="S370" i="4"/>
  <c r="AE370" i="4" s="1"/>
  <c r="S357" i="4"/>
  <c r="AE357" i="4" s="1"/>
  <c r="S249" i="4"/>
  <c r="AE249" i="4" s="1"/>
  <c r="S806" i="4"/>
  <c r="AE806" i="4" s="1"/>
  <c r="S805" i="4"/>
  <c r="AE805" i="4" s="1"/>
  <c r="S802" i="4"/>
  <c r="AE802" i="4" s="1"/>
  <c r="S478" i="4"/>
  <c r="AE478" i="4" s="1"/>
  <c r="S476" i="4"/>
  <c r="AE476" i="4" s="1"/>
  <c r="S376" i="4"/>
  <c r="AE376" i="4" s="1"/>
  <c r="S345" i="4"/>
  <c r="AE345" i="4" s="1"/>
  <c r="S891" i="4"/>
  <c r="S706" i="4"/>
  <c r="AE706" i="4" s="1"/>
  <c r="S250" i="4"/>
  <c r="AE250" i="4" s="1"/>
  <c r="R483" i="4"/>
  <c r="AD483" i="4" s="1"/>
  <c r="S352" i="4"/>
  <c r="AE352" i="4" s="1"/>
  <c r="S877" i="4"/>
  <c r="AE877" i="4" s="1"/>
  <c r="S776" i="4"/>
  <c r="AE776" i="4" s="1"/>
  <c r="S769" i="4"/>
  <c r="AE769" i="4" s="1"/>
  <c r="S715" i="4"/>
  <c r="AE715" i="4" s="1"/>
  <c r="R352" i="4"/>
  <c r="AD352" i="4" s="1"/>
  <c r="S336" i="4"/>
  <c r="AE336" i="4" s="1"/>
  <c r="S895" i="4"/>
  <c r="AE895" i="4" s="1"/>
  <c r="J904" i="4"/>
  <c r="S821" i="4"/>
  <c r="AE821" i="4" s="1"/>
  <c r="S820" i="4"/>
  <c r="AE820" i="4" s="1"/>
  <c r="S813" i="4"/>
  <c r="AE813" i="4" s="1"/>
  <c r="S812" i="4"/>
  <c r="AE812" i="4" s="1"/>
  <c r="S778" i="4"/>
  <c r="AE778" i="4" s="1"/>
  <c r="S764" i="4"/>
  <c r="AE764" i="4" s="1"/>
  <c r="S761" i="4"/>
  <c r="AE761" i="4" s="1"/>
  <c r="S757" i="4"/>
  <c r="AE757" i="4" s="1"/>
  <c r="S727" i="4"/>
  <c r="AE727" i="4" s="1"/>
  <c r="S719" i="4"/>
  <c r="AE719" i="4" s="1"/>
  <c r="S714" i="4"/>
  <c r="AE714" i="4" s="1"/>
  <c r="S339" i="4"/>
  <c r="AE339" i="4" s="1"/>
  <c r="K904" i="4"/>
  <c r="J867" i="4"/>
  <c r="S807" i="4"/>
  <c r="AE807" i="4" s="1"/>
  <c r="R806" i="4"/>
  <c r="AD806" i="4" s="1"/>
  <c r="S801" i="4"/>
  <c r="AE801" i="4" s="1"/>
  <c r="R794" i="4"/>
  <c r="AD794" i="4" s="1"/>
  <c r="S786" i="4"/>
  <c r="AE786" i="4" s="1"/>
  <c r="R785" i="4"/>
  <c r="AD785" i="4" s="1"/>
  <c r="S779" i="4"/>
  <c r="AE779" i="4" s="1"/>
  <c r="R778" i="4"/>
  <c r="AD778" i="4" s="1"/>
  <c r="S770" i="4"/>
  <c r="AE770" i="4" s="1"/>
  <c r="R769" i="4"/>
  <c r="AD769" i="4" s="1"/>
  <c r="S762" i="4"/>
  <c r="AE762" i="4" s="1"/>
  <c r="R761" i="4"/>
  <c r="AD761" i="4" s="1"/>
  <c r="S724" i="4"/>
  <c r="AE724" i="4" s="1"/>
  <c r="R715" i="4"/>
  <c r="AD715" i="4" s="1"/>
  <c r="S488" i="4"/>
  <c r="AE488" i="4" s="1"/>
  <c r="S372" i="4"/>
  <c r="AE372" i="4" s="1"/>
  <c r="S353" i="4"/>
  <c r="AE353" i="4" s="1"/>
  <c r="J873" i="4"/>
  <c r="S816" i="4"/>
  <c r="AE816" i="4" s="1"/>
  <c r="K873" i="4"/>
  <c r="S817" i="4"/>
  <c r="AE817" i="4" s="1"/>
  <c r="R816" i="4"/>
  <c r="AD816" i="4" s="1"/>
  <c r="S744" i="4"/>
  <c r="AE744" i="4" s="1"/>
  <c r="S738" i="4"/>
  <c r="AE738" i="4" s="1"/>
  <c r="R731" i="4"/>
  <c r="AD731" i="4" s="1"/>
  <c r="S708" i="4"/>
  <c r="AE708" i="4" s="1"/>
  <c r="S484" i="4"/>
  <c r="AE484" i="4" s="1"/>
  <c r="S455" i="4"/>
  <c r="AE455" i="4" s="1"/>
  <c r="S873" i="4"/>
  <c r="R880" i="4"/>
  <c r="AD880" i="4" s="1"/>
  <c r="S804" i="4"/>
  <c r="AE804" i="4" s="1"/>
  <c r="S790" i="4"/>
  <c r="AE790" i="4" s="1"/>
  <c r="S781" i="4"/>
  <c r="AE781" i="4" s="1"/>
  <c r="S772" i="4"/>
  <c r="AE772" i="4" s="1"/>
  <c r="S756" i="4"/>
  <c r="AE756" i="4" s="1"/>
  <c r="S755" i="4"/>
  <c r="AE755" i="4" s="1"/>
  <c r="R746" i="4"/>
  <c r="AD746" i="4" s="1"/>
  <c r="S721" i="4"/>
  <c r="AE721" i="4" s="1"/>
  <c r="R711" i="4"/>
  <c r="AD711" i="4" s="1"/>
  <c r="R479" i="4"/>
  <c r="AD479" i="4" s="1"/>
  <c r="S374" i="4"/>
  <c r="AE374" i="4" s="1"/>
  <c r="S355" i="4"/>
  <c r="AE355" i="4" s="1"/>
  <c r="R342" i="4"/>
  <c r="AD342" i="4" s="1"/>
  <c r="R873" i="4"/>
  <c r="AD873" i="4" s="1"/>
  <c r="S880" i="4"/>
  <c r="AE880" i="4" s="1"/>
  <c r="R804" i="4"/>
  <c r="AD804" i="4" s="1"/>
  <c r="S791" i="4"/>
  <c r="AE791" i="4" s="1"/>
  <c r="AD790" i="4"/>
  <c r="S782" i="4"/>
  <c r="AE782" i="4" s="1"/>
  <c r="R781" i="4"/>
  <c r="AD781" i="4" s="1"/>
  <c r="S775" i="4"/>
  <c r="R772" i="4"/>
  <c r="AD772" i="4" s="1"/>
  <c r="S766" i="4"/>
  <c r="AE766" i="4" s="1"/>
  <c r="S747" i="4"/>
  <c r="AE747" i="4" s="1"/>
  <c r="R726" i="4"/>
  <c r="AD726" i="4" s="1"/>
  <c r="S735" i="4"/>
  <c r="AE735" i="4" s="1"/>
  <c r="S712" i="4"/>
  <c r="AE712" i="4" s="1"/>
  <c r="S480" i="4"/>
  <c r="AE480" i="4" s="1"/>
  <c r="S380" i="4"/>
  <c r="AE380" i="4" s="1"/>
  <c r="S359" i="4"/>
  <c r="AE359" i="4" s="1"/>
  <c r="S351" i="4"/>
  <c r="AE351" i="4" s="1"/>
  <c r="S343" i="4"/>
  <c r="AE343" i="4" s="1"/>
  <c r="S811" i="4"/>
  <c r="AE811" i="4" s="1"/>
  <c r="S726" i="4"/>
  <c r="AE726" i="4" s="1"/>
  <c r="S486" i="4"/>
  <c r="AE486" i="4" s="1"/>
  <c r="S722" i="4"/>
  <c r="AE722" i="4" s="1"/>
  <c r="S866" i="4"/>
  <c r="R863" i="4"/>
  <c r="AD863" i="4" s="1"/>
  <c r="F864" i="4"/>
  <c r="R864" i="4" s="1"/>
  <c r="AD864" i="4" s="1"/>
  <c r="S897" i="4"/>
  <c r="AE897" i="4" s="1"/>
  <c r="S876" i="4"/>
  <c r="AE876" i="4" s="1"/>
  <c r="S869" i="4"/>
  <c r="AE869" i="4" s="1"/>
  <c r="S872" i="4"/>
  <c r="S870" i="4"/>
  <c r="AE870" i="4" s="1"/>
  <c r="S862" i="4"/>
  <c r="AE862" i="4" s="1"/>
  <c r="S904" i="4"/>
  <c r="K871" i="4"/>
  <c r="K866" i="4"/>
  <c r="R862" i="4"/>
  <c r="AD862" i="4" s="1"/>
  <c r="S899" i="4"/>
  <c r="AE899" i="4" s="1"/>
  <c r="S898" i="4"/>
  <c r="AE898" i="4" s="1"/>
  <c r="R898" i="4"/>
  <c r="AD898" i="4" s="1"/>
  <c r="R250" i="4"/>
  <c r="AD250" i="4" s="1"/>
  <c r="S892" i="4"/>
  <c r="AE892" i="4" s="1"/>
  <c r="S889" i="4"/>
  <c r="AE889" i="4" s="1"/>
  <c r="S863" i="4"/>
  <c r="AE863" i="4" s="1"/>
  <c r="S885" i="4"/>
  <c r="AE885" i="4" s="1"/>
  <c r="J866" i="4"/>
  <c r="S903" i="4"/>
  <c r="K881" i="4"/>
  <c r="S865" i="4"/>
  <c r="S886" i="4"/>
  <c r="AE886" i="4" s="1"/>
  <c r="S874" i="4"/>
  <c r="AE874" i="4" s="1"/>
  <c r="J865" i="4"/>
  <c r="J903" i="4"/>
  <c r="S896" i="4"/>
  <c r="AE896" i="4" s="1"/>
  <c r="K867" i="4"/>
  <c r="J872" i="4"/>
  <c r="S871" i="4"/>
  <c r="K903" i="4"/>
  <c r="S888" i="4"/>
  <c r="AE888" i="4" s="1"/>
  <c r="S882" i="4"/>
  <c r="J881" i="4"/>
  <c r="K882" i="4"/>
  <c r="K872" i="4"/>
  <c r="K865" i="4"/>
  <c r="N882" i="4"/>
  <c r="R886" i="4"/>
  <c r="AD886" i="4" s="1"/>
  <c r="O882" i="4"/>
  <c r="R876" i="4"/>
  <c r="AD876" i="4" s="1"/>
  <c r="R874" i="4"/>
  <c r="AD874" i="4" s="1"/>
  <c r="R871" i="4"/>
  <c r="AD871" i="4" s="1"/>
  <c r="R869" i="4"/>
  <c r="AD869" i="4" s="1"/>
  <c r="R819" i="4"/>
  <c r="AD819" i="4" s="1"/>
  <c r="R803" i="4"/>
  <c r="AD803" i="4" s="1"/>
  <c r="R793" i="4"/>
  <c r="AD793" i="4" s="1"/>
  <c r="R777" i="4"/>
  <c r="AD777" i="4" s="1"/>
  <c r="R768" i="4"/>
  <c r="AD768" i="4" s="1"/>
  <c r="R764" i="4"/>
  <c r="AD764" i="4" s="1"/>
  <c r="R754" i="4"/>
  <c r="AD754" i="4" s="1"/>
  <c r="R749" i="4"/>
  <c r="AD749" i="4" s="1"/>
  <c r="R744" i="4"/>
  <c r="AD744" i="4" s="1"/>
  <c r="R740" i="4"/>
  <c r="AD740" i="4" s="1"/>
  <c r="R725" i="4"/>
  <c r="AD725" i="4" s="1"/>
  <c r="R722" i="4"/>
  <c r="AD722" i="4" s="1"/>
  <c r="R719" i="4"/>
  <c r="AD719" i="4" s="1"/>
  <c r="R735" i="4"/>
  <c r="AD735" i="4" s="1"/>
  <c r="R714" i="4"/>
  <c r="AD714" i="4" s="1"/>
  <c r="R708" i="4"/>
  <c r="AD708" i="4" s="1"/>
  <c r="R704" i="4"/>
  <c r="AD704" i="4" s="1"/>
  <c r="R486" i="4"/>
  <c r="AD486" i="4" s="1"/>
  <c r="R478" i="4"/>
  <c r="AD478" i="4" s="1"/>
  <c r="R457" i="4"/>
  <c r="AD457" i="4" s="1"/>
  <c r="R361" i="4"/>
  <c r="AD361" i="4" s="1"/>
  <c r="R358" i="4"/>
  <c r="AD358" i="4" s="1"/>
  <c r="R355" i="4"/>
  <c r="AD355" i="4" s="1"/>
  <c r="R351" i="4"/>
  <c r="AD351" i="4" s="1"/>
  <c r="R345" i="4"/>
  <c r="AD345" i="4" s="1"/>
  <c r="R341" i="4"/>
  <c r="AD341" i="4" s="1"/>
  <c r="R337" i="4"/>
  <c r="AD337" i="4" s="1"/>
  <c r="R897" i="4"/>
  <c r="R896" i="4"/>
  <c r="AD896" i="4" s="1"/>
  <c r="R891" i="4"/>
  <c r="AD891" i="4" s="1"/>
  <c r="R888" i="4"/>
  <c r="AD888" i="4" s="1"/>
  <c r="R882" i="4"/>
  <c r="AD882" i="4" s="1"/>
  <c r="R872" i="4"/>
  <c r="AD872" i="4" s="1"/>
  <c r="R870" i="4"/>
  <c r="AD870" i="4" s="1"/>
  <c r="R865" i="4"/>
  <c r="AD865" i="4" s="1"/>
  <c r="S768" i="4"/>
  <c r="AE768" i="4" s="1"/>
  <c r="S749" i="4"/>
  <c r="AE749" i="4" s="1"/>
  <c r="S740" i="4"/>
  <c r="AE740" i="4" s="1"/>
  <c r="S725" i="4"/>
  <c r="AE725" i="4" s="1"/>
  <c r="R245" i="4"/>
  <c r="AD245" i="4" s="1"/>
  <c r="S238" i="4"/>
  <c r="AE238" i="4" s="1"/>
  <c r="R225" i="4"/>
  <c r="AD225" i="4" s="1"/>
  <c r="S252" i="4"/>
  <c r="AE252" i="4" s="1"/>
  <c r="S246" i="4"/>
  <c r="AE246" i="4" s="1"/>
  <c r="S231" i="4"/>
  <c r="AE231" i="4" s="1"/>
  <c r="R251" i="4"/>
  <c r="AD251" i="4" s="1"/>
  <c r="S251" i="4"/>
  <c r="AE251" i="4" s="1"/>
  <c r="R227" i="4"/>
  <c r="AD227" i="4" s="1"/>
  <c r="S234" i="4"/>
  <c r="AE234" i="4" s="1"/>
  <c r="S225" i="4"/>
  <c r="AE225" i="4" s="1"/>
  <c r="R241" i="4"/>
  <c r="AD241" i="4" s="1"/>
  <c r="R247" i="4"/>
  <c r="AD247" i="4" s="1"/>
  <c r="R243" i="4"/>
  <c r="AD243" i="4" s="1"/>
  <c r="S247" i="4"/>
  <c r="AE247" i="4" s="1"/>
  <c r="S237" i="4"/>
  <c r="AE237" i="4" s="1"/>
  <c r="S235" i="4"/>
  <c r="AE235" i="4" s="1"/>
  <c r="S245" i="4"/>
  <c r="AE245" i="4" s="1"/>
  <c r="S243" i="4"/>
  <c r="AE243" i="4" s="1"/>
  <c r="R235" i="4"/>
  <c r="AD235" i="4" s="1"/>
  <c r="R233" i="4"/>
  <c r="AD233" i="4" s="1"/>
  <c r="S242" i="4"/>
  <c r="AE242" i="4" s="1"/>
  <c r="S241" i="4"/>
  <c r="AE241" i="4" s="1"/>
  <c r="S239" i="4"/>
  <c r="AE239" i="4" s="1"/>
  <c r="R229" i="4"/>
  <c r="AD229" i="4" s="1"/>
  <c r="R239" i="4"/>
  <c r="AD239" i="4" s="1"/>
  <c r="S229" i="4"/>
  <c r="AE229" i="4" s="1"/>
  <c r="R237" i="4"/>
  <c r="AD237" i="4" s="1"/>
  <c r="S227" i="4"/>
  <c r="AE227" i="4" s="1"/>
  <c r="S226" i="4"/>
  <c r="AE226" i="4" s="1"/>
  <c r="R248" i="4"/>
  <c r="AD248" i="4" s="1"/>
  <c r="R244" i="4"/>
  <c r="AD244" i="4" s="1"/>
  <c r="R240" i="4"/>
  <c r="AD240" i="4" s="1"/>
  <c r="R236" i="4"/>
  <c r="AD236" i="4" s="1"/>
  <c r="R232" i="4"/>
  <c r="AD232" i="4" s="1"/>
  <c r="R228" i="4"/>
  <c r="AD228" i="4" s="1"/>
  <c r="S248" i="4"/>
  <c r="AE248" i="4" s="1"/>
  <c r="S244" i="4"/>
  <c r="AE244" i="4" s="1"/>
  <c r="S240" i="4"/>
  <c r="AE240" i="4" s="1"/>
  <c r="S236" i="4"/>
  <c r="AE236" i="4" s="1"/>
  <c r="S232" i="4"/>
  <c r="AE232" i="4" s="1"/>
  <c r="S228" i="4"/>
  <c r="AE228" i="4" s="1"/>
  <c r="R230" i="4"/>
  <c r="AD230" i="4" s="1"/>
  <c r="S141" i="4"/>
  <c r="AE141" i="4" s="1"/>
  <c r="R141" i="4"/>
  <c r="AD141" i="4" s="1"/>
  <c r="AB222" i="4"/>
  <c r="Q222" i="4"/>
  <c r="F222" i="4"/>
  <c r="AB221" i="4"/>
  <c r="Q221" i="4"/>
  <c r="F221" i="4"/>
  <c r="R221" i="4" s="1"/>
  <c r="AD221" i="4" s="1"/>
  <c r="AB220" i="4"/>
  <c r="Q220" i="4"/>
  <c r="F220" i="4"/>
  <c r="AB219" i="4"/>
  <c r="Q219" i="4"/>
  <c r="F219" i="4"/>
  <c r="AB218" i="4"/>
  <c r="Q218" i="4"/>
  <c r="F218" i="4"/>
  <c r="AB217" i="4"/>
  <c r="Q217" i="4"/>
  <c r="F217" i="4"/>
  <c r="R217" i="4" s="1"/>
  <c r="AD217" i="4" s="1"/>
  <c r="AB216" i="4"/>
  <c r="Q216" i="4"/>
  <c r="F216" i="4"/>
  <c r="AB215" i="4"/>
  <c r="Q215" i="4"/>
  <c r="F215" i="4"/>
  <c r="AB214" i="4"/>
  <c r="Q214" i="4"/>
  <c r="F214" i="4"/>
  <c r="R214" i="4" s="1"/>
  <c r="AD214" i="4" s="1"/>
  <c r="AB213" i="4"/>
  <c r="Q213" i="4"/>
  <c r="F213" i="4"/>
  <c r="AB212" i="4"/>
  <c r="Q212" i="4"/>
  <c r="F212" i="4"/>
  <c r="AB211" i="4"/>
  <c r="Q211" i="4"/>
  <c r="F211" i="4"/>
  <c r="R211" i="4" s="1"/>
  <c r="AD211" i="4" s="1"/>
  <c r="AB210" i="4"/>
  <c r="Q210" i="4"/>
  <c r="F210" i="4"/>
  <c r="AB209" i="4"/>
  <c r="Q209" i="4"/>
  <c r="F209" i="4"/>
  <c r="AB208" i="4"/>
  <c r="Q208" i="4"/>
  <c r="F208" i="4"/>
  <c r="R208" i="4" s="1"/>
  <c r="AD208" i="4" s="1"/>
  <c r="AB207" i="4"/>
  <c r="Q207" i="4"/>
  <c r="F207" i="4"/>
  <c r="AB164" i="4"/>
  <c r="AB204" i="4"/>
  <c r="Q204" i="4"/>
  <c r="F204" i="4"/>
  <c r="R204" i="4" s="1"/>
  <c r="AD204" i="4" s="1"/>
  <c r="AB158" i="4"/>
  <c r="Q158" i="4"/>
  <c r="F158" i="4"/>
  <c r="AB157" i="4"/>
  <c r="Q157" i="4"/>
  <c r="F157" i="4"/>
  <c r="AB203" i="4"/>
  <c r="Q203" i="4"/>
  <c r="F203" i="4"/>
  <c r="AB191" i="4"/>
  <c r="Q191" i="4"/>
  <c r="S191" i="4" s="1"/>
  <c r="AE191" i="4" s="1"/>
  <c r="AB190" i="4"/>
  <c r="Q190" i="4"/>
  <c r="F190" i="4"/>
  <c r="AB189" i="4"/>
  <c r="Q189" i="4"/>
  <c r="F189" i="4"/>
  <c r="AB188" i="4"/>
  <c r="Q188" i="4"/>
  <c r="F188" i="4"/>
  <c r="R188" i="4" s="1"/>
  <c r="AD188" i="4" s="1"/>
  <c r="AB195" i="4"/>
  <c r="Q195" i="4"/>
  <c r="F195" i="4"/>
  <c r="AB194" i="4"/>
  <c r="Q194" i="4"/>
  <c r="F194" i="4"/>
  <c r="AB192" i="4"/>
  <c r="AB199" i="4"/>
  <c r="Q199" i="4"/>
  <c r="F199" i="4"/>
  <c r="R199" i="4" s="1"/>
  <c r="AD199" i="4" s="1"/>
  <c r="AB198" i="4"/>
  <c r="Q198" i="4"/>
  <c r="F198" i="4"/>
  <c r="AB197" i="4"/>
  <c r="Q197" i="4"/>
  <c r="F197" i="4"/>
  <c r="AB196" i="4"/>
  <c r="AB180" i="4"/>
  <c r="Q180" i="4"/>
  <c r="F180" i="4"/>
  <c r="AB185" i="4"/>
  <c r="Q185" i="4"/>
  <c r="F185" i="4"/>
  <c r="AB181" i="4"/>
  <c r="Q181" i="4"/>
  <c r="F181" i="4"/>
  <c r="AB177" i="4"/>
  <c r="Q177" i="4"/>
  <c r="F177" i="4"/>
  <c r="R177" i="4" s="1"/>
  <c r="AD177" i="4" s="1"/>
  <c r="AB183" i="4"/>
  <c r="Q183" i="4"/>
  <c r="F183" i="4"/>
  <c r="AB176" i="4"/>
  <c r="AB175" i="4"/>
  <c r="AB155" i="4"/>
  <c r="Q155" i="4"/>
  <c r="F155" i="4"/>
  <c r="AB154" i="4"/>
  <c r="Q154" i="4"/>
  <c r="F154" i="4"/>
  <c r="AB184" i="4"/>
  <c r="Q184" i="4"/>
  <c r="F184" i="4"/>
  <c r="AB186" i="4"/>
  <c r="Q186" i="4"/>
  <c r="F186" i="4"/>
  <c r="R186" i="4" s="1"/>
  <c r="AD186" i="4" s="1"/>
  <c r="AB182" i="4"/>
  <c r="Q182" i="4"/>
  <c r="F182" i="4"/>
  <c r="AB166" i="4"/>
  <c r="Q166" i="4"/>
  <c r="F166" i="4"/>
  <c r="AB179" i="4"/>
  <c r="Q179" i="4"/>
  <c r="F179" i="4"/>
  <c r="AB187" i="4"/>
  <c r="Q187" i="4"/>
  <c r="F187" i="4"/>
  <c r="AB165" i="4"/>
  <c r="Q165" i="4"/>
  <c r="F165" i="4"/>
  <c r="AB156" i="4"/>
  <c r="Q156" i="4"/>
  <c r="F156" i="4"/>
  <c r="AB174" i="4"/>
  <c r="Q174" i="4"/>
  <c r="F174" i="4"/>
  <c r="AB173" i="4"/>
  <c r="Q173" i="4"/>
  <c r="F173" i="4"/>
  <c r="R173" i="4" s="1"/>
  <c r="AD173" i="4" s="1"/>
  <c r="AB172" i="4"/>
  <c r="Q172" i="4"/>
  <c r="F172" i="4"/>
  <c r="AB171" i="4"/>
  <c r="Q171" i="4"/>
  <c r="F171" i="4"/>
  <c r="AB170" i="4"/>
  <c r="Q170" i="4"/>
  <c r="AB178" i="4"/>
  <c r="Q178" i="4"/>
  <c r="F178" i="4"/>
  <c r="AB159" i="4"/>
  <c r="AB153" i="4"/>
  <c r="Q153" i="4"/>
  <c r="F153" i="4"/>
  <c r="AB150" i="4"/>
  <c r="Q150" i="4"/>
  <c r="W150" i="4" s="1"/>
  <c r="Y150" i="4" s="1"/>
  <c r="Y149" i="4" s="1"/>
  <c r="F150" i="4"/>
  <c r="AB142" i="4"/>
  <c r="W142" i="4"/>
  <c r="Y142" i="4" s="1"/>
  <c r="F142" i="4"/>
  <c r="AB147" i="4"/>
  <c r="AB146" i="4"/>
  <c r="AB145" i="4"/>
  <c r="Q145" i="4"/>
  <c r="W145" i="4" s="1"/>
  <c r="Y145" i="4" s="1"/>
  <c r="F145" i="4"/>
  <c r="AB144" i="4"/>
  <c r="Q144" i="4"/>
  <c r="W144" i="4" s="1"/>
  <c r="Y144" i="4" s="1"/>
  <c r="F144" i="4"/>
  <c r="AB143" i="4"/>
  <c r="Q143" i="4"/>
  <c r="W143" i="4" s="1"/>
  <c r="Y143" i="4" s="1"/>
  <c r="F143" i="4"/>
  <c r="F129" i="4"/>
  <c r="R129" i="4" s="1"/>
  <c r="AD129" i="4" s="1"/>
  <c r="F136" i="4"/>
  <c r="F133" i="4"/>
  <c r="F130" i="4"/>
  <c r="F138" i="4"/>
  <c r="F131" i="4"/>
  <c r="F132" i="4"/>
  <c r="F137" i="4"/>
  <c r="Q129" i="4"/>
  <c r="W129" i="4" s="1"/>
  <c r="Y129" i="4" s="1"/>
  <c r="Q136" i="4"/>
  <c r="W136" i="4" s="1"/>
  <c r="Y136" i="4" s="1"/>
  <c r="Q133" i="4"/>
  <c r="W133" i="4" s="1"/>
  <c r="Y133" i="4" s="1"/>
  <c r="Q130" i="4"/>
  <c r="W130" i="4" s="1"/>
  <c r="Y130" i="4" s="1"/>
  <c r="Q138" i="4"/>
  <c r="W138" i="4" s="1"/>
  <c r="Y138" i="4" s="1"/>
  <c r="Q131" i="4"/>
  <c r="W131" i="4" s="1"/>
  <c r="Y131" i="4" s="1"/>
  <c r="Q132" i="4"/>
  <c r="W132" i="4" s="1"/>
  <c r="Y132" i="4" s="1"/>
  <c r="Q137" i="4"/>
  <c r="W137" i="4" s="1"/>
  <c r="Y137" i="4" s="1"/>
  <c r="AB137" i="4"/>
  <c r="AB132" i="4"/>
  <c r="AB131" i="4"/>
  <c r="AB135" i="4"/>
  <c r="AB134" i="4"/>
  <c r="AB138" i="4"/>
  <c r="AB130" i="4"/>
  <c r="AB133" i="4"/>
  <c r="AB136" i="4"/>
  <c r="AB129" i="4"/>
  <c r="A534" i="9" l="1"/>
  <c r="A535" i="9" s="1"/>
  <c r="A536" i="9" s="1"/>
  <c r="A537" i="9" s="1"/>
  <c r="A538" i="9" s="1"/>
  <c r="AD616" i="4"/>
  <c r="AE664" i="4"/>
  <c r="AE690" i="4"/>
  <c r="G11" i="4"/>
  <c r="AE966" i="4"/>
  <c r="AE671" i="4"/>
  <c r="AE661" i="4"/>
  <c r="Y965" i="4"/>
  <c r="Y964" i="4" s="1"/>
  <c r="V906" i="4"/>
  <c r="AE617" i="4"/>
  <c r="AB1064" i="4"/>
  <c r="AE628" i="4"/>
  <c r="AE622" i="4"/>
  <c r="AE685" i="4"/>
  <c r="AE650" i="4"/>
  <c r="AE669" i="4"/>
  <c r="V10" i="4"/>
  <c r="AE630" i="4"/>
  <c r="AE698" i="4"/>
  <c r="AE658" i="4"/>
  <c r="AE640" i="4"/>
  <c r="AE651" i="4"/>
  <c r="AE692" i="4"/>
  <c r="AE693" i="4"/>
  <c r="AE637" i="4"/>
  <c r="AE621" i="4"/>
  <c r="AE670" i="4"/>
  <c r="AE655" i="4"/>
  <c r="AE686" i="4"/>
  <c r="AE682" i="4"/>
  <c r="AE638" i="4"/>
  <c r="AE676" i="4"/>
  <c r="AE642" i="4"/>
  <c r="AE631" i="4"/>
  <c r="AE916" i="4"/>
  <c r="AE639" i="4"/>
  <c r="AE660" i="4"/>
  <c r="AE914" i="4"/>
  <c r="AE881" i="4"/>
  <c r="AE662" i="4"/>
  <c r="AE652" i="4"/>
  <c r="AE684" i="4"/>
  <c r="AE681" i="4"/>
  <c r="AE699" i="4"/>
  <c r="AE656" i="4"/>
  <c r="AE931" i="4"/>
  <c r="AE920" i="4"/>
  <c r="AD1045" i="4"/>
  <c r="AE1045" i="4" s="1"/>
  <c r="AE929" i="4"/>
  <c r="AD614" i="4"/>
  <c r="AE616" i="4"/>
  <c r="AE653" i="4"/>
  <c r="AE691" i="4"/>
  <c r="AE641" i="4"/>
  <c r="AE625" i="4"/>
  <c r="AE904" i="4"/>
  <c r="AE867" i="4"/>
  <c r="AE882" i="4"/>
  <c r="AE871" i="4"/>
  <c r="AE903" i="4"/>
  <c r="AE915" i="4"/>
  <c r="AE928" i="4"/>
  <c r="Y613" i="4"/>
  <c r="Y491" i="4" s="1"/>
  <c r="AD619" i="4"/>
  <c r="AE697" i="4"/>
  <c r="AE694" i="4"/>
  <c r="AE695" i="4"/>
  <c r="AE873" i="4"/>
  <c r="AE865" i="4"/>
  <c r="AE872" i="4"/>
  <c r="AE866" i="4"/>
  <c r="Y128" i="4"/>
  <c r="AE224" i="4"/>
  <c r="AE891" i="4"/>
  <c r="AE453" i="4"/>
  <c r="AE334" i="4"/>
  <c r="AE364" i="4"/>
  <c r="S348" i="4"/>
  <c r="AE349" i="4"/>
  <c r="AE348" i="4" s="1"/>
  <c r="AE475" i="4"/>
  <c r="AE701" i="4"/>
  <c r="AE751" i="4"/>
  <c r="AE760" i="4"/>
  <c r="AE759" i="4" s="1"/>
  <c r="S774" i="4"/>
  <c r="AE775" i="4"/>
  <c r="AE774" i="4" s="1"/>
  <c r="AE789" i="4"/>
  <c r="AE809" i="4"/>
  <c r="Y907" i="4"/>
  <c r="AD856" i="4"/>
  <c r="AE856" i="4" s="1"/>
  <c r="Y922" i="4"/>
  <c r="AE922" i="4" s="1"/>
  <c r="Y923" i="4"/>
  <c r="AE923" i="4" s="1"/>
  <c r="Y925" i="4"/>
  <c r="AE925" i="4" s="1"/>
  <c r="Y921" i="4"/>
  <c r="AE921" i="4" s="1"/>
  <c r="Y924" i="4"/>
  <c r="AE924" i="4" s="1"/>
  <c r="S824" i="4"/>
  <c r="AE824" i="4" s="1"/>
  <c r="AF824" i="4" s="1"/>
  <c r="S613" i="4"/>
  <c r="S835" i="4"/>
  <c r="AE835" i="4" s="1"/>
  <c r="AF835" i="4" s="1"/>
  <c r="Y140" i="4"/>
  <c r="S1034" i="4"/>
  <c r="AE1034" i="4" s="1"/>
  <c r="S918" i="4"/>
  <c r="K918" i="4"/>
  <c r="S701" i="4"/>
  <c r="S809" i="4"/>
  <c r="S475" i="4"/>
  <c r="S334" i="4"/>
  <c r="S907" i="4"/>
  <c r="S131" i="4"/>
  <c r="AE131" i="4" s="1"/>
  <c r="S132" i="4"/>
  <c r="AE132" i="4" s="1"/>
  <c r="S144" i="4"/>
  <c r="AE144" i="4" s="1"/>
  <c r="S136" i="4"/>
  <c r="AE136" i="4" s="1"/>
  <c r="S133" i="4"/>
  <c r="AE133" i="4" s="1"/>
  <c r="S130" i="4"/>
  <c r="AE130" i="4" s="1"/>
  <c r="S138" i="4"/>
  <c r="AE138" i="4" s="1"/>
  <c r="S137" i="4"/>
  <c r="AE137" i="4" s="1"/>
  <c r="S129" i="4"/>
  <c r="R130" i="4"/>
  <c r="AD130" i="4" s="1"/>
  <c r="O824" i="4"/>
  <c r="K835" i="4"/>
  <c r="S6" i="5"/>
  <c r="O6" i="5"/>
  <c r="K6" i="5"/>
  <c r="K824" i="4"/>
  <c r="O835" i="4"/>
  <c r="O613" i="4"/>
  <c r="O1034" i="4"/>
  <c r="K1034" i="4"/>
  <c r="O965" i="4"/>
  <c r="S965" i="4"/>
  <c r="O907" i="4"/>
  <c r="K907" i="4"/>
  <c r="K613" i="4"/>
  <c r="K751" i="4"/>
  <c r="O751" i="4"/>
  <c r="S751" i="4"/>
  <c r="K809" i="4"/>
  <c r="O809" i="4"/>
  <c r="O789" i="4"/>
  <c r="S789" i="4"/>
  <c r="K789" i="4"/>
  <c r="K774" i="4"/>
  <c r="O774" i="4"/>
  <c r="O759" i="4"/>
  <c r="K759" i="4"/>
  <c r="S759" i="4"/>
  <c r="K878" i="4"/>
  <c r="S878" i="4"/>
  <c r="J868" i="4"/>
  <c r="S868" i="4"/>
  <c r="AE868" i="4" s="1"/>
  <c r="K701" i="4"/>
  <c r="O701" i="4"/>
  <c r="K475" i="4"/>
  <c r="O475" i="4"/>
  <c r="S453" i="4"/>
  <c r="K453" i="4"/>
  <c r="O453" i="4"/>
  <c r="K364" i="4"/>
  <c r="O364" i="4"/>
  <c r="S364" i="4"/>
  <c r="K348" i="4"/>
  <c r="O348" i="4"/>
  <c r="O334" i="4"/>
  <c r="K334" i="4"/>
  <c r="J878" i="4"/>
  <c r="R878" i="4"/>
  <c r="AD878" i="4" s="1"/>
  <c r="S902" i="4"/>
  <c r="AE902" i="4" s="1"/>
  <c r="S901" i="4"/>
  <c r="AE901" i="4" s="1"/>
  <c r="R901" i="4"/>
  <c r="AD901" i="4" s="1"/>
  <c r="R893" i="4"/>
  <c r="AD893" i="4" s="1"/>
  <c r="S893" i="4"/>
  <c r="AE893" i="4" s="1"/>
  <c r="K875" i="4"/>
  <c r="AE875" i="4" s="1"/>
  <c r="R875" i="4"/>
  <c r="AD875" i="4" s="1"/>
  <c r="J875" i="4"/>
  <c r="R868" i="4"/>
  <c r="AD868" i="4" s="1"/>
  <c r="S887" i="4"/>
  <c r="AE887" i="4" s="1"/>
  <c r="R879" i="4"/>
  <c r="AD879" i="4" s="1"/>
  <c r="S879" i="4"/>
  <c r="AE879" i="4" s="1"/>
  <c r="S196" i="4"/>
  <c r="AE196" i="4" s="1"/>
  <c r="S864" i="4"/>
  <c r="AE864" i="4" s="1"/>
  <c r="O224" i="4"/>
  <c r="S224" i="4"/>
  <c r="K224" i="4"/>
  <c r="XFD141" i="4"/>
  <c r="R147" i="4"/>
  <c r="AD147" i="4" s="1"/>
  <c r="R144" i="4"/>
  <c r="AD144" i="4" s="1"/>
  <c r="S171" i="4"/>
  <c r="AE171" i="4" s="1"/>
  <c r="S213" i="4"/>
  <c r="AE213" i="4" s="1"/>
  <c r="S186" i="4"/>
  <c r="AE186" i="4" s="1"/>
  <c r="R171" i="4"/>
  <c r="AD171" i="4" s="1"/>
  <c r="S197" i="4"/>
  <c r="AE197" i="4" s="1"/>
  <c r="S210" i="4"/>
  <c r="AE210" i="4" s="1"/>
  <c r="S145" i="4"/>
  <c r="AE145" i="4" s="1"/>
  <c r="S147" i="4"/>
  <c r="AE147" i="4" s="1"/>
  <c r="S154" i="4"/>
  <c r="AE154" i="4" s="1"/>
  <c r="S166" i="4"/>
  <c r="AE166" i="4" s="1"/>
  <c r="S219" i="4"/>
  <c r="AE219" i="4" s="1"/>
  <c r="S187" i="4"/>
  <c r="AE187" i="4" s="1"/>
  <c r="R194" i="4"/>
  <c r="AD194" i="4" s="1"/>
  <c r="S183" i="4"/>
  <c r="AE183" i="4" s="1"/>
  <c r="S216" i="4"/>
  <c r="AE216" i="4" s="1"/>
  <c r="S185" i="4"/>
  <c r="AE185" i="4" s="1"/>
  <c r="S207" i="4"/>
  <c r="AE207" i="4" s="1"/>
  <c r="S212" i="4"/>
  <c r="AE212" i="4" s="1"/>
  <c r="S157" i="4"/>
  <c r="AE157" i="4" s="1"/>
  <c r="R176" i="4"/>
  <c r="S199" i="4"/>
  <c r="AE199" i="4" s="1"/>
  <c r="S158" i="4"/>
  <c r="AE158" i="4" s="1"/>
  <c r="S156" i="4"/>
  <c r="AE156" i="4" s="1"/>
  <c r="R145" i="4"/>
  <c r="AD145" i="4" s="1"/>
  <c r="R166" i="4"/>
  <c r="AD166" i="4" s="1"/>
  <c r="S176" i="4"/>
  <c r="AE176" i="4" s="1"/>
  <c r="S190" i="4"/>
  <c r="AE190" i="4" s="1"/>
  <c r="S220" i="4"/>
  <c r="AE220" i="4" s="1"/>
  <c r="S215" i="4"/>
  <c r="AE215" i="4" s="1"/>
  <c r="S150" i="4"/>
  <c r="AE150" i="4" s="1"/>
  <c r="AE149" i="4" s="1"/>
  <c r="S155" i="4"/>
  <c r="AE155" i="4" s="1"/>
  <c r="S204" i="4"/>
  <c r="AE204" i="4" s="1"/>
  <c r="S208" i="4"/>
  <c r="AE208" i="4" s="1"/>
  <c r="S211" i="4"/>
  <c r="AE211" i="4" s="1"/>
  <c r="S214" i="4"/>
  <c r="AE214" i="4" s="1"/>
  <c r="S217" i="4"/>
  <c r="AE217" i="4" s="1"/>
  <c r="S221" i="4"/>
  <c r="AE221" i="4" s="1"/>
  <c r="R185" i="4"/>
  <c r="AD185" i="4" s="1"/>
  <c r="S153" i="4"/>
  <c r="AE153" i="4" s="1"/>
  <c r="S180" i="4"/>
  <c r="AE180" i="4" s="1"/>
  <c r="R197" i="4"/>
  <c r="AD197" i="4" s="1"/>
  <c r="S194" i="4"/>
  <c r="AE194" i="4" s="1"/>
  <c r="S178" i="4"/>
  <c r="AE178" i="4" s="1"/>
  <c r="S198" i="4"/>
  <c r="AE198" i="4" s="1"/>
  <c r="S172" i="4"/>
  <c r="AE172" i="4" s="1"/>
  <c r="S177" i="4"/>
  <c r="AE177" i="4" s="1"/>
  <c r="S195" i="4"/>
  <c r="AE195" i="4" s="1"/>
  <c r="R190" i="4"/>
  <c r="AD190" i="4" s="1"/>
  <c r="R157" i="4"/>
  <c r="AD157" i="4" s="1"/>
  <c r="R212" i="4"/>
  <c r="AD212" i="4" s="1"/>
  <c r="R215" i="4"/>
  <c r="AD215" i="4" s="1"/>
  <c r="R219" i="4"/>
  <c r="AD219" i="4" s="1"/>
  <c r="R187" i="4"/>
  <c r="AD187" i="4" s="1"/>
  <c r="S143" i="4"/>
  <c r="AE143" i="4" s="1"/>
  <c r="S146" i="4"/>
  <c r="AE146" i="4" s="1"/>
  <c r="S173" i="4"/>
  <c r="AE173" i="4" s="1"/>
  <c r="S182" i="4"/>
  <c r="AE182" i="4" s="1"/>
  <c r="R154" i="4"/>
  <c r="AD154" i="4" s="1"/>
  <c r="S188" i="4"/>
  <c r="AE188" i="4" s="1"/>
  <c r="R143" i="4"/>
  <c r="AD143" i="4" s="1"/>
  <c r="R146" i="4"/>
  <c r="AD146" i="4" s="1"/>
  <c r="R150" i="4"/>
  <c r="AD150" i="4" s="1"/>
  <c r="R153" i="4"/>
  <c r="AD153" i="4" s="1"/>
  <c r="R178" i="4"/>
  <c r="AD178" i="4" s="1"/>
  <c r="R172" i="4"/>
  <c r="AD172" i="4" s="1"/>
  <c r="R156" i="4"/>
  <c r="AD156" i="4" s="1"/>
  <c r="R182" i="4"/>
  <c r="AD182" i="4" s="1"/>
  <c r="R155" i="4"/>
  <c r="AD155" i="4" s="1"/>
  <c r="R183" i="4"/>
  <c r="AD183" i="4" s="1"/>
  <c r="R180" i="4"/>
  <c r="AD180" i="4" s="1"/>
  <c r="R198" i="4"/>
  <c r="AD198" i="4" s="1"/>
  <c r="R195" i="4"/>
  <c r="AD195" i="4" s="1"/>
  <c r="R191" i="4"/>
  <c r="AD191" i="4" s="1"/>
  <c r="R158" i="4"/>
  <c r="AD158" i="4" s="1"/>
  <c r="R207" i="4"/>
  <c r="AD207" i="4" s="1"/>
  <c r="R210" i="4"/>
  <c r="AD210" i="4" s="1"/>
  <c r="R213" i="4"/>
  <c r="AD213" i="4" s="1"/>
  <c r="R216" i="4"/>
  <c r="AD216" i="4" s="1"/>
  <c r="R220" i="4"/>
  <c r="AD220" i="4" s="1"/>
  <c r="S142" i="4"/>
  <c r="AE142" i="4" s="1"/>
  <c r="S170" i="4"/>
  <c r="S174" i="4"/>
  <c r="AE174" i="4" s="1"/>
  <c r="S165" i="4"/>
  <c r="AE165" i="4" s="1"/>
  <c r="S179" i="4"/>
  <c r="AE179" i="4" s="1"/>
  <c r="S184" i="4"/>
  <c r="AE184" i="4" s="1"/>
  <c r="S181" i="4"/>
  <c r="AE181" i="4" s="1"/>
  <c r="S189" i="4"/>
  <c r="AE189" i="4" s="1"/>
  <c r="S203" i="4"/>
  <c r="AE203" i="4" s="1"/>
  <c r="S209" i="4"/>
  <c r="AE209" i="4" s="1"/>
  <c r="S218" i="4"/>
  <c r="AE218" i="4" s="1"/>
  <c r="S222" i="4"/>
  <c r="AE222" i="4" s="1"/>
  <c r="R142" i="4"/>
  <c r="AD142" i="4" s="1"/>
  <c r="R174" i="4"/>
  <c r="AD174" i="4" s="1"/>
  <c r="R165" i="4"/>
  <c r="AD165" i="4" s="1"/>
  <c r="R179" i="4"/>
  <c r="AD179" i="4" s="1"/>
  <c r="R184" i="4"/>
  <c r="AD184" i="4" s="1"/>
  <c r="R175" i="4"/>
  <c r="R181" i="4"/>
  <c r="AD181" i="4" s="1"/>
  <c r="R189" i="4"/>
  <c r="AD189" i="4" s="1"/>
  <c r="R203" i="4"/>
  <c r="AD203" i="4" s="1"/>
  <c r="R209" i="4"/>
  <c r="AD209" i="4" s="1"/>
  <c r="R218" i="4"/>
  <c r="AD218" i="4" s="1"/>
  <c r="R222" i="4"/>
  <c r="AD222" i="4" s="1"/>
  <c r="R132" i="4"/>
  <c r="AD132" i="4" s="1"/>
  <c r="R135" i="4"/>
  <c r="AD135" i="4" s="1"/>
  <c r="R138" i="4"/>
  <c r="AD138" i="4" s="1"/>
  <c r="R133" i="4"/>
  <c r="AD133" i="4" s="1"/>
  <c r="R134" i="4"/>
  <c r="AD134" i="4" s="1"/>
  <c r="R137" i="4"/>
  <c r="AD137" i="4" s="1"/>
  <c r="R131" i="4"/>
  <c r="AD131" i="4" s="1"/>
  <c r="R136" i="4"/>
  <c r="AD136" i="4" s="1"/>
  <c r="A540" i="9" l="1"/>
  <c r="A541" i="9" s="1"/>
  <c r="A544" i="9" s="1"/>
  <c r="V11" i="4"/>
  <c r="Y9" i="4"/>
  <c r="Z9" i="4" s="1"/>
  <c r="AF1034" i="4"/>
  <c r="Y12" i="4"/>
  <c r="Y5" i="4"/>
  <c r="Y6" i="4"/>
  <c r="Z6" i="4" s="1"/>
  <c r="AE907" i="4"/>
  <c r="AF774" i="4"/>
  <c r="AE613" i="4"/>
  <c r="AF613" i="4" s="1"/>
  <c r="AE878" i="4"/>
  <c r="AE861" i="4" s="1"/>
  <c r="AE8" i="4" s="1"/>
  <c r="AF453" i="4"/>
  <c r="AE140" i="4"/>
  <c r="AE884" i="4"/>
  <c r="AE7" i="4" s="1"/>
  <c r="AE129" i="4"/>
  <c r="AE128" i="4" s="1"/>
  <c r="S128" i="4"/>
  <c r="S12" i="4" s="1"/>
  <c r="S5" i="4" s="1"/>
  <c r="AF224" i="4"/>
  <c r="AE206" i="4"/>
  <c r="AE152" i="4"/>
  <c r="AF334" i="4"/>
  <c r="AF364" i="4"/>
  <c r="AF348" i="4"/>
  <c r="AF475" i="4"/>
  <c r="AF701" i="4"/>
  <c r="AF751" i="4"/>
  <c r="AF759" i="4"/>
  <c r="AF809" i="4"/>
  <c r="AF789" i="4"/>
  <c r="AE918" i="4"/>
  <c r="AF918" i="4" s="1"/>
  <c r="Y918" i="4"/>
  <c r="Y1060" i="4" s="1"/>
  <c r="AE965" i="4"/>
  <c r="AE964" i="4" s="1"/>
  <c r="S861" i="4"/>
  <c r="S140" i="4"/>
  <c r="S206" i="4"/>
  <c r="S152" i="4"/>
  <c r="K140" i="4"/>
  <c r="O140" i="4"/>
  <c r="S884" i="4"/>
  <c r="K884" i="4"/>
  <c r="O884" i="4"/>
  <c r="K861" i="4"/>
  <c r="O861" i="4"/>
  <c r="O206" i="4"/>
  <c r="K206" i="4"/>
  <c r="K152" i="4"/>
  <c r="O152" i="4"/>
  <c r="XFD144" i="4"/>
  <c r="XFD147" i="4"/>
  <c r="XFD145" i="4"/>
  <c r="O149" i="4"/>
  <c r="XFD142" i="4"/>
  <c r="K149" i="4"/>
  <c r="XFD143" i="4"/>
  <c r="S149" i="4"/>
  <c r="AF149" i="4" s="1"/>
  <c r="XFD146" i="4"/>
  <c r="L85" i="1"/>
  <c r="F69" i="1"/>
  <c r="I69" i="1" s="1"/>
  <c r="O69" i="1" s="1"/>
  <c r="J69" i="1"/>
  <c r="P69" i="1" s="1"/>
  <c r="F70" i="1"/>
  <c r="I70" i="1" s="1"/>
  <c r="O70" i="1" s="1"/>
  <c r="J70" i="1"/>
  <c r="P70" i="1" s="1"/>
  <c r="F71" i="1"/>
  <c r="I71" i="1" s="1"/>
  <c r="O71" i="1" s="1"/>
  <c r="J71" i="1"/>
  <c r="P71" i="1" s="1"/>
  <c r="F72" i="1"/>
  <c r="I72" i="1" s="1"/>
  <c r="O72" i="1" s="1"/>
  <c r="J72" i="1"/>
  <c r="P72" i="1" s="1"/>
  <c r="F73" i="1"/>
  <c r="I73" i="1" s="1"/>
  <c r="O73" i="1" s="1"/>
  <c r="J73" i="1"/>
  <c r="P73" i="1" s="1"/>
  <c r="F74" i="1"/>
  <c r="I74" i="1" s="1"/>
  <c r="O74" i="1" s="1"/>
  <c r="J74" i="1"/>
  <c r="P74" i="1" s="1"/>
  <c r="F75" i="1"/>
  <c r="I75" i="1" s="1"/>
  <c r="O75" i="1" s="1"/>
  <c r="J75" i="1"/>
  <c r="P75" i="1" s="1"/>
  <c r="F76" i="1"/>
  <c r="I76" i="1" s="1"/>
  <c r="O76" i="1" s="1"/>
  <c r="J76" i="1"/>
  <c r="P76" i="1" s="1"/>
  <c r="F77" i="1"/>
  <c r="I77" i="1" s="1"/>
  <c r="O77" i="1" s="1"/>
  <c r="J77" i="1"/>
  <c r="P77" i="1" s="1"/>
  <c r="F78" i="1"/>
  <c r="I78" i="1" s="1"/>
  <c r="O78" i="1" s="1"/>
  <c r="J78" i="1"/>
  <c r="P78" i="1" s="1"/>
  <c r="F79" i="1"/>
  <c r="I79" i="1" s="1"/>
  <c r="O79" i="1" s="1"/>
  <c r="J79" i="1"/>
  <c r="P79" i="1" s="1"/>
  <c r="F80" i="1"/>
  <c r="I80" i="1" s="1"/>
  <c r="O80" i="1" s="1"/>
  <c r="J80" i="1"/>
  <c r="P80" i="1" s="1"/>
  <c r="F81" i="1"/>
  <c r="I81" i="1" s="1"/>
  <c r="O81" i="1" s="1"/>
  <c r="J81" i="1"/>
  <c r="P81" i="1" s="1"/>
  <c r="F82" i="1"/>
  <c r="I82" i="1" s="1"/>
  <c r="O82" i="1" s="1"/>
  <c r="J82" i="1"/>
  <c r="P82" i="1" s="1"/>
  <c r="F83" i="1"/>
  <c r="I83" i="1" s="1"/>
  <c r="O83" i="1" s="1"/>
  <c r="J83" i="1"/>
  <c r="P83" i="1" s="1"/>
  <c r="F84" i="1"/>
  <c r="I84" i="1" s="1"/>
  <c r="O84" i="1" s="1"/>
  <c r="J84" i="1"/>
  <c r="P84" i="1" s="1"/>
  <c r="J68" i="1"/>
  <c r="P68" i="1" s="1"/>
  <c r="F68" i="1"/>
  <c r="I68" i="1" s="1"/>
  <c r="O68" i="1" s="1"/>
  <c r="J18" i="1"/>
  <c r="P18" i="1" s="1"/>
  <c r="L66" i="1"/>
  <c r="D50" i="1"/>
  <c r="F50" i="1" s="1"/>
  <c r="I50" i="1" s="1"/>
  <c r="O50" i="1" s="1"/>
  <c r="F26" i="1"/>
  <c r="I26" i="1" s="1"/>
  <c r="O26" i="1" s="1"/>
  <c r="D27" i="1"/>
  <c r="F27" i="1" s="1"/>
  <c r="F19" i="1"/>
  <c r="I19" i="1" s="1"/>
  <c r="O19" i="1" s="1"/>
  <c r="F20" i="1"/>
  <c r="I20" i="1" s="1"/>
  <c r="O20" i="1" s="1"/>
  <c r="F21" i="1"/>
  <c r="I21" i="1" s="1"/>
  <c r="O21" i="1" s="1"/>
  <c r="F22" i="1"/>
  <c r="I22" i="1" s="1"/>
  <c r="O22" i="1" s="1"/>
  <c r="F23" i="1"/>
  <c r="I23" i="1" s="1"/>
  <c r="O23" i="1" s="1"/>
  <c r="F24" i="1"/>
  <c r="I24" i="1" s="1"/>
  <c r="O24" i="1" s="1"/>
  <c r="F25" i="1"/>
  <c r="I25" i="1" s="1"/>
  <c r="O25" i="1" s="1"/>
  <c r="F28" i="1"/>
  <c r="I28" i="1" s="1"/>
  <c r="O28" i="1" s="1"/>
  <c r="F29" i="1"/>
  <c r="I29" i="1" s="1"/>
  <c r="O29" i="1" s="1"/>
  <c r="F30" i="1"/>
  <c r="I30" i="1" s="1"/>
  <c r="O30" i="1" s="1"/>
  <c r="F31" i="1"/>
  <c r="I31" i="1" s="1"/>
  <c r="O31" i="1" s="1"/>
  <c r="F32" i="1"/>
  <c r="I32" i="1" s="1"/>
  <c r="O32" i="1" s="1"/>
  <c r="F33" i="1"/>
  <c r="I33" i="1" s="1"/>
  <c r="O33" i="1" s="1"/>
  <c r="F34" i="1"/>
  <c r="I34" i="1" s="1"/>
  <c r="O34" i="1" s="1"/>
  <c r="F35" i="1"/>
  <c r="I35" i="1" s="1"/>
  <c r="O35" i="1" s="1"/>
  <c r="F36" i="1"/>
  <c r="I36" i="1" s="1"/>
  <c r="O36" i="1" s="1"/>
  <c r="F37" i="1"/>
  <c r="I37" i="1" s="1"/>
  <c r="O37" i="1" s="1"/>
  <c r="F38" i="1"/>
  <c r="I38" i="1" s="1"/>
  <c r="O38" i="1" s="1"/>
  <c r="F39" i="1"/>
  <c r="I39" i="1" s="1"/>
  <c r="O39" i="1" s="1"/>
  <c r="F40" i="1"/>
  <c r="I40" i="1" s="1"/>
  <c r="O40" i="1" s="1"/>
  <c r="F41" i="1"/>
  <c r="I41" i="1" s="1"/>
  <c r="O41" i="1" s="1"/>
  <c r="F42" i="1"/>
  <c r="I42" i="1" s="1"/>
  <c r="O42" i="1" s="1"/>
  <c r="F43" i="1"/>
  <c r="I43" i="1" s="1"/>
  <c r="O43" i="1" s="1"/>
  <c r="F44" i="1"/>
  <c r="I44" i="1" s="1"/>
  <c r="O44" i="1" s="1"/>
  <c r="F45" i="1"/>
  <c r="I45" i="1" s="1"/>
  <c r="O45" i="1" s="1"/>
  <c r="F46" i="1"/>
  <c r="I46" i="1" s="1"/>
  <c r="O46" i="1" s="1"/>
  <c r="F47" i="1"/>
  <c r="I47" i="1" s="1"/>
  <c r="O47" i="1" s="1"/>
  <c r="F48" i="1"/>
  <c r="I48" i="1" s="1"/>
  <c r="O48" i="1" s="1"/>
  <c r="F49" i="1"/>
  <c r="I49" i="1" s="1"/>
  <c r="O49" i="1" s="1"/>
  <c r="F51" i="1"/>
  <c r="I51" i="1" s="1"/>
  <c r="O51" i="1" s="1"/>
  <c r="F52" i="1"/>
  <c r="I52" i="1" s="1"/>
  <c r="O52" i="1" s="1"/>
  <c r="F53" i="1"/>
  <c r="I53" i="1" s="1"/>
  <c r="O53" i="1" s="1"/>
  <c r="F54" i="1"/>
  <c r="I54" i="1" s="1"/>
  <c r="O54" i="1" s="1"/>
  <c r="F55" i="1"/>
  <c r="I55" i="1" s="1"/>
  <c r="O55" i="1" s="1"/>
  <c r="F56" i="1"/>
  <c r="I56" i="1" s="1"/>
  <c r="O56" i="1" s="1"/>
  <c r="F57" i="1"/>
  <c r="I57" i="1" s="1"/>
  <c r="O57" i="1" s="1"/>
  <c r="F58" i="1"/>
  <c r="I58" i="1" s="1"/>
  <c r="O58" i="1" s="1"/>
  <c r="F59" i="1"/>
  <c r="I59" i="1" s="1"/>
  <c r="O59" i="1" s="1"/>
  <c r="F60" i="1"/>
  <c r="I60" i="1" s="1"/>
  <c r="O60" i="1" s="1"/>
  <c r="F61" i="1"/>
  <c r="I61" i="1" s="1"/>
  <c r="O61" i="1" s="1"/>
  <c r="F62" i="1"/>
  <c r="I62" i="1" s="1"/>
  <c r="O62" i="1" s="1"/>
  <c r="F63" i="1"/>
  <c r="I63" i="1" s="1"/>
  <c r="O63" i="1" s="1"/>
  <c r="F64" i="1"/>
  <c r="I64" i="1" s="1"/>
  <c r="O64" i="1" s="1"/>
  <c r="F65" i="1"/>
  <c r="I65" i="1" s="1"/>
  <c r="O65" i="1" s="1"/>
  <c r="F18" i="1"/>
  <c r="I18" i="1" s="1"/>
  <c r="O18" i="1" s="1"/>
  <c r="J65" i="1"/>
  <c r="P65" i="1" s="1"/>
  <c r="J64" i="1"/>
  <c r="P64" i="1" s="1"/>
  <c r="J63" i="1"/>
  <c r="P63" i="1" s="1"/>
  <c r="J62" i="1"/>
  <c r="P62" i="1" s="1"/>
  <c r="J61" i="1"/>
  <c r="P61" i="1" s="1"/>
  <c r="J60" i="1"/>
  <c r="P60" i="1" s="1"/>
  <c r="J59" i="1"/>
  <c r="P59" i="1" s="1"/>
  <c r="J58" i="1"/>
  <c r="P58" i="1" s="1"/>
  <c r="J57" i="1"/>
  <c r="P57" i="1" s="1"/>
  <c r="J56" i="1"/>
  <c r="P56" i="1" s="1"/>
  <c r="J55" i="1"/>
  <c r="P55" i="1" s="1"/>
  <c r="J54" i="1"/>
  <c r="P54" i="1" s="1"/>
  <c r="J53" i="1"/>
  <c r="P53" i="1" s="1"/>
  <c r="J52" i="1"/>
  <c r="P52" i="1" s="1"/>
  <c r="J51" i="1"/>
  <c r="P51" i="1" s="1"/>
  <c r="J50" i="1"/>
  <c r="P50" i="1" s="1"/>
  <c r="J49" i="1"/>
  <c r="P49" i="1" s="1"/>
  <c r="J48" i="1"/>
  <c r="P48" i="1" s="1"/>
  <c r="J47" i="1"/>
  <c r="P47" i="1" s="1"/>
  <c r="J46" i="1"/>
  <c r="P46" i="1" s="1"/>
  <c r="J45" i="1"/>
  <c r="P45" i="1" s="1"/>
  <c r="J44" i="1"/>
  <c r="P44" i="1" s="1"/>
  <c r="J43" i="1"/>
  <c r="P43" i="1" s="1"/>
  <c r="J42" i="1"/>
  <c r="P42" i="1" s="1"/>
  <c r="J41" i="1"/>
  <c r="P41" i="1" s="1"/>
  <c r="J40" i="1"/>
  <c r="P40" i="1" s="1"/>
  <c r="J39" i="1"/>
  <c r="P39" i="1" s="1"/>
  <c r="J38" i="1"/>
  <c r="P38" i="1" s="1"/>
  <c r="J37" i="1"/>
  <c r="P37" i="1" s="1"/>
  <c r="J36" i="1"/>
  <c r="P36" i="1" s="1"/>
  <c r="J35" i="1"/>
  <c r="P35" i="1" s="1"/>
  <c r="J34" i="1"/>
  <c r="P34" i="1" s="1"/>
  <c r="J33" i="1"/>
  <c r="P33" i="1" s="1"/>
  <c r="J32" i="1"/>
  <c r="P32" i="1" s="1"/>
  <c r="J31" i="1"/>
  <c r="P31" i="1" s="1"/>
  <c r="J30" i="1"/>
  <c r="P30" i="1" s="1"/>
  <c r="J29" i="1"/>
  <c r="P29" i="1" s="1"/>
  <c r="J28" i="1"/>
  <c r="P28" i="1" s="1"/>
  <c r="J27" i="1"/>
  <c r="P27" i="1" s="1"/>
  <c r="J26" i="1"/>
  <c r="P26" i="1" s="1"/>
  <c r="J25" i="1"/>
  <c r="P25" i="1" s="1"/>
  <c r="J24" i="1"/>
  <c r="P24" i="1" s="1"/>
  <c r="J23" i="1"/>
  <c r="P23" i="1" s="1"/>
  <c r="J22" i="1"/>
  <c r="P22" i="1" s="1"/>
  <c r="J21" i="1"/>
  <c r="P21" i="1" s="1"/>
  <c r="J20" i="1"/>
  <c r="P20" i="1" s="1"/>
  <c r="J19" i="1"/>
  <c r="P19" i="1" s="1"/>
  <c r="J6" i="1"/>
  <c r="J15" i="1"/>
  <c r="P15" i="1" s="1"/>
  <c r="J14" i="1"/>
  <c r="P14" i="1" s="1"/>
  <c r="J13" i="1"/>
  <c r="P13" i="1" s="1"/>
  <c r="I12" i="1"/>
  <c r="O12" i="1" s="1"/>
  <c r="G12" i="1"/>
  <c r="J12" i="1" s="1"/>
  <c r="P12" i="1" s="1"/>
  <c r="I9" i="1"/>
  <c r="O9" i="1" s="1"/>
  <c r="G9" i="1"/>
  <c r="J9" i="1" s="1"/>
  <c r="P9" i="1" s="1"/>
  <c r="A545" i="9" l="1"/>
  <c r="A546" i="9" s="1"/>
  <c r="A547" i="9" s="1"/>
  <c r="A549" i="9" s="1"/>
  <c r="A551" i="9" s="1"/>
  <c r="A552" i="9" s="1"/>
  <c r="A553" i="9" s="1"/>
  <c r="A554" i="9" s="1"/>
  <c r="A555" i="9" s="1"/>
  <c r="A558" i="9" s="1"/>
  <c r="A559" i="9" s="1"/>
  <c r="A561" i="9" s="1"/>
  <c r="A562" i="9" s="1"/>
  <c r="A563" i="9" s="1"/>
  <c r="A565" i="9" s="1"/>
  <c r="A566" i="9" s="1"/>
  <c r="A567" i="9" s="1"/>
  <c r="Z5" i="4"/>
  <c r="AE906" i="4"/>
  <c r="Y906" i="4"/>
  <c r="AE491" i="4"/>
  <c r="AE12" i="4"/>
  <c r="AF12" i="4" s="1"/>
  <c r="AE1060" i="4"/>
  <c r="AF965" i="4"/>
  <c r="AE9" i="4"/>
  <c r="AF907" i="4"/>
  <c r="AE10" i="4"/>
  <c r="AE6" i="4"/>
  <c r="AF6" i="4" s="1"/>
  <c r="Y10" i="4"/>
  <c r="Z10" i="4" s="1"/>
  <c r="AE5" i="4"/>
  <c r="O1060" i="4"/>
  <c r="K1060" i="4"/>
  <c r="S1060" i="4"/>
  <c r="AF140" i="4"/>
  <c r="AF861" i="4"/>
  <c r="AF884" i="4"/>
  <c r="AF128" i="4"/>
  <c r="AF206" i="4"/>
  <c r="AF152" i="4"/>
  <c r="J66" i="1"/>
  <c r="P85" i="1"/>
  <c r="P66" i="1"/>
  <c r="J85" i="1"/>
  <c r="I27" i="1"/>
  <c r="O27" i="1" s="1"/>
  <c r="I8" i="1"/>
  <c r="O8" i="1" s="1"/>
  <c r="G8" i="1"/>
  <c r="J8" i="1" s="1"/>
  <c r="P8" i="1" s="1"/>
  <c r="D11" i="1"/>
  <c r="G11" i="1" s="1"/>
  <c r="J11" i="1" s="1"/>
  <c r="P11" i="1" s="1"/>
  <c r="I11" i="1"/>
  <c r="O11" i="1" s="1"/>
  <c r="A569" i="9" l="1"/>
  <c r="A571" i="9" s="1"/>
  <c r="A573" i="9" s="1"/>
  <c r="Y11" i="4"/>
  <c r="Z11" i="4" s="1"/>
  <c r="AF5" i="4"/>
  <c r="AE11" i="4"/>
  <c r="AF1060" i="4"/>
  <c r="I7" i="1"/>
  <c r="O7" i="1" s="1"/>
  <c r="G7" i="1"/>
  <c r="J7" i="1" s="1"/>
  <c r="F6" i="1"/>
  <c r="R6" i="1" s="1"/>
  <c r="A574" i="9" l="1"/>
  <c r="A575" i="9" s="1"/>
  <c r="A576" i="9" s="1"/>
  <c r="A578" i="9" s="1"/>
  <c r="I6" i="1"/>
  <c r="O6" i="1" s="1"/>
  <c r="P7" i="1"/>
  <c r="F13" i="1"/>
  <c r="I13" i="1" s="1"/>
  <c r="O13" i="1" s="1"/>
  <c r="A579" i="9" l="1"/>
  <c r="A580" i="9" s="1"/>
  <c r="A581" i="9" s="1"/>
  <c r="A583" i="9" s="1"/>
  <c r="A584" i="9" s="1"/>
  <c r="A587" i="9" s="1"/>
  <c r="F10" i="1"/>
  <c r="I10" i="1" s="1"/>
  <c r="O10" i="1" s="1"/>
  <c r="F14" i="1"/>
  <c r="I14" i="1" s="1"/>
  <c r="O14" i="1" s="1"/>
  <c r="F15" i="1"/>
  <c r="I15" i="1" s="1"/>
  <c r="O15" i="1" s="1"/>
  <c r="L16" i="1"/>
  <c r="J10" i="1"/>
  <c r="P6" i="1"/>
  <c r="A588" i="9" l="1"/>
  <c r="P10" i="1"/>
  <c r="P16" i="1" s="1"/>
  <c r="J16" i="1"/>
  <c r="A589" i="9" l="1"/>
  <c r="A592" i="9" s="1"/>
  <c r="J41" i="9" l="1"/>
  <c r="K419" i="6" l="1"/>
  <c r="J43" i="9"/>
  <c r="J115" i="9" s="1"/>
  <c r="I8" i="6" l="1"/>
  <c r="J8" i="6" l="1"/>
  <c r="J82" i="6" s="1"/>
  <c r="J388" i="9" l="1"/>
  <c r="J390" i="9"/>
  <c r="J392" i="9"/>
  <c r="J389" i="9"/>
  <c r="J391" i="9"/>
  <c r="E390" i="9"/>
  <c r="I390" i="9" s="1"/>
  <c r="E391" i="9"/>
  <c r="I391" i="9" s="1"/>
  <c r="E389" i="9"/>
  <c r="I389" i="9" s="1"/>
  <c r="E388" i="9"/>
  <c r="I388" i="9" s="1"/>
  <c r="E392" i="9"/>
  <c r="I392" i="9" s="1"/>
  <c r="J472" i="9" l="1"/>
  <c r="J594" i="9" s="1"/>
  <c r="K273" i="6"/>
  <c r="L7" i="9"/>
  <c r="J591" i="9"/>
  <c r="H162" i="6" l="1"/>
  <c r="J162" i="6" s="1"/>
  <c r="I162" i="6"/>
  <c r="I163" i="6"/>
  <c r="J163" i="6"/>
  <c r="J186" i="6" s="1"/>
  <c r="J450" i="6" s="1"/>
  <c r="H186" i="6" l="1"/>
  <c r="G3" i="10" s="1"/>
  <c r="M3" i="10" l="1"/>
  <c r="M11" i="10" s="1"/>
  <c r="H3" i="10"/>
  <c r="J3" i="10"/>
  <c r="N3" i="10" l="1"/>
  <c r="N11" i="10" s="1"/>
  <c r="P3" i="10"/>
  <c r="P11" i="10" s="1"/>
  <c r="K3" i="10"/>
  <c r="Q3" i="10" l="1"/>
  <c r="Q11" i="10" s="1"/>
  <c r="K491" i="4" l="1"/>
  <c r="O491" i="4"/>
  <c r="S491" i="4"/>
  <c r="AF49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49" authorId="0" shapeId="0" xr:uid="{8F589655-C190-4AD7-AE30-24D436AC482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144</t>
        </r>
      </text>
    </comment>
  </commentList>
</comments>
</file>

<file path=xl/sharedStrings.xml><?xml version="1.0" encoding="utf-8"?>
<sst xmlns="http://schemas.openxmlformats.org/spreadsheetml/2006/main" count="6683" uniqueCount="2317">
  <si>
    <t>Ед.изм</t>
  </si>
  <si>
    <t xml:space="preserve">Наименование </t>
  </si>
  <si>
    <t>Стоимость по смете</t>
  </si>
  <si>
    <t>Сальдо</t>
  </si>
  <si>
    <t>Кол-во</t>
  </si>
  <si>
    <t>м</t>
  </si>
  <si>
    <t>Итого</t>
  </si>
  <si>
    <t>Базовая</t>
  </si>
  <si>
    <t>Цена за ед., без НДС</t>
  </si>
  <si>
    <t xml:space="preserve">Индекс пересчета </t>
  </si>
  <si>
    <t>Стоимость, без НДС</t>
  </si>
  <si>
    <t>Примечания</t>
  </si>
  <si>
    <t>Факт закупки</t>
  </si>
  <si>
    <t>№ п/п</t>
  </si>
  <si>
    <t>02-02-2-00-01р(и1) Земляное полотно подъездного пути к ТП Киевская</t>
  </si>
  <si>
    <t>Газон универсальный-альтернативный</t>
  </si>
  <si>
    <t>кг</t>
  </si>
  <si>
    <t>м3</t>
  </si>
  <si>
    <t>Щебень М 600, фракция 20-40 мм</t>
  </si>
  <si>
    <t>Решетка геотекстильная "Геомат"</t>
  </si>
  <si>
    <t>м2</t>
  </si>
  <si>
    <t>Текущая, с дог. К=0,7958</t>
  </si>
  <si>
    <t>Глина, в том числе</t>
  </si>
  <si>
    <t>Смесь песчано-гравийная (грунт дренирующий) для сооружения земляного полотна , в том числе</t>
  </si>
  <si>
    <t>02-02-4-01-01р(и4) Верхнее строение подъездного пути к тяговой подстанции Киевская</t>
  </si>
  <si>
    <t>Башмакосбрасыватель, тип рельсов Р65, на деревянных брусьях, 1704.000</t>
  </si>
  <si>
    <t>компл.</t>
  </si>
  <si>
    <t>Болты для рельсовых стыков железнодорожного пути: в комплекте с гайками М22х135-140</t>
  </si>
  <si>
    <t>т</t>
  </si>
  <si>
    <t>Болты для рельсовых стыков железнодорожного пути: в комплекте с гайками М24х150-160</t>
  </si>
  <si>
    <t>Болты для рельсовых стыков железнодорожного пути: в комплекте с гайками М27х160-180</t>
  </si>
  <si>
    <t>Болты закладные для рельсовых скреплений железнодорожного пути в комплекте с гайками М22х175</t>
  </si>
  <si>
    <t>Болты клеммные для рельсовых скреплений железнодорожного пути: в комплекте с гайками М22х75</t>
  </si>
  <si>
    <t>Болты с шестигранной головкой диаметром резьбы: 12 (14) мм</t>
  </si>
  <si>
    <t>Бруски обрезные хвойных пород длиной: 4-6,5 м, шириной 75-150 мм, толщиной 150 мм и более, I сорта</t>
  </si>
  <si>
    <t>Брусья деревянные пропитанные: мостовые</t>
  </si>
  <si>
    <t>Втулки изолирующие КБ ОП142</t>
  </si>
  <si>
    <t>1000 шт.</t>
  </si>
  <si>
    <t>Грунтовка: ГФ-021 красно-коричневая</t>
  </si>
  <si>
    <t>Клемма: ПК</t>
  </si>
  <si>
    <t>шт.</t>
  </si>
  <si>
    <t>Комплект брусьев железобетонных для стрелочных переводов: марка 1/11</t>
  </si>
  <si>
    <t>Комплект брусьев железобетонных для стрелочных переводов: марка 1/9</t>
  </si>
  <si>
    <t>Костыли для железных дорог широкой колеи сечением, 16х16 мм, длиной: 165 мм</t>
  </si>
  <si>
    <t>Краска ХВ-161 перхлорвиниловая фасадная марок А, Б</t>
  </si>
  <si>
    <t>Краски масляные земляные марки: МА-0115 мумия, сурик железный</t>
  </si>
  <si>
    <t>Масла каменноугольные для пропитки древесины</t>
  </si>
  <si>
    <t>Механизм переводной, 1709.00.000</t>
  </si>
  <si>
    <t>Накладка Р50</t>
  </si>
  <si>
    <t>Накладка: 2Р65</t>
  </si>
  <si>
    <t>Олифа комбинированная, марки: К-3</t>
  </si>
  <si>
    <t>Перевод стрелочный, тип рельсов Р65, на железобетонных брусьях: марка 1/11, 2750.00.00</t>
  </si>
  <si>
    <t>Перевод стрелочный, тип рельсов Р65, на железобетонных брусьях: марка 1/9, 2769.00.000</t>
  </si>
  <si>
    <t>Подкладка КБ-50</t>
  </si>
  <si>
    <t>Подкладка: КБ-65</t>
  </si>
  <si>
    <t>Проволока черная диаметром: 6,0-6,3 мм</t>
  </si>
  <si>
    <t>Прокладка повышенной упругости под подкладку КБ, КБ10 ЦП 328 из смеси РП 101-710</t>
  </si>
  <si>
    <t>Прокладка под подошву рельсов для пути с железобетонными шпалами: ПБР65х8 ЦП143 (ПБР65х7 ЦП318) из смеси РП101-710</t>
  </si>
  <si>
    <t>Рельсы железнодорожные старогодные для повторной укладки в путь типа Р65 1 группы годности</t>
  </si>
  <si>
    <t>Рельсы железнодорожные старогодные не годные для повторной укладки в путь</t>
  </si>
  <si>
    <t>Рельсы железнодорожные типа: Р-65 категории Т1</t>
  </si>
  <si>
    <t>Скоба для изолирующей втулки КБ ЦП138</t>
  </si>
  <si>
    <t>Смесь песчано-гравийная природная</t>
  </si>
  <si>
    <t>Смола эпоксидная марки: ЭД-20</t>
  </si>
  <si>
    <t>Сталь листовая углеродистая обыкновенного качества марки ВСт3пс5 толщиной: 4-6 мм</t>
  </si>
  <si>
    <t>Столбик железобетонный для знаков путевых и сигнальных железных дорог размером 120х150х2800 мм. объем бетона - 0,057 м3</t>
  </si>
  <si>
    <t>Стык изолирующий рельсов типа Р65 с комбинированными (металлокомпозитными) накладками ТУ 32 ЦП829 -98 в составе: накладка АпАТэК Р65 МК - 2 шт., прокладка стыковая - 1 шт., шайба-6шт, втулка - 6 шт., болт М 27х150 - 6 шт., гайка М 27 - 6 шт.</t>
  </si>
  <si>
    <t>Угловой неравнополочный горячекатаный прокат толщиной 11-16 мм, при ширине полки 180-200 мм, из углеродистой обыкновенного качества стали марки: Ст0</t>
  </si>
  <si>
    <t>Шайбы двухвитковые</t>
  </si>
  <si>
    <t>Шайбы пружинные путевые: 22</t>
  </si>
  <si>
    <t>Шайбы пружинные путевые: 27</t>
  </si>
  <si>
    <t>Шпала железобетонная старогодняя Ш1 для повторной укладки в путь, объем бетона -0,106 м3, расход стали - 7,25кг I группы годности</t>
  </si>
  <si>
    <t>Шпалы деревянные пропитанные, тип III</t>
  </si>
  <si>
    <t>Шпалы железобетонные: Ш1, объем бетона 0,106 м3, расход стали 7,25 кг</t>
  </si>
  <si>
    <t>Щебень из плотных горных пород для балластного слоя железнодорожного пути фракции от 25 до 60 мм</t>
  </si>
  <si>
    <t>Электроды диаметром: 4 мм Э42А</t>
  </si>
  <si>
    <t>Электроды диаметром: 5 мм Э42</t>
  </si>
  <si>
    <t xml:space="preserve"> шт.</t>
  </si>
  <si>
    <t>02-02-4-01-02р(и1)Устройство железнодорожного переезда</t>
  </si>
  <si>
    <t>Бруски обрезные хвойных пород длиной: 4-6,5 м, шириной 75-150 мм, толщиной 100, 125 мм, II сорта</t>
  </si>
  <si>
    <t>Брусья деревянные из древесины хвойных пород для стрелочных переводов: пропитанные</t>
  </si>
  <si>
    <t>Гвозди строительные</t>
  </si>
  <si>
    <t>Мастика бутилкаучуковая строительная, марки: МББП-65 «ЛИЛО-1»</t>
  </si>
  <si>
    <t>Настил для железнодорожных переездов:: унифицированный ПТКБ ЦП МПС 2741.000 (из резиновых плит шириной 6-6,5 м на однопутный участок с рельсами типа Р-65 на железобетонных и на деревянных шпалах)</t>
  </si>
  <si>
    <t>Поковки из квадратных заготовок, масса: 1,8 кг</t>
  </si>
  <si>
    <t>Раствор готовый кладочный цементный марки: 100</t>
  </si>
  <si>
    <t>Сталь угловая равнополочная, марка стали: 18пс, шириной полок 60-100 мм</t>
  </si>
  <si>
    <t>Шайбы пружинные путевые: 24</t>
  </si>
  <si>
    <t>Шурупы путевые размером: 24х170 мм</t>
  </si>
  <si>
    <t>Элементы торцевого и бокового крепления</t>
  </si>
  <si>
    <t>02-02-7-01-01р(и2) Строительные работы. Тяговая подстанция Киевская</t>
  </si>
  <si>
    <t>Асбест хризотиловый марки: К-6-30</t>
  </si>
  <si>
    <t>Асфальт литой: для покрытий тротуаров тип II (жесткий)</t>
  </si>
  <si>
    <t>Ацетилен газообразный технический</t>
  </si>
  <si>
    <t>Бензин растворитель</t>
  </si>
  <si>
    <t>Бетон песчаный, класс: В15 (М200)</t>
  </si>
  <si>
    <t>Бетон песчаный, класс: В25 (М350)W6</t>
  </si>
  <si>
    <t>Бетон песчаный, класс: В30 (М400)</t>
  </si>
  <si>
    <t>Бетон тяжелый, класс...</t>
  </si>
  <si>
    <t>Бетон тяжелый, класс: В12,5 (М150)</t>
  </si>
  <si>
    <t>Бетон тяжелый, крупность заполнителя...</t>
  </si>
  <si>
    <t>Бетон тяжелый, крупность заполнителя 20 мм, класс В15 (М200)</t>
  </si>
  <si>
    <t>Бетон тяжелый, крупность заполнителя 20 мм, класс В25 (М350)  W6...</t>
  </si>
  <si>
    <t>Бетон тяжелый, крупность заполнителя: 10 мм, класс В12,5 (М150)</t>
  </si>
  <si>
    <t>Бетон тяжелый, крупность заполнителя: 10 мм, класс В15 (М200)</t>
  </si>
  <si>
    <t>Бетон тяжелый, крупность заполнителя: 10 мм, класс В22,5 (М300)</t>
  </si>
  <si>
    <t>Бетон тяжелый, крупность заполнителя: 20 мм, класс В15 (М200)</t>
  </si>
  <si>
    <t>Бетон тяжелый, крупность заполнителя: 20 мм, класс В3,5 (М50)</t>
  </si>
  <si>
    <t>Битумы нефтяные дорожные жидкие, класс: МГ, СГ</t>
  </si>
  <si>
    <t>Битумы нефтяные строительные для кровельных мастик марки: БНМ-55/60</t>
  </si>
  <si>
    <t>Битумы нефтяные строительные кровельные марки: БНК-45/190, БНК-45/180</t>
  </si>
  <si>
    <t>Битумы нефтяные строительные марки: БН-70/30</t>
  </si>
  <si>
    <t>Битумы нефтяные строительные марки: БН-90/10</t>
  </si>
  <si>
    <t>Блок оконный пластиковый: двустворчатый, с глухой и поворотно-откидной створкой, однокамерным стеклопакетом (24 мм), площадью до 2 м2</t>
  </si>
  <si>
    <t>Блок оконный пластиковый: двустворчатый, с глухой и поворотно-откидной створкой, однокамерным стеклопакетом (24 мм), площадью до 3 м2</t>
  </si>
  <si>
    <t>Блоки дверные двупольные с полотном: глухим ДГ 21-13, площадь 2,63 м2</t>
  </si>
  <si>
    <t>Болты анкерные</t>
  </si>
  <si>
    <t>Болты анкерные оцинкованные</t>
  </si>
  <si>
    <t>Болты с гайками и шайбами строительные</t>
  </si>
  <si>
    <t>Бруски деревянные пропитанные длиной 1 м и более, шириной 40-75 мм, толщиной 22-32 мм, I сорта</t>
  </si>
  <si>
    <t>Бруски деревянные: 50*50 мм</t>
  </si>
  <si>
    <t>Бруски обрезные хвойных пород длиной: 2-6,5 м, толщиной 40-60 мм, II сорта</t>
  </si>
  <si>
    <t>Бруски обрезные хвойных пород длиной: 4-6,5 м, шириной 75-150 мм, толщиной 150 мм и более, II сорта</t>
  </si>
  <si>
    <t>Бруски обрезные хвойных пород длиной: 4-6,5 м, шириной 75-150 мм, толщиной 40-75 мм, I сорта</t>
  </si>
  <si>
    <t>Бруски обрезные хвойных пород длиной: 4-6,5 м, шириной 75-150 мм, толщиной 40-75 мм, II сорта</t>
  </si>
  <si>
    <t>Бруски обрезные хвойных пород длиной: 4-6,5 м, шириной 75-150 мм, толщиной 40-75 мм, III сорта</t>
  </si>
  <si>
    <t>Бруски обрезные хвойных пород длиной: 4-6,5 м, шириной 75-150 мм, толщиной 40-75 мм, IV сорта</t>
  </si>
  <si>
    <t>Вата минеральная</t>
  </si>
  <si>
    <t>Верхний уголок для крепления несущих элементов двери 100x123 мм</t>
  </si>
  <si>
    <t>Ветошь</t>
  </si>
  <si>
    <t>Винты самонарезающие: 4,5х19 мм</t>
  </si>
  <si>
    <t>Винты самонарезающие: с уплотнительной прокладкой 4,8х35 мм</t>
  </si>
  <si>
    <t>Винты самонарезающие: с уплотнительной прокладкой 4,8х80 мм</t>
  </si>
  <si>
    <t>Вода</t>
  </si>
  <si>
    <t>Гвозди проволочные оцинкованные для асбестоцементной кровли: 4,0х100 мм</t>
  </si>
  <si>
    <t>Гвозди проволочные оцинкованные для асбестоцементной кровли: 4,5х120 мм</t>
  </si>
  <si>
    <t>Гвозди строительные с плоской головкой: 1,6x50 мм</t>
  </si>
  <si>
    <t>Гвозди строительные с плоской головкой: 1,8х60 мм</t>
  </si>
  <si>
    <t>Гвозди толевые круглые: 3,0х40 мм</t>
  </si>
  <si>
    <t>Герметик пенополиуретановый (пена монтажная) типа Makrofleks, Soudal в баллонах по 750 мл</t>
  </si>
  <si>
    <t>Герметик силиконовый: для наружных швов</t>
  </si>
  <si>
    <t>л</t>
  </si>
  <si>
    <t>Гипсовые вяжущие, марка: Г3</t>
  </si>
  <si>
    <t>Горячекатаная арматурная сталь гладкая класса А-I, диаметром 12 мм</t>
  </si>
  <si>
    <t>Горячекатаная арматурная сталь гладкая класса А-I, диаметром 8 мм</t>
  </si>
  <si>
    <t>Горячекатаная арматурная сталь гладкая класса А-I, диаметром: 6 мм</t>
  </si>
  <si>
    <t>Горячекатаная арматурная сталь класса...</t>
  </si>
  <si>
    <t>Горячекатаная арматурная сталь класса: А-I, А-II, А-III</t>
  </si>
  <si>
    <t>Горячекатанная арматурная сталь класса А500 С, диаметром...</t>
  </si>
  <si>
    <t>Горячекатанная арматурная сталь класса А500 С, диаметром 18 мм</t>
  </si>
  <si>
    <t>Горячекатанная арматурная сталь класса А500 С, диаметром 25 мм</t>
  </si>
  <si>
    <t>Горячекатанная арматурная сталь класса А500 С, диаметром 32 мм</t>
  </si>
  <si>
    <t>Гравий керамзитовый, фракция: 10-20 мм, марка 800</t>
  </si>
  <si>
    <t>Гребенка несущая</t>
  </si>
  <si>
    <t>Грунтовка: «Тифенгрунд», КНАУФ</t>
  </si>
  <si>
    <t>Двери распашные ДМП 21Х1...</t>
  </si>
  <si>
    <t>Двери стальные ДСН ДН 20,21</t>
  </si>
  <si>
    <t>Детали закладные и накладные изготовленные: без применения сварки, гнутья, сверления (пробивки) отверстий поставляемые отдельно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</si>
  <si>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отдельно</t>
  </si>
  <si>
    <t>Долота трехшарошечные типа Ш269,9С-ГНУ-2</t>
  </si>
  <si>
    <t>Дополнительные элементы металлочерепичной кровли: заглушка коньковая из оцинкованной стали</t>
  </si>
  <si>
    <t>Дополнительные элементы металлочерепичной кровли: коньковый элемент, разжелобки, профили с покрытием</t>
  </si>
  <si>
    <t>Дополнительные элементы металлочерепичной кровли: планка для снегозадержателя длиной 2000 мм</t>
  </si>
  <si>
    <t>Доски антисептированные обрезные длиной 4-6,5 м, шириной 75-150 мм, толщиной 32-40 мм II сорта</t>
  </si>
  <si>
    <t>Доски дубовые II сорта</t>
  </si>
  <si>
    <t>Доски необрезные хвойных пород длиной: 2-3,75 м, все ширины, толщиной 32-40 мм, IV сорта</t>
  </si>
  <si>
    <t>Доски необрезные хвойных пород длиной: 4-6,5 м, все ширины, толщиной 32-40 мм, III сорта</t>
  </si>
  <si>
    <t>Доски необрезные хвойных пород длиной: 4-6,5 м, все ширины, толщиной 44 мм и более, II сорта</t>
  </si>
  <si>
    <t>Доски обрезные хвойных пород длиной: 4-6,5 м, шириной 75-150 мм, толщиной 25 мм, III сорта</t>
  </si>
  <si>
    <t>Доски обрезные хвойных пород длиной: 4-6,5 м, шириной 75-150 мм, толщиной 44 мм и более, I сорта</t>
  </si>
  <si>
    <t>Доски обрезные хвойных пород длиной: 4-6,5 м, шириной 75-150 мм, толщиной 44 мм и более, II сорта</t>
  </si>
  <si>
    <t>Доски обрезные хвойных пород длиной: 4-6,5 м, шириной 75-150 мм, толщиной 44 мм и более, III сорта</t>
  </si>
  <si>
    <t>Доски обрезные хвойных пород длиной: 4-6,5 м, шириной 75-150, мм толщиной 19-22 мм, III сорта</t>
  </si>
  <si>
    <t>Доски подоконные ПВХ, шириной 250 мм</t>
  </si>
  <si>
    <t>Дюбели монтажные 10х130 (10х132, 10х150) мм</t>
  </si>
  <si>
    <t>10 шт.</t>
  </si>
  <si>
    <t>Дюбель с шурупом 6/35 мм</t>
  </si>
  <si>
    <t>Дюбель-гвоздь 6/39 мм</t>
  </si>
  <si>
    <t>Дюбель-гвоздь 8х100 мм</t>
  </si>
  <si>
    <t>Известь строительная: негашеная комовая, сорт I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</si>
  <si>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</si>
  <si>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</si>
  <si>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Канаты пеньковые пропитанные</t>
  </si>
  <si>
    <t>Керосин для технических целей марок КТ-1, КТ-2</t>
  </si>
  <si>
    <t>Кирпич керамический одинарный, размером 250х120х65 мм, марка: 100</t>
  </si>
  <si>
    <t>Кислород технический: газообразный</t>
  </si>
  <si>
    <t>Клей для приклеивания минеральной ваты типа "BOLIX ZW"</t>
  </si>
  <si>
    <t>Клинья пластиковые монтажные</t>
  </si>
  <si>
    <t>Ковры (готовые на комнату) из линолеума поливинилхлоридного на теплозвукоизолирующей подоснове марок: ПР-ВТ,ВК-ВТ, ЭК-ВТ</t>
  </si>
  <si>
    <t>Конструктивные элементы вспомогательного назначения: массой не более 50 кг с преобладанием толстолистовой стали собираемые из двух и более деталей, с отверстиями и без отверстий, соединяемые на сварке</t>
  </si>
  <si>
    <t>Конструктивные элементы вспомогательного назначения: с преобладанием профильного проката собираемые из двух и более деталей, с отверстиями и без отверстий, соединяемые на сварке</t>
  </si>
  <si>
    <t>Краска водоэмульсионная ВЭАК-1180</t>
  </si>
  <si>
    <t>Краска для наружных работ: защитная, марки МА-015</t>
  </si>
  <si>
    <t>Кронштейн выравнивающий стальной оцинкованный, высотой профиля (h) 200 мм, толщиной металла (t) 1,2 мм</t>
  </si>
  <si>
    <t>Лак ХВ-784</t>
  </si>
  <si>
    <t>Лента бумажная для повышения трещиностойкости стыков ГКЛ и ГВЛ</t>
  </si>
  <si>
    <t>Лента бутиловая</t>
  </si>
  <si>
    <t>Лента бутиловая диффузионная</t>
  </si>
  <si>
    <t>Лента полиэтиленовая с липким слоем: А50</t>
  </si>
  <si>
    <t>п.м</t>
  </si>
  <si>
    <t>Лента ПСУЛ</t>
  </si>
  <si>
    <t>Лента разделительная для сопряжения потолка из ЛГК со стеной</t>
  </si>
  <si>
    <t>Лента эластичная самоклеящаяся для профилей направляющих «Дихтунгсбанд»: 50/30000 мм</t>
  </si>
  <si>
    <t>Лесоматериалы круглые хвойных пород для выработки пиломатериалов и заготовок (пластины) толщиной: 20-24 см, II сорта</t>
  </si>
  <si>
    <t>Лесоматериалы круглые хвойных пород для строительства диаметром 14-24 см, длиной 3-6,5 м</t>
  </si>
  <si>
    <t>Листы гипсокартонные: ГКЛ 12,5 мм</t>
  </si>
  <si>
    <t>Люки и лазы со щитовыми полотнами утепленные минераловатной плитой с деревянной обшивкой и защитой оцинкованной сталью полотен и коробок: двупольные ДЛ 13-15, площадь 1,89 м2</t>
  </si>
  <si>
    <t>Мастика битумная кровельная горячая</t>
  </si>
  <si>
    <t>Мастика битумно-латексная кровельная</t>
  </si>
  <si>
    <t>Металлочерепица «Монтеррей»</t>
  </si>
  <si>
    <t>Мука андезитовая кислотоупорная, марка: А</t>
  </si>
  <si>
    <t>Наличники из древесины типа: Н-1, Н-2 размером 13х54 мм</t>
  </si>
  <si>
    <t>Начальная планка из оцинкованной стали с полимерным покрытием</t>
  </si>
  <si>
    <t>Нащельник стальной оцинкованный с покрытием «Полиэстер»</t>
  </si>
  <si>
    <t>Нижний уголок для крепления несущих элементов двери 100x123 мм</t>
  </si>
  <si>
    <t>Ограждения лестничных проемов, лестничные марши, пожарные лестницы</t>
  </si>
  <si>
    <t>Опилки древесные</t>
  </si>
  <si>
    <t>Отвердитель: № 1</t>
  </si>
  <si>
    <t>Отдельные конструктивные элементы зданий и сооружений с преобладанием: горячекатаных профилей, средняя масса сборочной единицы до 0,1 т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</si>
  <si>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</si>
  <si>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Пакля пропитанная</t>
  </si>
  <si>
    <t>Панели потолочные с комплектующими: «Армстронг»</t>
  </si>
  <si>
    <t>Паста антисептическая</t>
  </si>
  <si>
    <t>Пена монтажная: для герметизации стыков в баллончике емкостью 0,85 л</t>
  </si>
  <si>
    <t>Пена монтажная: противопожарная полиуретановая NULLIFIRE (0,88 л)</t>
  </si>
  <si>
    <t>Песок природный для строительных: работ средний</t>
  </si>
  <si>
    <t>Пленка пароизоляционная ЮТАФОЛ (3-х слойная полиэтиленовая с армированным слоем из полиэтиленовых полос)</t>
  </si>
  <si>
    <t>Пленка подкровельная антиконденсатная (гидроизоляционная) типа ЮТАКОН</t>
  </si>
  <si>
    <t>Плитки керамические для полов гладкие неглазурованные одноцветные с красителем квадратные и прямоугольные</t>
  </si>
  <si>
    <t>Плитки керамические фасадные и ковры из них: неглазурованные гладкие толщиной 9 мм</t>
  </si>
  <si>
    <t>Плитки кислотоупорные шамотные квадратные и прямоугольные толщиной: 20 мм</t>
  </si>
  <si>
    <t>Плиты из минеральной ваты на синтетическом связующем П-175 толщиной 60 мм (ГОСТ 9573-96)</t>
  </si>
  <si>
    <t>Плиты из минеральной ваты: на синтетическом связующем М-125 (ГОСТ 9573-96)</t>
  </si>
  <si>
    <t>Плиты из минеральной ваты: повышенной жесткости на синтетическом связующем М- 200</t>
  </si>
  <si>
    <t>Плиты из пенопласта полистирольного ПСБС-40</t>
  </si>
  <si>
    <t>Подвес в комплекте</t>
  </si>
  <si>
    <t>Поковки из квадратных заготовок, масса: 2,825 кг</t>
  </si>
  <si>
    <t>Поковки оцинкованные, масса: 2,825 кг</t>
  </si>
  <si>
    <t>Портландцемент общестроительного назначения бездобавочный, марки: 400</t>
  </si>
  <si>
    <t>Портландцемент пуццолановый общестроительного и специального назначения марки: 400</t>
  </si>
  <si>
    <t>Проволока горячекатаная в мотках, диаметром 6,3-6,5 мм</t>
  </si>
  <si>
    <t>Проволока канатная оцинкованная, диаметром: 3 мм</t>
  </si>
  <si>
    <t>Проволока светлая диаметром: 1,1 мм</t>
  </si>
  <si>
    <t>Прокладки уплотнительные: пенополиуретановые открытопористые для металлочерепицы (1800*50*50 мм)</t>
  </si>
  <si>
    <t>Пропан-бутан, смесь техническая</t>
  </si>
  <si>
    <t>Профиль направляющий: ПН-2 50/40/0,6</t>
  </si>
  <si>
    <t>Профиль направляющий: ПН-4 75/40/0,6</t>
  </si>
  <si>
    <t>Профиль стоечный: ПС-2 50/50/0,6</t>
  </si>
  <si>
    <t>Раствор готовый кладочный цементно-известковый марки: 25</t>
  </si>
  <si>
    <t>Раствор готовый кладочный цементный марки: 150</t>
  </si>
  <si>
    <t>Раствор готовый кладочный цементный марки: 200</t>
  </si>
  <si>
    <t>Раствор готовый кладочный цементный марки: 25</t>
  </si>
  <si>
    <t>Раствор готовый отделочный тяжелый,: известковый 1:2,0</t>
  </si>
  <si>
    <t>Раствор готовый отделочный тяжелый,: цементно-известковый 1:1:6</t>
  </si>
  <si>
    <t>Раствор готовый отделочный тяжелый,: цементный 1:3</t>
  </si>
  <si>
    <t>Растворитель марки: Р-4</t>
  </si>
  <si>
    <t>Рейка алюминиевая потолочная 100 мм</t>
  </si>
  <si>
    <t>Рогожа</t>
  </si>
  <si>
    <t>Рубероид кровельный с пылевидной посыпкой марки РКП-350б</t>
  </si>
  <si>
    <t>Сваи железобетонные С 100.30-10 /бетон В20 (М250), объем 0,91 м3, расход ар-ры 95,30 кг/ (серия 1.011.1-10 вып. 1)</t>
  </si>
  <si>
    <t>Сваи железобетонные: С 60.30-7,8 /бетон В20 (М250), объем 0,55 м3, расход ар-ры 39,10 кг/ (серия 1.011.1-10 вып. 1)</t>
  </si>
  <si>
    <t>Сетка тканая с квадратными ячейками № 05: без покрытия</t>
  </si>
  <si>
    <t>Скобяные изделия для блоков входных дверей в здание двупольных</t>
  </si>
  <si>
    <t>Скобяные изделия для блоков входных дверей в помещение однопольных</t>
  </si>
  <si>
    <t>Скобяные изделия для оконных блоков с раздельными двойными переплетами общественных зданий двустворных высотой до 1,2 м</t>
  </si>
  <si>
    <t>Скобяные изделия для оконных блоков со спаренными и одинарными переплетами для жилых зданий одностворных высотой до 1,5 м</t>
  </si>
  <si>
    <t>Смола каменноугольная для дорожного строительства</t>
  </si>
  <si>
    <t>Состав огнезащитный: «АТТИК», пропиточный</t>
  </si>
  <si>
    <t>Сталь листовая оцинкованная толщиной листа: 0,7 мм</t>
  </si>
  <si>
    <t>Стальные настилы и щиты междуэтажных перекрытий зданий производственного назначения</t>
  </si>
  <si>
    <t>Створки оконные для жилых зданий площадь: 0,3-0,4 м2</t>
  </si>
  <si>
    <t>Стойки деревометаллические раздвижные инвентарные</t>
  </si>
  <si>
    <t>Ткань мешочная</t>
  </si>
  <si>
    <t>10 м2</t>
  </si>
  <si>
    <t>Толь с крупнозернистой посыпкой гидроизоляционный марки ТГ-350</t>
  </si>
  <si>
    <t>Толь с крупнозернистой посыпкой марки ТВК-350</t>
  </si>
  <si>
    <t>Трубы бесшовные обсадные из стали группы Д и Б с короткой треугольной резьбой, наружным диаметром: 273 мм, толщина стенки 10,2 мм</t>
  </si>
  <si>
    <t>Трубы стальные электросварные прямошовные со снятой фаской из стали марок БСт2кп-БСт4кп и БСт2пс-БСт4пс наружный диаметр: 57 мм, толщина стенки 3,5 мм</t>
  </si>
  <si>
    <t>Трубы хризотилцементные безнапорные БНТ, диаметр условного прохода: 100 мм</t>
  </si>
  <si>
    <t>Трубы хризотилцементные безнапорные БНТ, диаметр условного прохода: 150 мм</t>
  </si>
  <si>
    <t>Уайт-спирит</t>
  </si>
  <si>
    <t>Угол наружный, внутренний из оцинкованной стали с полимерным покрытием</t>
  </si>
  <si>
    <t>Фасадная панель из оцинкованной стали с покрытием «Полиэстер»</t>
  </si>
  <si>
    <t>Швеллеры № 40 из стали марки: Ст0</t>
  </si>
  <si>
    <t>Шкурка шлифовальная двухслойная с зернистостью 40-25</t>
  </si>
  <si>
    <t>Шпаклевка «Унифлот», КНАУФ</t>
  </si>
  <si>
    <t>Шпаклевка «Фугенфюллер», КНАУФ</t>
  </si>
  <si>
    <t>Шпатлевка клеевая</t>
  </si>
  <si>
    <t>Шпатлевка ЭП-00-10 красно-коричневая</t>
  </si>
  <si>
    <t>Шуруп самонарезающий: (TN) 3,5/25 мм</t>
  </si>
  <si>
    <t>Шуруп самонарезающий: (TN) 3,5/35 мм</t>
  </si>
  <si>
    <t>Шуруп самонарезающий: (TN) 3,5/55 мм</t>
  </si>
  <si>
    <t>Шурупы с полукруглой головкой: 5х70 мм</t>
  </si>
  <si>
    <t>Шурупы-саморезы 4,2х16 мм</t>
  </si>
  <si>
    <t>Шурупы-саморезы коньковые оцинкованные 4,8х80 мм</t>
  </si>
  <si>
    <t>Шурупы-саморезы с шести-восьмигранной головкой 4,5х25(35) мм и специальной уплотнительной прокладкой (шайбой) из ЭПДМ</t>
  </si>
  <si>
    <t>Щиты: из досок толщиной 25 мм</t>
  </si>
  <si>
    <t>Щиты: из досок толщиной 40 мм</t>
  </si>
  <si>
    <t>Электроды диаметром: 4 мм Э42</t>
  </si>
  <si>
    <t>Электроды диаметром: 4 мм Э46</t>
  </si>
  <si>
    <t>Электроды диаметром: 6 мм Э42</t>
  </si>
  <si>
    <t>Эмаль ПФ-115 серая</t>
  </si>
  <si>
    <t>Эмаль ХВ-785 белая</t>
  </si>
  <si>
    <r>
      <t xml:space="preserve">БАЗОВАЯ                      </t>
    </r>
    <r>
      <rPr>
        <b/>
        <sz val="16"/>
        <rFont val="Calibri"/>
        <family val="2"/>
        <charset val="204"/>
        <scheme val="minor"/>
      </rPr>
      <t>сметная стоимость</t>
    </r>
  </si>
  <si>
    <r>
      <t xml:space="preserve"> с м е т н а я   с т о и м о с т ь  </t>
    </r>
    <r>
      <rPr>
        <b/>
        <sz val="18"/>
        <color rgb="FFFF0000"/>
        <rFont val="Calibri"/>
        <family val="2"/>
        <charset val="204"/>
        <scheme val="minor"/>
      </rPr>
      <t>ТЕКУЩАЯ</t>
    </r>
    <r>
      <rPr>
        <b/>
        <sz val="18"/>
        <color theme="1"/>
        <rFont val="Calibri"/>
        <family val="2"/>
        <charset val="204"/>
        <scheme val="minor"/>
      </rPr>
      <t xml:space="preserve">   с Коэф. договорн = 0,7958, руб. (без НДС)</t>
    </r>
  </si>
  <si>
    <r>
      <t xml:space="preserve">ЗАКРЫТИЕ объмов на период индексации </t>
    </r>
    <r>
      <rPr>
        <b/>
        <sz val="16"/>
        <color rgb="FFFF0000"/>
        <rFont val="Calibri"/>
        <family val="2"/>
        <charset val="204"/>
        <scheme val="minor"/>
      </rPr>
      <t xml:space="preserve">III </t>
    </r>
    <r>
      <rPr>
        <b/>
        <sz val="16"/>
        <rFont val="Calibri"/>
        <family val="2"/>
        <charset val="204"/>
        <scheme val="minor"/>
      </rPr>
      <t>кв-л</t>
    </r>
    <r>
      <rPr>
        <b/>
        <sz val="16"/>
        <color rgb="FFFF0000"/>
        <rFont val="Calibri"/>
        <family val="2"/>
        <charset val="204"/>
        <scheme val="minor"/>
      </rPr>
      <t xml:space="preserve"> 2018г</t>
    </r>
  </si>
  <si>
    <r>
      <t xml:space="preserve">ЗАКРЫТИЕ объмов на период индексации </t>
    </r>
    <r>
      <rPr>
        <b/>
        <sz val="16"/>
        <color rgb="FFFF0000"/>
        <rFont val="Calibri"/>
        <family val="2"/>
        <charset val="204"/>
        <scheme val="minor"/>
      </rPr>
      <t xml:space="preserve">II </t>
    </r>
    <r>
      <rPr>
        <b/>
        <sz val="16"/>
        <rFont val="Calibri"/>
        <family val="2"/>
        <charset val="204"/>
        <scheme val="minor"/>
      </rPr>
      <t>кв-л</t>
    </r>
    <r>
      <rPr>
        <b/>
        <sz val="16"/>
        <color rgb="FFFF0000"/>
        <rFont val="Calibri"/>
        <family val="2"/>
        <charset val="204"/>
        <scheme val="minor"/>
      </rPr>
      <t xml:space="preserve"> 2019г</t>
    </r>
  </si>
  <si>
    <r>
      <t xml:space="preserve">ЗАКРЫТИЕ объмов                             </t>
    </r>
    <r>
      <rPr>
        <b/>
        <sz val="16"/>
        <color rgb="FFFF0000"/>
        <rFont val="Calibri"/>
        <family val="2"/>
        <charset val="204"/>
        <scheme val="minor"/>
      </rPr>
      <t>плановое</t>
    </r>
  </si>
  <si>
    <t>Цена за ед.</t>
  </si>
  <si>
    <t xml:space="preserve">Стоимость итого </t>
  </si>
  <si>
    <t>Стоимость итого</t>
  </si>
  <si>
    <t xml:space="preserve">Объем </t>
  </si>
  <si>
    <t xml:space="preserve">Индекс </t>
  </si>
  <si>
    <t xml:space="preserve">ФАКТИЧЕСКАЯ </t>
  </si>
  <si>
    <t xml:space="preserve">ПЛАНОВАЯ </t>
  </si>
  <si>
    <t>Стоимость           итого</t>
  </si>
  <si>
    <t>Стоимость  итого</t>
  </si>
  <si>
    <t>Цена за единицу</t>
  </si>
  <si>
    <t>С А Л Ь Д О</t>
  </si>
  <si>
    <t>ФАКТ</t>
  </si>
  <si>
    <t>ПЛАН</t>
  </si>
  <si>
    <r>
      <t xml:space="preserve">С т о и м о с т ь   </t>
    </r>
    <r>
      <rPr>
        <b/>
        <sz val="18"/>
        <color rgb="FFFF0000"/>
        <rFont val="Calibri"/>
        <family val="2"/>
        <charset val="204"/>
        <scheme val="minor"/>
      </rPr>
      <t>з а к у п к и</t>
    </r>
    <r>
      <rPr>
        <b/>
        <sz val="16"/>
        <color theme="1"/>
        <rFont val="Calibri"/>
        <family val="2"/>
        <charset val="204"/>
        <scheme val="minor"/>
      </rPr>
      <t xml:space="preserve">, руб. (без НДС) </t>
    </r>
  </si>
  <si>
    <t>ЧЕКОН</t>
  </si>
  <si>
    <t>02-02-7-11-01р Строительные работы. ТП Чекон</t>
  </si>
  <si>
    <t>Сваи железобетонные С 90.30-8 /бетон В20 (М250), объем 0,82 м3, расход ар-ры 56,50 кг/ (серия 1.011.1-10 вып. 1)</t>
  </si>
  <si>
    <t>Горячекатаная арматурная сталь А-I, диаметром 12 мм</t>
  </si>
  <si>
    <t>Горячекатанная арматурная сталь А500 С, диаметром 10 мм</t>
  </si>
  <si>
    <t>Горячекатанная арматурная сталь А500 С, диаметром 12 мм</t>
  </si>
  <si>
    <t>Горячекатанная арматурная сталь  А500 С, диаметром 18 мм</t>
  </si>
  <si>
    <t>Горячекатанная арматурная сталь А500 С, диаметром 25 мм</t>
  </si>
  <si>
    <t>Горячекатанная арматурная сталь А500 С, диаметром 32 мм</t>
  </si>
  <si>
    <t>Бетон тяжелый, класс В30 (М400)</t>
  </si>
  <si>
    <t>Бетон тяжелый, класс В15 (М200)</t>
  </si>
  <si>
    <t>Горячекатаная арматурная сталь А-I, диаметром 6 мм</t>
  </si>
  <si>
    <t>Двери стальные ДСН ДН 24-20</t>
  </si>
  <si>
    <t xml:space="preserve">Доски дубовые II сорта 
</t>
  </si>
  <si>
    <t>Доски антисептированные обрезные, II сорта</t>
  </si>
  <si>
    <t>Верхний уголок и нижний для крепления несущих элементов двери 100x123 мм</t>
  </si>
  <si>
    <t xml:space="preserve">Покрытие. Отдельные конструктивные элементы зданий и сооружений </t>
  </si>
  <si>
    <t>Скобяные изделия для оконных блоков одностворных высотой до 1,5 м</t>
  </si>
  <si>
    <t>Скобяные изделия для блоков входных дверей однопольных</t>
  </si>
  <si>
    <t>Битумы нефтяные строительные</t>
  </si>
  <si>
    <t>Герметик пенополиуретановый (пена монтажная) в баллонах по 750 мл</t>
  </si>
  <si>
    <t>Дюбели монтажные, распорные</t>
  </si>
  <si>
    <t>Шуруп самонарез, болты, гвозди, винты</t>
  </si>
  <si>
    <t>Пена монтажная, 0,88л</t>
  </si>
  <si>
    <t>Пленка пароизоляционная ЮТАФОЛ (3-х слойная армированным)</t>
  </si>
  <si>
    <t>Толь с крупнозернистой посыпкой</t>
  </si>
  <si>
    <t>Электроды</t>
  </si>
  <si>
    <t>02-02-7-11-02р Водопровод. ТП Чекон</t>
  </si>
  <si>
    <t>Головка соединительная рукавная: ГР-50</t>
  </si>
  <si>
    <t>02-02-7-11-03р Канализация. ТП Чекон</t>
  </si>
  <si>
    <t>Поддоны душевые эмалированные: чугунные</t>
  </si>
  <si>
    <t>Ревизии диаметром: 100 мм</t>
  </si>
  <si>
    <t>Трапы чугунные эмалированные с прямым отводом, с решеткой и резиновой пробкой: Т-50 размером 260х140х110 мм</t>
  </si>
  <si>
    <t>02-02-7-11-04р Отопление. ТП Чекон</t>
  </si>
  <si>
    <t>02-02-7-11-05р Вентиляция и кондиционирование. ТП Чекон</t>
  </si>
  <si>
    <t>Крепления для воздуховодов</t>
  </si>
  <si>
    <t>Насос дренажный в корпусе РАС -SH94DM-E</t>
  </si>
  <si>
    <t>Панель защиты от ветра РАС-SH63AG-E</t>
  </si>
  <si>
    <t>Приточная  установка ПВУ-350 в комплекте с автоматикой Zettec</t>
  </si>
  <si>
    <t>Прокладки резиновые (пластина техническая прессованная)</t>
  </si>
  <si>
    <t>Сгоны стальные с муфтой и контргайкой, диаметром: 40 мм</t>
  </si>
  <si>
    <t>Сетка алюминиевая с размером ячейки 5х5 мм</t>
  </si>
  <si>
    <t>шт</t>
  </si>
  <si>
    <t>Труба раструбная  ПВХ DN32 мм</t>
  </si>
  <si>
    <t>Труба раструбная  ПВХ DN40 мм</t>
  </si>
  <si>
    <t>Кронштейны для крепления внешнего блока сплит-системы (два кронштейна, болты, гайки, шайбы)</t>
  </si>
  <si>
    <t>Трубы медные круглые тянутые и холоднокатаные наруж диам: 12,7 х 0,8 мм</t>
  </si>
  <si>
    <t>Трубы медные круглые тянутые и холоднокатаныенаруж диам: 15,88 х1,0 мм</t>
  </si>
  <si>
    <t>Трубы медные круглые тянутые и холоднокатаные наруж диам: 6,3 х0,8 мм</t>
  </si>
  <si>
    <t>Трубы медные круглые тянутые и холоднокатаныенаруж диам:  9,52х 0,8 мм</t>
  </si>
  <si>
    <t>Болты с гайками и шайбами, дюбели</t>
  </si>
  <si>
    <t>Вода дистиллированная</t>
  </si>
  <si>
    <t>Заглушки</t>
  </si>
  <si>
    <t>Перемычки гибкие, тип ПГС-50</t>
  </si>
  <si>
    <t>Сталь полосовая: 25х5 мм, марка Ст3сп</t>
  </si>
  <si>
    <t>Сталь полосовая: 40х5 мм, марка Ст3сп</t>
  </si>
  <si>
    <t>Труба: ПЭ 80 SDR 13,6, наружный диаметр 40 мм (ГОСТ 18599- 2001)</t>
  </si>
  <si>
    <t>Эмаль эпоксидная: ЭП-140 защитная</t>
  </si>
  <si>
    <t>Трубы напорные из полиэтилена диаметром: 50 мм</t>
  </si>
  <si>
    <t>02-02-7-11-06р Силовое оборудование в здании. ТП Чекон</t>
  </si>
  <si>
    <t>02-02-7-11-07р Силовое оборудование. ТП Чекон</t>
  </si>
  <si>
    <t>Болты с гайками и шайбами, дюбели распорные-582шт.</t>
  </si>
  <si>
    <t>Заглушка</t>
  </si>
  <si>
    <t>Кабель контрольный с медными жилами, марки КВВГнг-FRLS, с числом жил и номинальным сечением жилы, мм2:: 4х1</t>
  </si>
  <si>
    <t>Кабель силовой с медными жилами  0,66 кВ, марки ВВГнг-LS, мм2: 3х1,5</t>
  </si>
  <si>
    <t>Кабель силовой с медными жилами 0,66 кВ, марки ВВГнг-LS, мм2:: 3х2,5</t>
  </si>
  <si>
    <t>Кабель силовой с медными жилами, 0,66 кВ, марки ВВГнг-LS, мм2:: 3х4</t>
  </si>
  <si>
    <t>Кабель силовой с медными жилами 0,66 кВ, марки ВВГнг-LS, мм2:: 5х1,5</t>
  </si>
  <si>
    <t>Кабель силовой с медными жилами  0,66 кВ, марки ВВГнг-LS, мм2:: 5х16</t>
  </si>
  <si>
    <t>Кабель силовой с медными жилами 0,66 кВ, марки ВВГнг-LS, мм2:: 5х2,5</t>
  </si>
  <si>
    <t>Кабель силовой с медными жилами 0,66 кВ, марки ВВГнг-LS, мм2:: 5х4</t>
  </si>
  <si>
    <t>Кабель-канал (короб) "Legrand": 32х12,5 мм</t>
  </si>
  <si>
    <t>Кабель-канал (короб) "Legrand": 60х16 мм</t>
  </si>
  <si>
    <t>Короб  с крышкой: 40х17</t>
  </si>
  <si>
    <t>Короб с крышкой 100х60мм</t>
  </si>
  <si>
    <t>Коробка ответвительная</t>
  </si>
  <si>
    <t>Коробка ответвительная кабель-канала (75х75х35 и 151х151х75)</t>
  </si>
  <si>
    <t>Лак битумный: БТ-123</t>
  </si>
  <si>
    <t>Провод силовой, марки ПВ3, мм2:: 6</t>
  </si>
  <si>
    <t>Розетка открытой проводки двухгнездная с заземлением</t>
  </si>
  <si>
    <t>Рукава металлические диаметром: 25 мм РЗ-Ц-Х</t>
  </si>
  <si>
    <t>Сталь полосовая, шириной 50-200 мм толщиной 4-5 мм</t>
  </si>
  <si>
    <t>Тройник</t>
  </si>
  <si>
    <t>Трубы гибкие гофрированные серии FL, диам: 25 мм</t>
  </si>
  <si>
    <t>Трубы стальные водогазопроводные диам усл 25х 2,8 мм</t>
  </si>
  <si>
    <t>Угол внешний</t>
  </si>
  <si>
    <t>Угол внутренний</t>
  </si>
  <si>
    <t>Угол плоский</t>
  </si>
  <si>
    <t>Уплотнительный состав</t>
  </si>
  <si>
    <t>Бетон тяжелый, класс: В15 (М200)</t>
  </si>
  <si>
    <t>Газон УНИВЕРСАЛЬНЫЙ-АЛЬТЕРНАТИВНЫЙ</t>
  </si>
  <si>
    <t>Грунт глинистый</t>
  </si>
  <si>
    <t>Мастика клеящая морозостойкая битумно-масляная МБ-50</t>
  </si>
  <si>
    <t>Семена: газонных трав (смесь)</t>
  </si>
  <si>
    <t>Удобрения: сложно-смешанные гранулированные насыпью</t>
  </si>
  <si>
    <t>Щебень черный горячий, фракция: 15-25 мм</t>
  </si>
  <si>
    <t>Бруски обрезные, доски обрезные, брусья необрезнве</t>
  </si>
  <si>
    <t>Камни бортовые БР 100.30.15 /бетон В30 (М400), объем 0,043 м3</t>
  </si>
  <si>
    <t>Краска ХВ-161, МА-011-2</t>
  </si>
  <si>
    <t xml:space="preserve">Стойки металлические для ограждений (СД-1, СД-2) из двутавра № 16 </t>
  </si>
  <si>
    <t>Боксы кабельные телефонные (корпус алюминиевый) типа: БКТ-502</t>
  </si>
  <si>
    <t>Кабель для систем пожарной сигнализации КПСЭнг(А)-FRLS 1х2х0,5</t>
  </si>
  <si>
    <t>Кабель для систем пожарной сигнализации КПСЭнг(А)-FRLS 12х2х0,5</t>
  </si>
  <si>
    <t>Коробка универсальная УК-2П</t>
  </si>
  <si>
    <t>Наконечники кабельные: П2.5-4Д-МУ3</t>
  </si>
  <si>
    <t xml:space="preserve">Припои оловянно-свинцовые </t>
  </si>
  <si>
    <t>Провод станционный кроссовый с медными жилами, ПКСВ, мм: 2х0,5</t>
  </si>
  <si>
    <t>Дюбели пластмассовые с шурупами 12х70 мм</t>
  </si>
  <si>
    <t>Извещатель пожарный дымовой: ИП 212-141 для подвесного потолка</t>
  </si>
  <si>
    <t>Кабель для систем пожарной сигнализации  КПСЭнг(А)-FRLS 2х2х0,5</t>
  </si>
  <si>
    <t>Кабель пожарной сигнализации КПСЭнг(А)-FRLS мм2:1х2х0,5</t>
  </si>
  <si>
    <t>Кабель пожарной сигнализации, марки КПСЭнг(А)-FRLS, мм2:1х2х0,75</t>
  </si>
  <si>
    <t>Припои оловянно-свинцовые</t>
  </si>
  <si>
    <t>Провод станционный кроссовый с медными жилами, марки ПКСВ, мм: 2х0,5</t>
  </si>
  <si>
    <t>Кабель витая пара-категории 5е с общим экраном, марки ЭКС-ГВПВЭ-5е, мм: 2х2х0,52</t>
  </si>
  <si>
    <t>Наконечники кабельные: медные соединительные</t>
  </si>
  <si>
    <t>Провода монтажные низковольтные марки ПМВГ, 0,35 мм2</t>
  </si>
  <si>
    <t>Гильза кабельная: медная ГМ 35</t>
  </si>
  <si>
    <t xml:space="preserve">Дюбели пластмассовые с шурупами </t>
  </si>
  <si>
    <t>Кабель для систем охранно-пожарной сигнализации марки: КПСВЭВнг(А)-LS 2х2х1,5</t>
  </si>
  <si>
    <t>Кабель силовой с медными жилами, 0,66 кВ, марки ВВГ(А)нг-LS, мм2: 2х1,5</t>
  </si>
  <si>
    <t>Кабель силовой с медными жилами, 0,66 кВ, марки ВВГ(А)нг-LS, мм2: 3х2,5</t>
  </si>
  <si>
    <t>Наконечники кабельные</t>
  </si>
  <si>
    <t>Сталь угловая: 50х50 мм</t>
  </si>
  <si>
    <t>Хомутик</t>
  </si>
  <si>
    <t>Трубы гибкие гофрированные серии FL, диаметром: 25 мм</t>
  </si>
  <si>
    <t>Трубы гибкие гофрированные легкие серии FL, диаметром: 25 мм</t>
  </si>
  <si>
    <t>Выключатель нагрузки модульный ВН-32-363-УХЛЗ-КЭАЗ. Цена:320/5,43</t>
  </si>
  <si>
    <t>Кабель контрольный с медными жилами, марки марки КВВГнг-(А)-LS-10х2,5</t>
  </si>
  <si>
    <t>Кабель контрольный с медными жилами, марки КВВГнг-(А)-LS-14х2,5</t>
  </si>
  <si>
    <t>Кабель контрольный с медными жиламимарки КВВГнг-(А)-LS-4х2,5</t>
  </si>
  <si>
    <t>Кабель контрольный с медными жиламимарки КВВГнг-(А)-LS-7х2,5</t>
  </si>
  <si>
    <t>Кабель контрольный с медными жилами марки КВВГЭнг-(А)-LS-10х2,5</t>
  </si>
  <si>
    <t>Кабель контрольный с медными жилами, марки КВВГЭнг-LS,  мм2:: 4х2,5 ...</t>
  </si>
  <si>
    <t>Кабель контрольный с медными жилами, марки КВВГЭнг-(А)-LS-4х4</t>
  </si>
  <si>
    <t>Кабель контрольный с медными жилами, марки КВВГЭнг(А)-LS 7х1,5</t>
  </si>
  <si>
    <t>Кабель контрольный с медными жилами, марки КВВГЭнг-LS, мм2:: 7х2,5...</t>
  </si>
  <si>
    <t xml:space="preserve">Кабель силовой огнестойкий с медными жилами ВВГнг-FRLS 3х2,5 </t>
  </si>
  <si>
    <t>Кабель силовой с медными жилами, марки ПвВГнг(А)-LS 2х16</t>
  </si>
  <si>
    <t>Кабель силовой с медными жилами, марки ПвВГнг(А)-LS 2х4</t>
  </si>
  <si>
    <t>Кабель силовой с медными жилами, марки ВВГнг(А)-LS 3х10</t>
  </si>
  <si>
    <t>Кабель силовой с медными жилами, марки ВВГнг(А)-LS 3х2,5</t>
  </si>
  <si>
    <t>Кабель силовой с медными жилами марки ВВГнг(А)-LS 3х4</t>
  </si>
  <si>
    <t>Кабель силовой с медными жилами марки ВВГнг(А)-LS 3х6</t>
  </si>
  <si>
    <t>Кабель силовой с медными жилами марки ПвВГнг(А)-LS 4х2,5</t>
  </si>
  <si>
    <t>Кабель силовой с медными жилами, марки ВВГнг-LS, мм2:: 5х10 ...</t>
  </si>
  <si>
    <t>Кабель силовой с медными жилами, марки ВВГнг(А)-LS 5х16</t>
  </si>
  <si>
    <t>Кабель силовой с медными жилами марки ВВГнг(А)-LS 5х2,5</t>
  </si>
  <si>
    <t>Кабель силовой с медными жилами марки ВВГнг(А)-LS 5х6</t>
  </si>
  <si>
    <t>Кабель силовой с медными жилами марки ПвВГнг(А)-LS 1х50</t>
  </si>
  <si>
    <t>Кабель силовой с медными жилами марки ВВГнг(А)-LS 5х95</t>
  </si>
  <si>
    <t>Кабель силовой с медными жилами марки ВВГнг(А)-LS 5х25</t>
  </si>
  <si>
    <t>Кабель силовой с медными жилами, марки ВВГнг(А)-LS 5х120</t>
  </si>
  <si>
    <t>Кабель силовой с медными жилами марки ВВГнг(А)-LS 5х150</t>
  </si>
  <si>
    <t>Кабель силовой с медными жилами марки ПвВГнг(А)-LS 2х6</t>
  </si>
  <si>
    <t xml:space="preserve">Конструкции стальные </t>
  </si>
  <si>
    <t>Муфта концевая внутренней установки 5ПКтп-1-150</t>
  </si>
  <si>
    <t>Муфта концевая внутренней установки 5ПКтп-1-95</t>
  </si>
  <si>
    <t>Муфта концевая внутренней установки 5ПКтп-1-120</t>
  </si>
  <si>
    <t>Наконечники кабельные медные 150х10 KU-V</t>
  </si>
  <si>
    <t>Наконечники кабельные медные 95х10KU-V</t>
  </si>
  <si>
    <t>Краска</t>
  </si>
  <si>
    <t>Подкладки металлические</t>
  </si>
  <si>
    <t>Скобы, закрепы, хомуты и т,п</t>
  </si>
  <si>
    <t>Трубы гибкие гофрированные двустенные "DKC" д: 63 мм</t>
  </si>
  <si>
    <t>Шпалы непропитанные для железных дорог: 1 тип</t>
  </si>
  <si>
    <t xml:space="preserve">Электроды </t>
  </si>
  <si>
    <t>Кабель силовой с медными жилами, марки ВБбШвнг(А)-LS,мм2: 5х6,0 Цена: 225904:5,43=41602,95руб./км</t>
  </si>
  <si>
    <t>Доп. элементы кровли: заглушка коньковая из оцинкованной стали</t>
  </si>
  <si>
    <t>Плиты из мин ваты: на синтетическом связующем М-125 (ГОСТ 9573-96)</t>
  </si>
  <si>
    <t>Дюбели, шурупы</t>
  </si>
  <si>
    <t xml:space="preserve">Извещатель пожарный дымовой: ИП 212-141 </t>
  </si>
  <si>
    <t>Кабель для систем пож. сигнализации КПСЭнг(А)-FRLS 1х2х0,75</t>
  </si>
  <si>
    <t>Кабель пожарной сигнализации КПСВВнг-LS, мм2:: 2х2х0,5</t>
  </si>
  <si>
    <t>Коробка КСП-10</t>
  </si>
  <si>
    <t>Коробка универсальная: УК-2П</t>
  </si>
  <si>
    <t>Провод монтажный с медными жилами, марки НВМЭ, мм2 1х0,35. 4</t>
  </si>
  <si>
    <t xml:space="preserve">Трубка полихлорвиниловая </t>
  </si>
  <si>
    <t>02-02-7-12-07р(и4) Строительство кабельной канализации ТП Чекон</t>
  </si>
  <si>
    <t xml:space="preserve">Болты с гайками и шайбами </t>
  </si>
  <si>
    <t>Брусья необрезные хвойных пород длиной: 2-3,75 м, все ширины, толщиной 100-125 мм, III сорта</t>
  </si>
  <si>
    <t>Герметик У-30М</t>
  </si>
  <si>
    <t>Гильза с термоусаживаемой изоляцией 1,5-2,5 мм2</t>
  </si>
  <si>
    <t>Кирпич керамический, 250х120х65 мм, марка: 75</t>
  </si>
  <si>
    <t>Муфты полиэтиленовые: МПТ-1 для труб 100 мм</t>
  </si>
  <si>
    <t>Раствор готовый цементный марки: 100, марки: 100</t>
  </si>
  <si>
    <t>Стяжка нейлоновая неоткрывающаяся 3,6х250 мм</t>
  </si>
  <si>
    <t>Телекоммуникационный канализационный пластиковый колодец марки ПОЛЕКС-ККТМ-2. Цена 5084,75:1,18:5,43=793,57</t>
  </si>
  <si>
    <t>Трубы полиэтиленовые, диаметром 110 мм</t>
  </si>
  <si>
    <t>02-02-7-12-08р(и4) Внутриплощадочные сети охранно-пожарной сигнализации ТП Чекон</t>
  </si>
  <si>
    <t xml:space="preserve">Дюбели </t>
  </si>
  <si>
    <t>Кабель для систем охранно-пожарной сигнализации КПСВЭВнг(А)-LS 2х2х1,0</t>
  </si>
  <si>
    <t>Консоли для кабельных колодцев и шахт связи: ККч-1</t>
  </si>
  <si>
    <t>Конструкции стальные</t>
  </si>
  <si>
    <t>Коробка клеммная соединительная КСП-10</t>
  </si>
  <si>
    <t>Лента смоляная, пакля, Шнур асбестовый</t>
  </si>
  <si>
    <t>Трубы гибкие гофрированные серии FL, Ф25 мм</t>
  </si>
  <si>
    <t>02-02-7-12-09р(и4) Наружные устройства периметральной сигнализации ТП Чекон</t>
  </si>
  <si>
    <t xml:space="preserve">Дюбели пластмассовые </t>
  </si>
  <si>
    <t>Блок зажимов наборных на 5 клемм- БЗН27-6М40-Д/ДУЗ-5</t>
  </si>
  <si>
    <t>Кабель для систем ОПС КПСВЭВнг(А)-LS 1х2х0,5</t>
  </si>
  <si>
    <t>Коробка протяжная: У 994 УХЛ1</t>
  </si>
  <si>
    <t>Кронштейны гнутые угловые (КГУ) 5х50х60</t>
  </si>
  <si>
    <t>Мостик коммутационный МЗ-2У</t>
  </si>
  <si>
    <t>Провод силовой с медной жилой ПВ3, мм2: 0,75</t>
  </si>
  <si>
    <t>Трубы гибкие гофрированные, серии FL, Ф 25 мм</t>
  </si>
  <si>
    <t>Бетон песчаный, класс В25 (М350)</t>
  </si>
  <si>
    <t>Бруски деревянные, лесоматериалы, доски, щиты</t>
  </si>
  <si>
    <t>Раствор кладочный цементный (марка 25-200)</t>
  </si>
  <si>
    <t>Краска масляные, для наружных работ, Лак ХВ-784, растворители</t>
  </si>
  <si>
    <t>Лента эластичная самоклеящаяся для профилей, лента для сопряжения потолка из ЛГК со стеной</t>
  </si>
  <si>
    <t>Плиты из минеральной ваты: повышенной жесткости М- 200 + клей</t>
  </si>
  <si>
    <t xml:space="preserve"> м</t>
  </si>
  <si>
    <t>02-02-7-12-06р (и4)   Монтаж устройств охранно-пожарной сигнализации в модулях ТП Чекон</t>
  </si>
  <si>
    <t>02-02-7-12-05р    Освещение открытой части тяговой подстанции Чекон</t>
  </si>
  <si>
    <t>02-02-7-12-04р  Вторичная коммутация тяговой подстанции Чекон</t>
  </si>
  <si>
    <t>02-02-7-11-20р(и4)  Организация системы контроля доступа Чекон</t>
  </si>
  <si>
    <t>02-02-7-11-17р(и4)  Монтаж устройств связи в здании тяговой подстанции Чекон</t>
  </si>
  <si>
    <t>02-02-7-11-13р(и4)  Монтаж устройств ЛВС в здании тяговой подстанции Чекон</t>
  </si>
  <si>
    <t>02-02-7-11-12р(и4)  Монтаж устройств пожарной сигнализации в здании тяговой подстанции Чекон</t>
  </si>
  <si>
    <t>02-05-1-00-01р(и4);02-05-1-00-01р(и4)д1 Строительство подъездной автомобильной дороги к ТП Чекон</t>
  </si>
  <si>
    <t>02-02-7-12-02р(и1); 02-02-7-12-02рд1. Вертикальная планировка, благоустройство на территории строительства, устройство внутриплощадочного проезда ТП Чекон</t>
  </si>
  <si>
    <t>02-02-7-12-01р(и2)  Строительство открытой части тяговой подстанции Чекон</t>
  </si>
  <si>
    <t>Сваи железобетонные С 120.30-8 /бетон В20 (М250), объем 1,09 м3, расход ар-ры 74,00 кг/ (серия 1.011.1-10 вып. 1)</t>
  </si>
  <si>
    <t>Бетон тяжелый, класс В3,5 (М50)</t>
  </si>
  <si>
    <t>Бетон тяжелый, класс В7,5 (М100)</t>
  </si>
  <si>
    <t>Бетон тяжелый, класс В12,5 (М150)</t>
  </si>
  <si>
    <t>Бетон тяжелый, класс: В20 (М250)</t>
  </si>
  <si>
    <t>Бетон тяжелый, класс В25 (М350)</t>
  </si>
  <si>
    <t>Раствор готовый цементный марки: 50 -150</t>
  </si>
  <si>
    <t>Битумы</t>
  </si>
  <si>
    <t>Бруски обрезные, лесоматериалы, доски, щиты</t>
  </si>
  <si>
    <t>Плиты ж/б покрытий, перекрытий и днищ</t>
  </si>
  <si>
    <t>Кольца для колодцев сборные железобетонные диаметром: 1000 мм</t>
  </si>
  <si>
    <t>Кольца для колодцев сборные железобетонные диаметром: 700 мм</t>
  </si>
  <si>
    <t>Кольцо опорное КО-6, объем 0,02 м3 (серия 3.900.1-14)</t>
  </si>
  <si>
    <t>Кольцо стеновое смотровых колодцев КС7.3, объем 0,05 м3,серия 3.900.1-14</t>
  </si>
  <si>
    <t>Кольцо стеновое смотровых колодцев КС7.9, объем 0,15 м3серия 3.900.1-14</t>
  </si>
  <si>
    <t>Люки чугунные тяжелые</t>
  </si>
  <si>
    <t>Горячекатаная арматурная сталь  А-I, А-III диаметром 8мм</t>
  </si>
  <si>
    <t>Горячекатаная арматурная сталь  А-I, диаметром 10мм</t>
  </si>
  <si>
    <t>Горячекатаная арматурная сталь  А-III, диаметром 12 мм</t>
  </si>
  <si>
    <t>Горячекатаная арматурная сталь  А-I, диаметром: 14 мм</t>
  </si>
  <si>
    <t>Горячекатанная арматурная сталь класса А500 С, диаметром 10 мм</t>
  </si>
  <si>
    <t>Горячекатанная арматурная сталь класса А500 С, диаметром 12 мм</t>
  </si>
  <si>
    <t>Горячекатанная арматурная сталь класса А500 С, диаметром 16 мм</t>
  </si>
  <si>
    <t>Горячекатанная арматурная сталь класса А500 С, диаметром 20 мм</t>
  </si>
  <si>
    <t xml:space="preserve">Детали закладные </t>
  </si>
  <si>
    <t>Ограждения, лестничные марши, пожарные лестницы</t>
  </si>
  <si>
    <t>Долота трехшарошечные типа  Ш269,9С-ГНУ-2</t>
  </si>
  <si>
    <t>Кабельный ввод</t>
  </si>
  <si>
    <t>Мастика горячая асфальтовая: АМ-2</t>
  </si>
  <si>
    <t>Песок для строительных растворов средний</t>
  </si>
  <si>
    <t>Стойка опоры металлической жестких поперечин контактной сети из гнутых профилей, из ст.3 оцинкованная МШП-10-150</t>
  </si>
  <si>
    <t>Стойка опоры металлической жестких поперечин контактной сети из гнутых профилей, из ст.3 оцинкованная МШП-12-150</t>
  </si>
  <si>
    <t>Столбы металлические (МСЗ)</t>
  </si>
  <si>
    <t>Трубы бесшовные обсадные, наружным диаметром 273 мм х 10,2 мм</t>
  </si>
  <si>
    <t>Трубы стальные электросварные наружный диаметр: 219 мм х 5 мм</t>
  </si>
  <si>
    <t>Трубы чугунные напорные раструбные наружный диам: 150 мм х 9,2 мм</t>
  </si>
  <si>
    <t xml:space="preserve">Щебень из природного камня </t>
  </si>
  <si>
    <t xml:space="preserve">Щебень известняковый </t>
  </si>
  <si>
    <t>Лак ХВ-784, Эмаль ПФ-115</t>
  </si>
  <si>
    <t>Керосин, Растворитель, Уайт-спирит</t>
  </si>
  <si>
    <t>02-02-7-12-03р Силовое оборудование открытой части ТП Чекон</t>
  </si>
  <si>
    <t>Горячекатаная арматурная сталь А-I, диаметром: 6 мм</t>
  </si>
  <si>
    <t xml:space="preserve">Доски </t>
  </si>
  <si>
    <t>Зажим аппаратный А4А-500-1У</t>
  </si>
  <si>
    <t>Зажим аппаратный А4А-300-1У</t>
  </si>
  <si>
    <t>Зажим аппаратный А2А-185-1У</t>
  </si>
  <si>
    <t>Зажим аппаратный А4М-120-2</t>
  </si>
  <si>
    <t>Зажим аппаратный А4А-185-1У</t>
  </si>
  <si>
    <t>Зажим аппаратный А4А-95-1У</t>
  </si>
  <si>
    <t>Зажим натяжной: болтовый НБ-3-6Б</t>
  </si>
  <si>
    <t>Зажим натяжной: клиновой (клин 1) НКК-1-1Б</t>
  </si>
  <si>
    <t>Зажим натяжной: НАС-330-1</t>
  </si>
  <si>
    <t>Зажим ответвительный ЖОС-11-80 для АС185/24 Цена=14480,00:5,43=2666,67 руб.</t>
  </si>
  <si>
    <t>Зажим ответвительный ЖОС-6-80 Цена=12870,00:5,43=2370,17 руб.</t>
  </si>
  <si>
    <t>Зажим ответвительный: ОА 300-1</t>
  </si>
  <si>
    <t>Зажим ответвительный: ОА-185-1</t>
  </si>
  <si>
    <t>Зажим ответвительный: ОА-400-2</t>
  </si>
  <si>
    <t>Зажим ответвительный: ОА-95-1</t>
  </si>
  <si>
    <t>Зажим поддерживающий глухой: 2ПГН-5-1</t>
  </si>
  <si>
    <t>Зажим соединительный внутренней круглой шины ЖОС-19-80 Цена=3890,00:5,43=716,39 руб.</t>
  </si>
  <si>
    <t>Зажим соединительный наружной круглой шины ЖОС-18-80 Цена=20470:5,43=3769,80 руб.</t>
  </si>
  <si>
    <t>Зажим: плашечный соединительный ПАМ 4-1</t>
  </si>
  <si>
    <t>Звено промежуточное трехлапчатое: ПРТ-12/7-2</t>
  </si>
  <si>
    <t>Канат грузового назначения, марки I, оцинкованны, правой свивки, нескручивающийся,9,1-Г-В-Л-Н-1570</t>
  </si>
  <si>
    <t>Концевая заглушка ЖОС-14-80 Цена=2730,00:5,43=502,76 руб.</t>
  </si>
  <si>
    <t>Концевая муфта внутренней установки с болтовыми наконечниками POLT-12F/1 XО-L20A Цена=22999,68:1,18:5,43=3589,55руб.</t>
  </si>
  <si>
    <t>Коробка пластмассовая КСП-10</t>
  </si>
  <si>
    <t>Коромысло: К2-7-1С</t>
  </si>
  <si>
    <t>Манжета термоусаживаемая</t>
  </si>
  <si>
    <t>Наконечники кабельные: медные</t>
  </si>
  <si>
    <t>Перчатка термоусаживаемая</t>
  </si>
  <si>
    <t>Песок природный для строительных: работ крупный</t>
  </si>
  <si>
    <t>Песок природный для строительных: растворов средний</t>
  </si>
  <si>
    <t>Пластина техническая без тканевых прокладок</t>
  </si>
  <si>
    <t>Провод для воздушных линий электропередачи сталеалюминиевый, марки АС, мм2:: 185/24</t>
  </si>
  <si>
    <t>Провод для воздушных линий электропередачи сталеалюминиевый, марки АС, мм2:: 300/39</t>
  </si>
  <si>
    <t>Провод для воздушных линий электропередачи сталеалюминиевый, марки АС, мм2:: 95/16,0</t>
  </si>
  <si>
    <t>Провод силовой для эл.установок, марки ПВ3, мм2:: 1,5</t>
  </si>
  <si>
    <t>Провода неизолированные для воздушных линий электропередачи медные марки: М, сечением 4 мм2</t>
  </si>
  <si>
    <t>Проволока из легированной стали</t>
  </si>
  <si>
    <t>Серьга: СР-7-16</t>
  </si>
  <si>
    <t>Скоба: СКТ-7-1</t>
  </si>
  <si>
    <t>Скоба: У1078</t>
  </si>
  <si>
    <t>Скобы: металлические</t>
  </si>
  <si>
    <t>Сталь угловая равнополочная, 50x50x5 мм</t>
  </si>
  <si>
    <t>Ткань асбестовая: со стеклонитью АСТ-1 толщиной 1,8 мм</t>
  </si>
  <si>
    <t>Трубы водогазопроводные Ду 50 мм, толщина стенки 3 мм</t>
  </si>
  <si>
    <t>Ушко: однолапчатое укороченное У1К-7-16</t>
  </si>
  <si>
    <t>Ушко: специальное УС-7-16</t>
  </si>
  <si>
    <t>Ушко: У2-12-16</t>
  </si>
  <si>
    <t>Шайбы квадратные</t>
  </si>
  <si>
    <t>Шины медные прямоугольные марки ШМТ сечением до 200 мм2</t>
  </si>
  <si>
    <t>Растворитель, Ацетон, Бензин</t>
  </si>
  <si>
    <t>02-06-1-00-04р  Резервуары для противопожарного запаса воды  (Расчет на 2 резервуара) ТП Чекон</t>
  </si>
  <si>
    <t>Бетон тяжелый, класс В25 (М350) W8</t>
  </si>
  <si>
    <t>Горячекатаная арматурная сталь А-I, диаметром 8 мм</t>
  </si>
  <si>
    <t>Песок природный для строительных: работ очень мелкий</t>
  </si>
  <si>
    <t>Стоимость пожарного резервуара 110 м3  из стеклопластика</t>
  </si>
  <si>
    <t>КОМПЛЕКТ</t>
  </si>
  <si>
    <t>02-06-2-00-03р Наружные сети канализации от тяговой подстанции Чекон</t>
  </si>
  <si>
    <t>Асфальт литой: для гидротехнических сооружений</t>
  </si>
  <si>
    <t>Бруски, лесоматериалы, доски</t>
  </si>
  <si>
    <t>Горячекатаная арматурная сталь А-I, диаметром: 8 мм</t>
  </si>
  <si>
    <t>Горячекатанная арматурная сталь А500 С, диаметром: 12 мм</t>
  </si>
  <si>
    <t>Кирпич керамический одинарный, 250х120х65 мм, марка: 100</t>
  </si>
  <si>
    <t xml:space="preserve">Мастика </t>
  </si>
  <si>
    <t xml:space="preserve">Щебень известняковый для строительных работ </t>
  </si>
  <si>
    <t>00-02-7-13-01р  Заходы ЛЭП АБ 10 кВ и ЛЭП ПЭ 10 кв ТП Чекон</t>
  </si>
  <si>
    <t>Болт специальный для крепления с гайкой и шайбой диаметром 12-16 мм, длиной: 400 мм</t>
  </si>
  <si>
    <t xml:space="preserve">Бруски, Лесоматериалы </t>
  </si>
  <si>
    <t>Верхний узел: ВУ-1 в составе: планка, штырь верхушечный</t>
  </si>
  <si>
    <t>Вкладыш вилочного коуша 068</t>
  </si>
  <si>
    <t>Вкладыш седловой 067-1</t>
  </si>
  <si>
    <t>Втулка полиэтиленовая изолированная</t>
  </si>
  <si>
    <t>Вязка спиральная для защищённых изолированных проводов: ВС-18-01 (ВС70/95,2); ВС-18-01 (ПВС35/50-10)</t>
  </si>
  <si>
    <t>Гильза кабельная: медная ГМ 185</t>
  </si>
  <si>
    <t>Гильза кабельная: медная ГМ 70</t>
  </si>
  <si>
    <t>Зажим аппаратный: А2А-50-7</t>
  </si>
  <si>
    <t>Зажим натяжной: болтовый НБ-2-6</t>
  </si>
  <si>
    <t>Зажим ответвительный с прокалыванием изоляции (СИП): SL 25.2</t>
  </si>
  <si>
    <t>Зажим петлевой: ПА-2-2А</t>
  </si>
  <si>
    <t>Зажим питающий: для алюминиевых проводов 064</t>
  </si>
  <si>
    <t>Зажим плашечный для заземляющего провода 066-1, УКС 02917</t>
  </si>
  <si>
    <t>Зажим: концевой цанговый 086</t>
  </si>
  <si>
    <t>Замок 078-1</t>
  </si>
  <si>
    <t>Звено промежуточное трехлапчатое: ПРТ-7-1</t>
  </si>
  <si>
    <t>Изолятор штыревой фарфоровый ШФ 10-Г</t>
  </si>
  <si>
    <t>Изолятор штыревой фарфоровый ШФ 20-Г</t>
  </si>
  <si>
    <t>Кабели силовые на напряжение 10000В с алюминиевыми жилами АСБШнг-LS, 3 х 150мм2 Цена:1109485,00/5,43=204325,05руб</t>
  </si>
  <si>
    <t>км</t>
  </si>
  <si>
    <t>Кабели силовые на напряжение 10000В с алюминиевыми жилами АСБВнг(А)-LS , 3 х 70мм2 (аналог АСБШнг-LS) Цена:839500,00/5,43=154604,05руб</t>
  </si>
  <si>
    <t>Кабели силовые на напряжение 10000В с алюминиевыми жилами АСБШнг -3 х 150мм2 Цена:943000,00/5,43=173664,83руб</t>
  </si>
  <si>
    <t>Кабели силовые на напряжение 10000В с алюминиевыми жилами АСБШнг -3 х 70мм2 Цена:618600,00/5,43=113922,65 руб</t>
  </si>
  <si>
    <t>Кожух изолированный: SP 16 (для зажима SM 4.21, SL 8.21, SL 25.2, SE 20)</t>
  </si>
  <si>
    <t>Колпачки: полиэтиленовые</t>
  </si>
  <si>
    <t>Колпачок полиэтиленовый для крепления штыревого изолятора: К-6</t>
  </si>
  <si>
    <t>Колпачок полиэтиленовый для крепления штыревого изолятора: К-7</t>
  </si>
  <si>
    <t>Коромысло: для анкеровки проводов 113</t>
  </si>
  <si>
    <t>Коуш вилочный под пестик 007</t>
  </si>
  <si>
    <t>Лента сигнальная "ОСТОРОЖНО КАБЕЛЬ" ЛСЭ 150</t>
  </si>
  <si>
    <t>Муфта концевая термоусаживаемая 10 кВ, 3 КВТп 10-150 (185; 240)</t>
  </si>
  <si>
    <t>Муфта концевая термоусаживаемая 10 кВ, 3 КВТп 10-70 (95; 120)</t>
  </si>
  <si>
    <t>Муфта концевая термоусаживаемая 10 кВ, 3 КНТп 10-150 (185; 240)</t>
  </si>
  <si>
    <t>Муфта концевая термоусаживаемая 10 кВ, 3 КНТп 10-70 (95; 120)</t>
  </si>
  <si>
    <t>Муфта соединительная на основе термоусаживаемых изделий 3Стп-10-70/120</t>
  </si>
  <si>
    <t>Плита анкерная опор автоблокировки АОП ,объем бетона - 0,036 м3</t>
  </si>
  <si>
    <t>Провод самонесущий одножильный с жилой из алюминиевого сплава, с защитной изоляцией из сшитого полиэтилена на напряжение до 20 кВ, марки СИП-3 (тип "SAX"),  мм2:: 1х50</t>
  </si>
  <si>
    <t>Провода неизолированные из стальных оцинкованных проволок марки: АС, сечением 50/8 мм2</t>
  </si>
  <si>
    <t xml:space="preserve">Металлоконструкции сварные </t>
  </si>
  <si>
    <t>Рельсы старогодные: 3 группы</t>
  </si>
  <si>
    <t>Седло одинарное под серьгу 008</t>
  </si>
  <si>
    <t>Серьга Ср-4,5 075</t>
  </si>
  <si>
    <t>Серьга: сварная 095</t>
  </si>
  <si>
    <t>Соединитель алюминиевых и сталеалюминиевых проводов (СОАС) 062-3</t>
  </si>
  <si>
    <t>Соединитель алюминиевых проводов (СОА) 062-2</t>
  </si>
  <si>
    <t>Сталь круглая оцинкованная диаметром 18мм</t>
  </si>
  <si>
    <t>Сталь листовая, толщиной: 4-6 мм</t>
  </si>
  <si>
    <t>Сталь полосовая, толщиной 4-5 мм</t>
  </si>
  <si>
    <t>Стойка опоры: С 1.85/10.1 объем бетона - 0,297 м3</t>
  </si>
  <si>
    <t>Траверса в комплекте со штырем: ТВО-2,5-2</t>
  </si>
  <si>
    <t>Труба ПРОТЕКТОРФЛЕКС д.110/10,6 Цена:2087,96:1,18:5,43=325,87 руб.</t>
  </si>
  <si>
    <t>Трубы хризотилцементные напорные: ВТ6, Ду прохода 100 мм</t>
  </si>
  <si>
    <t>Узел анкеровки ЛЭЗ.41.0222: оцинкованный</t>
  </si>
  <si>
    <t>Узел крепления: кронштейна оцинкованный</t>
  </si>
  <si>
    <t>Ушко: двухлапчатое 013</t>
  </si>
  <si>
    <t>Ушко: У1-7-16</t>
  </si>
  <si>
    <t>Шпалы непропитанные для железных дорог: 3 тип</t>
  </si>
  <si>
    <t>Штанга сочлененная пестик-ушко: длиной 1600 мм 180 окрашенная</t>
  </si>
  <si>
    <t>Штанга: сочлененная пестик-ушко (длиной 1600 мм) 180 оцинкованная</t>
  </si>
  <si>
    <t>Штырь для изолятора: Ш-2...</t>
  </si>
  <si>
    <t>Элементы соединительные стальные оцинкованные (элементы крепления оборудования)</t>
  </si>
  <si>
    <t>00-02-7-13-02р  Дистанционное управление разъединителями ТП Чекон</t>
  </si>
  <si>
    <t>Кабель контрольный с медными жилами, марки КВВГ, мм2:: 10х2,5</t>
  </si>
  <si>
    <t>Кабель контрольный с медными жилами, марки КВВГ, мм2:: 14х2,5</t>
  </si>
  <si>
    <t>Кабель контрольный с медными жилами, марки КВВГ, мм2:: 19х2,5</t>
  </si>
  <si>
    <t>Кабель контрольный с медными жилами, марки КВВГ, мм2:: 27х2,5</t>
  </si>
  <si>
    <t>Кабель контрольный с медными жилами, марки КВВГ, мм2:: 37х2,5</t>
  </si>
  <si>
    <t>Кабель контрольный с медными жилами, марки КВВГ, мм2:: 4х2,5</t>
  </si>
  <si>
    <t>Кабель контрольный с медными жилами, марки КВВГ, мм2:: 5х2,5</t>
  </si>
  <si>
    <t>Кабель контрольный с медными жилами, марки КВВГ, мм2:: 7х2,5</t>
  </si>
  <si>
    <t>Кабель контрольный с медными жилами, марки КВВГнг-LS, мм2:: 14х2,5</t>
  </si>
  <si>
    <t>Лента сигнальная "Электра" ЛСЭ 150</t>
  </si>
  <si>
    <t>Полухомут для крепления кронштейна анкерного (оттяжки): радиусом 205 мм, тип IV, ЛЭЗ 41.0806-03</t>
  </si>
  <si>
    <t>Провода неизолированные медные марки: М, сечением 4 мм2</t>
  </si>
  <si>
    <t>Провода с медной гибкой жилой с резиновой изоляцией,  марки ПРГН  1х2,5 мм2</t>
  </si>
  <si>
    <t>Сталь полосовая</t>
  </si>
  <si>
    <t>Сталь угловая 50x50x5 мм</t>
  </si>
  <si>
    <t>Трубки защитные гофрированные</t>
  </si>
  <si>
    <t>Трубы водогазопроводные Ду 20 мм х 2,8 мм</t>
  </si>
  <si>
    <t>Трубы водогазопроводныеДу 25 мм х 3,2 мм</t>
  </si>
  <si>
    <t>Трубы хризотилцементные напорные: ВТ6, Ду 100 мм</t>
  </si>
  <si>
    <t>Хомуты для крепления: труб</t>
  </si>
  <si>
    <t>Элементы соединительные стальные оцинкованные (крепления ШК)</t>
  </si>
  <si>
    <t>02-02-7-12-11р(и4) Монтаж устройств охранной периметральной сигнализации ТП Чекон</t>
  </si>
  <si>
    <t>Кабель для систем пожарной сигнализации КПСЭнг(А)-FRLS 1х2х0,75</t>
  </si>
  <si>
    <t>Кабель для систем пожарной сигнализации КПСЭнг(А)-FRLS 20х2х0,5</t>
  </si>
  <si>
    <t>Кабель силовой с медными жилами, марки ВВГнг(А)-LS, мм2:: 2х6</t>
  </si>
  <si>
    <t>Провод станционный кроссовый с медными жилами, марки ПКСВ, мм:: 2х0,5</t>
  </si>
  <si>
    <t>02-02-7-12-12р(и1) АИИС КУЭ ТП Чекон</t>
  </si>
  <si>
    <t>Зажимы наборные</t>
  </si>
  <si>
    <t>Кабели контрольные с медными жилами, марки: КВВГнг(A)-LS 4 х2,5 мм2</t>
  </si>
  <si>
    <t>Кабели контрольные с медными жилами марки: КВВГЭнг-LS, 4 х10 мм2</t>
  </si>
  <si>
    <t>Кабель контрольный с медными жилам, марки КВВГЭнг-LS, мм2:: 37х2,5</t>
  </si>
  <si>
    <t>Кабель контрольный с медными жилами, марки КВВГЭнг-LS, мм2:: 4х2,5</t>
  </si>
  <si>
    <t>Кабель контрольный с медными жилами, марки КВВГЭнг-LS, мм2:: 7х2,5</t>
  </si>
  <si>
    <t>Кабель контрольный с медными жилами, марки КВВГЭнг-LS, мм2:: 7х4</t>
  </si>
  <si>
    <t>Кабель контрольный с медными жилами, марки КВВГЭнг-LS, мм2:: 7х6</t>
  </si>
  <si>
    <t>Кабель передачи данных, неэкранированный, категории 5Е, марки: UC 300 24 4P (UTP)</t>
  </si>
  <si>
    <t>Кабель силовой с медными жилами ВВГнг-LS 2,5 мм2</t>
  </si>
  <si>
    <t>Коннектор RJ-45</t>
  </si>
  <si>
    <t>Муфты соединительные</t>
  </si>
  <si>
    <t>Провод силовой, марки ПВ3, мм2:: 2,5</t>
  </si>
  <si>
    <t>Провода неизолированные медные марки: МГ, сечением 10 мм2</t>
  </si>
  <si>
    <t>Провода неизолированные медные марки: МГ, сечением 6 мм2</t>
  </si>
  <si>
    <t>Рубильники Р16 У3 I-16А</t>
  </si>
  <si>
    <t>Рукава металлические диаметром: 20 мм РЗ-Ц-Х</t>
  </si>
  <si>
    <t>Бак для воды пластиковый на 1000л POLEX PLAST/  Бак из полиэтилена, полезный объем 205 л</t>
  </si>
  <si>
    <t xml:space="preserve">Насос -автомат Джилекс Джамбо 50/28 Ч-14 / Насосы центробежные: 8/18 с электродвигателем 4А 180 А2 </t>
  </si>
  <si>
    <t>Кран шаровый запорный муфтовый 11ч38п, Ду 20мм</t>
  </si>
  <si>
    <t>Трубы напорные из полипропилена Дн20мм / Трубы напорные из ПЭ Ф 20 мм</t>
  </si>
  <si>
    <t>По смете - 9,889, по проекту - 11м</t>
  </si>
  <si>
    <t>По смете - 10,219, по проекту - 11м</t>
  </si>
  <si>
    <t>Трубы напорные из полипропилена Дн25мм/ Трубы напорные из ПЭ Ф 25 мм</t>
  </si>
  <si>
    <t>Смесители для душевых установок: СМ-Д-СТ со стационарной душевой трубкой и сеткой, фарфоровым корпусом</t>
  </si>
  <si>
    <t>Фланцы ответные/ Фланцы стальные 1,0 Мпа, диаметром 40 мм</t>
  </si>
  <si>
    <t>Фланцы ответные/ Фланцы стальные 1,0 Мпа, диаметром 50 мм</t>
  </si>
  <si>
    <t xml:space="preserve">Электроводонагреватеь ВЭТ, N=3,0кВт, 3/300, V=300л/ Электроводонагреватели ВЭТ3/300 + Крепления -4,4кг / Анкерные детали </t>
  </si>
  <si>
    <t>Умывальник Ум Пр 1БС + сифон СБПУ + смеситель СМ-УМ-НКС/ Умывальники полуфарфоровые и фарфоровые с кронштейнами, сифоном без спинки 550х480х150 мм</t>
  </si>
  <si>
    <t>Унитаз УНТЦ-1 + бачок БНК -Б11/ Унитаз-компакт «Комфорт» +Скобы скрепляющие для подвеса -2кг</t>
  </si>
  <si>
    <t>По смете - 6,986, по проекту - 7м</t>
  </si>
  <si>
    <t>По смете - 15,97, по проекту - 16м</t>
  </si>
  <si>
    <t>Трубопроводы канализации из ПЭ, диаметром: 110 мм х 4,2+ хомут с дюбелем и шпилькой - 2шт.</t>
  </si>
  <si>
    <t>Крепления (кронштейны, хомуты) для устройства конвекторов, обогревателей</t>
  </si>
  <si>
    <t>Воздуховоды оц. 0,8 мм (ГОСТ 14918-80), класс В Ф100мм/ Воздуховоды из оцинкованной стали толщиной 0,8 мм, диаметрои до 250 мм</t>
  </si>
  <si>
    <t>в смете площадь воздуховодов = 17,4м2</t>
  </si>
  <si>
    <t>Воздуховоды оц. 0,8 мм (ГОСТ 14918-80), класс В Ф125мм/ Воздуховоды из оцинкованной стали толщиной 0,8 мм, диаметрои до 250 мм</t>
  </si>
  <si>
    <t>Воздуховоды оц. 0,8 мм (ГОСТ 14918-80), класс В Ф160мм/ Воздуховоды из оцинкованной стали толщиной 0,8 мм, диаметрои до 250 мм</t>
  </si>
  <si>
    <t>Воздуховоды оц. 0,8 мм (ГОСТ 14918-80), класс В Ф250мм/ Воздуховоды из оцинкованной стали толщиной 0,8 мм, диаметрои до 250 мм</t>
  </si>
  <si>
    <t>Воздуховоды оц. 0,8 мм (ГОСТ 14918-80), класс В 100х200мм/ Воздуховоды из оцинкованной стали толщиной 0,8 мм, диаметрои до 250 мм</t>
  </si>
  <si>
    <t>Дефлектор Ф100мм / Дефлекторы вытяжные ЦАГИ, диам патрубка до 280 мм</t>
  </si>
  <si>
    <t>Дефлектор Ф125мм /Дефлекторы вытяжные ЦАГИ, диам патрубка до 280 мм</t>
  </si>
  <si>
    <t>Дефлектор Ф160мм /Дефлекторы вытяжные ЦАГИ, диам патрубка до 280 мм</t>
  </si>
  <si>
    <t>Дефлектор Ф250мм /Дефлекторы вытяжные ЦАГИ, диам патрубка до 280 мм</t>
  </si>
  <si>
    <t>Решетка переточная РП2 в дверь с/у 300х200/ Решетки нерегулируемые марка: РШ-200, размер 252х252 мм</t>
  </si>
  <si>
    <t>в смете = 0,24м2</t>
  </si>
  <si>
    <t>Решетка аллюминиевая вентиляционная с блоком регулирования воздуха АЛ-Г/Б 200х100/ Решетки регулирующие марка: РР-1, размер 100х200 мм</t>
  </si>
  <si>
    <t>в смете = 0,06м2</t>
  </si>
  <si>
    <t>Сплит-система с наружным блоком PU-P71YHAR3 ,с внутренним блоком PKA-RP71KAL R1.TH-ER Цена =169980/1,18/5,43=26528,70 руб.</t>
  </si>
  <si>
    <t>Сплит-системы MU-GFSOVA-E1/MS-GFSOVA-E1 с наружным блоком MU-GF50VA-T1 ,с внутренним блоком MS-GF50VA-T1 Цена=(34000+25990)/1,18/5,43=9362,61 руб.</t>
  </si>
  <si>
    <t>Сплит-системы MU-GF25VA-E1/MS-GF25VA-E1 с внутренним блоком  MU-GF25VA-T1 ,с наружным блоком  MS-GF25VA-T1 Цена=(28700+11290)/1,18/5,43=6241.22 руб.</t>
  </si>
  <si>
    <t xml:space="preserve">Дренажная помпа Sauermann Si2750/ Насосы центробежные: 8/18 с электродвигателем 4А 180 А2 </t>
  </si>
  <si>
    <t>Изоляция из вспененного ПЭ Энергофлекс Блэк Стар Сплит, Ф 9,52, толщ 6мм/ Трубки из вспененного полиэтилена, внутр диаметр: 10 мм, толщина 6 мм</t>
  </si>
  <si>
    <t>Изоляция из вспененного ПЭ Энергофлекс Блэк Стар Сплит, Ф 12,7 толщ 6мм/ Трубки из вспененного полиэтилена, внутр диаметр: 10 мм, толщина 6 мм</t>
  </si>
  <si>
    <t>Изоляция из вспененного ПЭ Энергофлекс Блэк Стар Сплит, Ф 15,88 толщ 6мм/Трубки из вспененного полиэтилена, внутр диаметр: 12 мм, толщина 6 мм</t>
  </si>
  <si>
    <t>Изоляция из вспененного ПЭ Энергофлекс Блэк Стар Сплит, Ф 6,35 толщ 6мм/Трубки из вспененного полиэтилена, внутр диаметр: 6 мм, толщина 6 мм</t>
  </si>
  <si>
    <t>Капельная воронка HL21/ Воронка водосточная: диаметром 100 мм</t>
  </si>
  <si>
    <t>Труба дренажная Дн=16мм/ Трубки дренажные (шланги) гофр, диам 16 мм</t>
  </si>
  <si>
    <t>Узлы прохода с кольцом для сбора конденсата: УП2-11 Ф100мм (изготавливаются под заказ)/ Узлы прохода вытяжных вент шахт с клапаном ручного управления и кольцом для сбора конденсата: УП2-11, Ф патрубка 1...</t>
  </si>
  <si>
    <t>Узлы прохода с кольцом для сбора конденсата: УП2-11 Ф125мм  (изготавливаются под заказ)/ Узлы прохода вытяжных вент шахт с клапаном ручного управления и кольцом для сбора конденсата: УП2-11, Ф патрубка 1...</t>
  </si>
  <si>
    <t>Узлы прохода с кольцом для сбора конденсата: УП2-11 Ф160мм (изготавливаются под заказ)/ Узлы прохода вытяжных вент шахт с клапаном ручного управления и кольцом для сбора конденсата: УП2-11, Ф патрубка 1...</t>
  </si>
  <si>
    <t>Узлы прохода с кольцом для сбора конденсата: УП2-11 Ф250мм (изготавливаются под заказ)/Узлы прохода вытяжных вент шахт с клапаном ручного управл и кольцом для сбора конденсата: УП2-12, Фпатрубка 250 мм</t>
  </si>
  <si>
    <t>Фланцы ответные/ Фланцы стальные, 1,0 МПа, диаметром 40 мм</t>
  </si>
  <si>
    <t>Фланцы ответные/ Фланцы стальные , 1,0 МПа, диаметром 50 мм</t>
  </si>
  <si>
    <t>Покровной слой из тонколистовой оц.стали 0,5мм/ Сталь листовая оцинкованная толщиной листа: 0,8 мм</t>
  </si>
  <si>
    <t>Диффузоры  PAV-B, диаметр 100 мм/ Диффузоры потолочные, диаметр 100 мм</t>
  </si>
  <si>
    <t>Диффузоры  PAV-B, диаметр 160 мм/ Диффузоры потолочные, диаметр 160 мм</t>
  </si>
  <si>
    <t>Диффузоры  PAV-B, диаметр 125 мм/ Диффузоры потолочные , диаметр 125 мм</t>
  </si>
  <si>
    <t>Диффузоры  PAV-B, диаметр 250 мм/ Диффузоры потолочные, диаметр 250 мм</t>
  </si>
  <si>
    <t>Набивка типа БСТВ-сп. Холсты из базальтовыхсупертонких волокон для герметизации вент.проходов - 1м3 без расхода (по проекту)</t>
  </si>
  <si>
    <t xml:space="preserve">Болты анкерные, Анкерные детали из прямых или гнутых круглых стержней </t>
  </si>
  <si>
    <t>Монтажная пена Макрофлекс - 10л/ Мастика герметизирующая нетвердеющая: «Гэлан»</t>
  </si>
  <si>
    <t>Цилиндры кашированные армированные алюм.фольгой Ф160мм толщиной 40мм для внутрестеновой изоляции саморегулирующегося приточного клапана VTK 160/ Цилиндры и полуцилиндры из минватыМ-200, Ду 76-108 мм + Листы алюминиевые марки АД1Н, толщиной: 1 мм - 2,223кг</t>
  </si>
  <si>
    <t>в смете = цилиндры 0,0826м3 + листы алюминиевые 2,223кг</t>
  </si>
  <si>
    <t>Минераловатные маты ALU1 WIRED MAT 105 (AЛУ1 ВАЙРЕД МАТ 105) кашированные алюминиевой фольгой, толщ.50мм/ Маты прошивные из минеральной ваты: без обкладок М-100, толщина 60 мм</t>
  </si>
  <si>
    <t>По проекту 1,85 (без расхода)</t>
  </si>
  <si>
    <t>Асфальт горячей укладки высокоплотный, мелкозернистый/ Асфальтобетонные смеси мелко и крупнозернистые, марка: II, тип А</t>
  </si>
  <si>
    <t>Битумы БНД-60/90/ Битумы нефтяные дорожные</t>
  </si>
  <si>
    <t xml:space="preserve">Готовые песчано-щебеночные смеси </t>
  </si>
  <si>
    <t xml:space="preserve">Щебень  для строительных работ </t>
  </si>
  <si>
    <t>Раствор готовый цементный марки: 150, 100, 50</t>
  </si>
  <si>
    <t>Водопропускной лоток II-0,75 (тип -II, глубина 0,75м), бетон кл. В22,5 (350) - Альбом водоотводных устройств № 984/ Блок междупутного лотка, объем бетона 0,31 м3, расход стали - 16,1 кг, высота - 0,75 м</t>
  </si>
  <si>
    <t>Крышка для лотков тип -II, бетон кл. В22,5 (350) - Альбом водоотводных устройств № 984/ Крышка междупутных лотков, объем бетона 0,028 м3</t>
  </si>
  <si>
    <t>24шт.</t>
  </si>
  <si>
    <t>Плиты укрепления  Б-8 - 24шт. по серии 3.503.1-66 (на выходе из водопропускного лотка)</t>
  </si>
  <si>
    <t>Асфальтобетон горячей укладки высокоплотный марка: II, тип Б/ Асфальтобетонные смеси мелко и крупнозернисты, марка: II, тип А</t>
  </si>
  <si>
    <t>Геосетка стекловолоконная ССНП 50/50/ Геосетка "Стеклонит"</t>
  </si>
  <si>
    <t>Щебень черный горячий, фракция: 15-25 мм - 514м3</t>
  </si>
  <si>
    <t>Смесь щебеночная с непрерывной гранулометрией С4-80мм/ Готовые песчано-щебеночные смеси марка 800, 70-40 мм, сорт 1</t>
  </si>
  <si>
    <t>В смете не учтен расход на  потери и уплотнение</t>
  </si>
  <si>
    <t xml:space="preserve">Катионоактивная битумная эмульсия БНД/БН - 60/90/ Битумы нефтяные </t>
  </si>
  <si>
    <t>Щебень фр. 20-40мм/ Щебень для строительных работ марка 80</t>
  </si>
  <si>
    <t>Травы семена / Газон Универсальный альтернативный</t>
  </si>
  <si>
    <t>Столбики сигнальные С-3 поперечное сечение дугообразное/ Столбики сигнальные дорожные пластиковые</t>
  </si>
  <si>
    <t>Знаки дорожные: 2.4 -1шт. + 2.3.2 -1шт. + 2.3.3 -1шт. + 3.20 -2шт. + 3.21 -1шт. / Знаки дорожные со световозвращающей пленкой А-700, D-700</t>
  </si>
  <si>
    <t xml:space="preserve">Стойка металлическая СКМ-3.35/ Стойки металлические под дорожные знаки </t>
  </si>
  <si>
    <t>3шт.</t>
  </si>
  <si>
    <t>т/ шт.</t>
  </si>
  <si>
    <t>0,052/3</t>
  </si>
  <si>
    <t>Барьерное ограждение 11-ДО-250-0,75:2-1 - 12мп + 11-ДО-К/250-0,75:2-1 - 20мп/ Металлоконструкции балок ограждения: секции балок СБ-1,СБ-2,СБ-3</t>
  </si>
  <si>
    <t>Устройство дорожной разметки (1.7 -41пог.м + 1.2 -45пог.м + 1.1 -16пог.м + 1.13 -12пог.м/ Термопластик</t>
  </si>
  <si>
    <t>114пог.м/ 10,2м2</t>
  </si>
  <si>
    <t>Бруски обрезные</t>
  </si>
  <si>
    <t>Резервуар для  ливневых стоков HELYX Об.130м3 "КТР НЕ" (Цена 2508490/1,18/5,43=391498,89 руб)</t>
  </si>
  <si>
    <t xml:space="preserve">шт. </t>
  </si>
  <si>
    <t>КО6 / Кольца для колодцев ж/б Ф 1000 мм</t>
  </si>
  <si>
    <t>КС 7.1/ Кольца для колодцев ж/б Ф 1000 мм</t>
  </si>
  <si>
    <t>КС 7.3/ Кольца для колодцев ж/б Ф 1000 мм</t>
  </si>
  <si>
    <t>КС 7.9/ Кольца для колодцев ж/б Ф 1000 мм</t>
  </si>
  <si>
    <t>КС 10.6/ Кольца для колодцев ж/б Ф 1000 мм</t>
  </si>
  <si>
    <t>КС 10.9/ Кольца для колодцев ж/б Ф 1000 мм</t>
  </si>
  <si>
    <t>КС 20.9/ Кольца для колодцев ж/б Ф 2000 мм</t>
  </si>
  <si>
    <t>КС-7б/Кольца для колодцев ж/б Ф 700 мм</t>
  </si>
  <si>
    <t>1ПП7-1/Кольца для колодцев ж/б Ф 700 мм</t>
  </si>
  <si>
    <t>Песок для строительных работ очень мелкий</t>
  </si>
  <si>
    <t>Песок для строительных работ средний</t>
  </si>
  <si>
    <t>ПН10/ Плиты ж/б покрытий, перекрытий и днищ</t>
  </si>
  <si>
    <t>ПН-7/Плиты ж/б покрытий, перекрытий и днищ</t>
  </si>
  <si>
    <t>ПН20/ Плиты ж/б покрытий, перекрытий и днищ</t>
  </si>
  <si>
    <t>2ПП20-1/ Плиты ж/б покрытий, перекрытий и днищ</t>
  </si>
  <si>
    <t>ПП10-1/ Плиты ж/б покрытий, перекрытий и днищ</t>
  </si>
  <si>
    <t>Стремянка С-1 - 2шт.*6,6кг/ Стремянка для колодцев</t>
  </si>
  <si>
    <t>Стремянка С1-03 - 2шт. *16,2кг/ Стремянка для колодцев</t>
  </si>
  <si>
    <t>Трубы SN 16 "КОРСИС ПРО" Ф110мм / SN 8 диам. 110 ммТрубы безнапорные муфтовые "КОРСИС": SN 8 диам. 110 мм</t>
  </si>
  <si>
    <t>Трубы SN 16 "КОРСИС ПРО" Ф250мм /Трубы безнапорные муфтовые "КОРСИС": SN 8 диам. 250 мм</t>
  </si>
  <si>
    <t>Трубы SN 16 "КОРСИС ПРО" Ф6315мм /Трубы безнапорные муфтовые "КОРСИС": SN 8 диам. 315 мм</t>
  </si>
  <si>
    <t>Стремянка С1-01 - 7шт.*9,7кг/ Стремянка для колодцев</t>
  </si>
  <si>
    <t>в смете:                      Ф1000мм - 9,886м;               Ф2000мм - 1,615м Ф700мм - 8,147м;                                                                             Плиты ж/б покрытий, перекрытий и днищ - 2,6378м3</t>
  </si>
  <si>
    <t>Стремянка С1-04 - 2шт. *19,5кг/ Стремянка для колодцев</t>
  </si>
  <si>
    <t>В смете - 0,254т: С-1 - 2шт.*6,6кг + С1-01 -7шт.*9,7кг + С1-03 - 2шт. *16,2кг+ С1-04 - 2шт. *19,5кг</t>
  </si>
  <si>
    <t>Дождеприемник ДК/ Люки чугунные: с решеткой для дождеприемного колодца ЛР</t>
  </si>
  <si>
    <t>Люк ТК/ Люки чугунные...</t>
  </si>
  <si>
    <t>Футляры (L=0,25м/ 90,29кг)/ Трубы стальные электросварные Ф 530 мм х 7 мм</t>
  </si>
  <si>
    <t>1,98кг/шт.</t>
  </si>
  <si>
    <t>1,56кг/шт.</t>
  </si>
  <si>
    <t>1,6кг/шт.</t>
  </si>
  <si>
    <t>Элементы соединительные для колодцев - МС-2 (902-09-22.84-КЖИ.10.0.0-01)</t>
  </si>
  <si>
    <t>Элементы соединительные для колодцев - МС-5 (902-09-22.84-КЖИ.11.0.0)</t>
  </si>
  <si>
    <t>Элементы соединительные для колодцев - МС-6 (902-09-22.84-КЖИ.11.0.0-01)</t>
  </si>
  <si>
    <t>Раствор готовый цементный марки: 50- 100</t>
  </si>
  <si>
    <t>Кабель-канал (короб) "Элекор": СКК10-060-1-К01, 100x60 мм</t>
  </si>
  <si>
    <t>Наконечник кабельный  медный 50x12 KU DIN46235</t>
  </si>
  <si>
    <t>Трубы гофрированные ТГГ-ПНД-/1-0-32/24,3/ Трубы гофрированные легкие из ПНД, серии BL, диаметром: 32 мм</t>
  </si>
  <si>
    <t>50*0,98кг</t>
  </si>
  <si>
    <t>Держатель для кабеля КВ 2,5x150/ Держатель для кабеля</t>
  </si>
  <si>
    <t xml:space="preserve">Трубка поливинилхлоридная ХВТ </t>
  </si>
  <si>
    <t>02-02-7-11-11р(и4)  Монтаж устройств охранной сигнализации в здании тяговой подстанции Чекон</t>
  </si>
  <si>
    <t xml:space="preserve">Коробка распаечная с зажимами КСП-10/ Коробка клеммная соединит. КС-3 </t>
  </si>
  <si>
    <t xml:space="preserve">Провод 1х0,75/ марки ПуГВ / Провод  силовой для эл. установок, мм2: 0,75 </t>
  </si>
  <si>
    <t>Резисторы постоянный непроволочный тонкопленочный С2-33Н-0,25-8,2 -1шт. + С2-33Н-0,25-1,5 -22шт.</t>
  </si>
  <si>
    <t>Кабельный канал из самозатухающей композиции 25х16/ Короб кабельного канала-LEGRAND-DLP 25х16 мм</t>
  </si>
  <si>
    <t>Коробка распаечная с зажимами КСП-10/ Коробка клеммная соед. КС-3</t>
  </si>
  <si>
    <t>Провод монтажный с медными жилами, марки НВМЭ . 4, 1х0,35</t>
  </si>
  <si>
    <t>Кабель витая пара-категории 5е с общим экраном, марки ЭКС-ГВПВЭ-5е, мм: 1х2х0,51</t>
  </si>
  <si>
    <t>в смете 50мп</t>
  </si>
  <si>
    <t>Кабельный канал  из самозатухающей композиции 25х16, МЕХ/ Короб кабельного канала-LEGRAND-DLP 25х16 мм</t>
  </si>
  <si>
    <t>Розетка Rj-11 кат. 5е (однопортовая) + вилка Rj-11</t>
  </si>
  <si>
    <t xml:space="preserve">Модуль розетки компьютерной RJ-45, STP/FTR категории 6А, на 2 модуля серия 'Mosaic' - арт.76576 -2шт. + арт.77622 - 2шт./ Рамка под три автоматических выключателя короба кабельного канала 80х50 мм </t>
  </si>
  <si>
    <t>В смете 60м</t>
  </si>
  <si>
    <t>Крышка для кабельного канала 65мм, LEGRAND, арт 10419</t>
  </si>
  <si>
    <t xml:space="preserve">Перегородка 50 мм короба кабельного канала  80х50 мм, арт. 10582 </t>
  </si>
  <si>
    <t>Суппорт на 2 модуля -арт.10952 2шт. + суппортна 4 модуля с крышкой -арт.1094 - 2шт./ Суппорт короба кабельного канала 80х50 мм</t>
  </si>
  <si>
    <t xml:space="preserve">Накладка на стык крышки - арт.10801 - 10шт/ Заглушка  короба кабельного канала  100х50 мм </t>
  </si>
  <si>
    <t>В смете 61шт.</t>
  </si>
  <si>
    <t xml:space="preserve">Накладка на стык короба -арт.10692 - 10шт./ Заглушка  короба кабельного канала  100х50 мм </t>
  </si>
  <si>
    <t xml:space="preserve">Заглушка для короба -арт.10722 - 1шт./ Заглушка  короба кабельного канала  100х50 мм </t>
  </si>
  <si>
    <t xml:space="preserve">Фиксатор- арт.10681/ Заглушка  короба кабельного канала  100х50 мм </t>
  </si>
  <si>
    <t xml:space="preserve">Угол внутренний для кабельного канала 80х50, арт.10602/ Угол внутренний  короба кабельного канала  </t>
  </si>
  <si>
    <t>Угол внешний для кабельного канала 80х50, арт.10622/ Угол внешний: изменяемый для короба 90х60 мм</t>
  </si>
  <si>
    <t xml:space="preserve">Угол плоский для кабельного канала 80х50, арт.10767/ Угол плоский  короба кабельного канала </t>
  </si>
  <si>
    <t>В смете отсутствует</t>
  </si>
  <si>
    <t>Кабель КВПП 5е 4х2х0,52/ Кабель витая пара - 6 категории с общим экраном, марки ЭКС-ГВПВЭ-6, мм:: 4х2х0,52</t>
  </si>
  <si>
    <t>В смете 240мп</t>
  </si>
  <si>
    <t>В смете 60мп</t>
  </si>
  <si>
    <t>Кабель FTP cat 6A 4х2х0,5</t>
  </si>
  <si>
    <t>Кабельный канал  из самозатухающей композиции 40х16, МЕХ/ Короб кабельного канала-LEGRAND-DLP40х16 мм</t>
  </si>
  <si>
    <t>В смете 38шт.</t>
  </si>
  <si>
    <t>70мп</t>
  </si>
  <si>
    <t>380мп</t>
  </si>
  <si>
    <t>170мп</t>
  </si>
  <si>
    <t>Провод для воздушных линий электропередачи сталеалюминиевый, марки АС, мм2:: 500/27</t>
  </si>
  <si>
    <t>75мп</t>
  </si>
  <si>
    <t>Труба из алюминия АД31 80х4х6000 (ГОСТ 18482-79)/ Трубы круглые из алюминия марок АД0, АД1, АД, толщиной стенок 6-9 мм, Дн: 65-85 мм</t>
  </si>
  <si>
    <t>4 шт.*6мп = 24м</t>
  </si>
  <si>
    <t>Кабель силовой ПвВнг(А)-LS 1х500/95-10кВ Цена=4433152:5,43=816418,50 руб.</t>
  </si>
  <si>
    <t xml:space="preserve">В смете - ПвВнг(А)-LS 1х500/50-10кВ </t>
  </si>
  <si>
    <t>Кабель силовой ПвВнг(А)-LS 3х95/70-10кВ Цена=3184675,20:5,43=586496,35 руб.</t>
  </si>
  <si>
    <t xml:space="preserve">В смете -  ПвВнг(А)-LS 3х95/50-10кВ  </t>
  </si>
  <si>
    <t>Шины из алюминия АД31 10х100 - 17м.пог/ Шины прессованные из алюминия, размером 4х30 мм</t>
  </si>
  <si>
    <t>17м пог</t>
  </si>
  <si>
    <t>Кабельное крепление  СЭ6 20/45 / Кабельный хомут СЭ6 20/45 Цена=165,48:5,43=30,48 руб.</t>
  </si>
  <si>
    <t>Кабельное крепление/ Кабельный хомут СЭ6 40/60 Цена=593,09:5,43=109,23 руб.</t>
  </si>
  <si>
    <t>Кабельное крепление/ Кабельный хомут СЭ-6 45/65 Цена=216,68:5,43=39,90руб.</t>
  </si>
  <si>
    <t>Трубы гофрированные двустенные ПНД/ПВД 90/76 / Трубы гибкие гофрированные двустенные "DKC" д. 63 мм</t>
  </si>
  <si>
    <t>Трубы гофрированные двустенные ПНД/ПВД 63/52 / Трубы гибкие гофрированные двустенные "DKC" д.90 мм</t>
  </si>
  <si>
    <t>Трубы гофрированные IP55 УХЛ2, ТГГ-ПНД-Л-0-50/39,6 /  Трубы гибкие гофрированные, серии FL, диаметром: 50 мм</t>
  </si>
  <si>
    <t>100м*1,57кг</t>
  </si>
  <si>
    <t>3800мп*1,26кг</t>
  </si>
  <si>
    <t>750мп*0,98кг</t>
  </si>
  <si>
    <t>Сталь полосовая: 40х4 мм, марка Ст3сп</t>
  </si>
  <si>
    <t>10мп*7,85кг</t>
  </si>
  <si>
    <t>Сталь полосовая: 10х100мм/  Сталь полосовая шириной 50-200 мм толщиной 4-5 мм</t>
  </si>
  <si>
    <t>50х50х5 - 87мп +75х75х6 - 0,63мп</t>
  </si>
  <si>
    <t>50мп</t>
  </si>
  <si>
    <t>Рельсы старогодные ТУ32 ЦП533-99/ Рельсы старогодные ж/д для повторной укладки в путь типа Р50: III группы годности</t>
  </si>
  <si>
    <t xml:space="preserve">Короб металлический оцинкованный с крышкой СПО 200х100х2000/ Лоток прямой СПО 200*100*2000 </t>
  </si>
  <si>
    <t>Брус-2 сосна 100х100х5000мм/ Детали деревянные градирен антисептированные из: досок</t>
  </si>
  <si>
    <t xml:space="preserve">Узел крепления КГП 7-2Б (1,12кг*18шт)/ Конструкции стальные </t>
  </si>
  <si>
    <t xml:space="preserve">Лист 6х100х200 (0,94кг) / Конструкции стальные </t>
  </si>
  <si>
    <t>Скоба: СК-7-1А</t>
  </si>
  <si>
    <t>Концевая муфта внутренней установки Raychem с болтовыми наконечниками POLT-12D/3 XI-H1-L12A Цена=14028.13:1,18:5,43=2189.36руб.</t>
  </si>
  <si>
    <t>Концевая муфта внутренней установки Raychem с болтовыми наконечниками POLT-12F/1 XI-L20A Цена=17964,40:1,18:5,43=2803,70 руб.</t>
  </si>
  <si>
    <t xml:space="preserve">Кронштейн для анкеровки проводов без оттяжки КС МК-14.062, УКС 07022-01 (5шт.*3кг)/ Конструкции стальные </t>
  </si>
  <si>
    <t xml:space="preserve">Кронштейн для крепления датчиков  (7кг*12шт.)/ Конструкции стальные </t>
  </si>
  <si>
    <t xml:space="preserve">Металлоконструкции для крепления датчиков (7,85 *11шт.) + 1,72кг +2,62 кг/ Конструкции стальные </t>
  </si>
  <si>
    <t xml:space="preserve">Конструкции крепления датчиков (1,72кг + 2,62кг )/ Конструкции стальные </t>
  </si>
  <si>
    <t xml:space="preserve">В смете учтено 219кг </t>
  </si>
  <si>
    <t>Наконечники кабельные медные 120х10 KU-V</t>
  </si>
  <si>
    <t>Выключатель автоматический OptiDin,3р,50А ВМ63-3L50-УХЛ3. Цена:2877/5,43</t>
  </si>
  <si>
    <t>Кабель силовой с медными жилами  марки: ВВГнг-LS,  2х2,5 мм2...</t>
  </si>
  <si>
    <t>Кабель контрольный с медными жилами КВВГнг(А)-FRLS 4х1,5</t>
  </si>
  <si>
    <t>Кабель контрольный с медными жилами КВВГнг(А)-FRLS 4х2,5</t>
  </si>
  <si>
    <t>Кабель силовой с медными жилами, марки ПвВГнг(А)-LS 2х2,5</t>
  </si>
  <si>
    <t>В смете 3770мп (2110+1320+40+50)</t>
  </si>
  <si>
    <t>Кабель силовой с медными жилами, марки ПвВГЭнг(А)-LS 2х2,5</t>
  </si>
  <si>
    <t>Кабель силовой с медными жилами, марки ПУГВнг-LS 1х1,5</t>
  </si>
  <si>
    <t>Кабельный канал из самозатухающей композиции 25х16/ Короб кабельного канала - LEGRAND-DLP: 25х16мм</t>
  </si>
  <si>
    <t>Телекоммуникационный канализационный пластиковый колодец марки ПОЛЕКС-ККТ-2. Цена 43601,70:1,18:5,43=6804,90</t>
  </si>
  <si>
    <t>В смете 12 шт.</t>
  </si>
  <si>
    <t>В смете 6 шт.</t>
  </si>
  <si>
    <t>В смете 310 шт.</t>
  </si>
  <si>
    <t>В смете 35 шт.</t>
  </si>
  <si>
    <t>Кабельный канал 65х195, кат А, арт 10453</t>
  </si>
  <si>
    <t>Крышка для короба шириной 180мм, арт 10526</t>
  </si>
  <si>
    <t>Заглушка торцевая для короба шириной 65х195мм, арт 10707</t>
  </si>
  <si>
    <t>Скоба для крышек 180мм, арт 10686</t>
  </si>
  <si>
    <t>Угол внутренний для кабельного канала 65х195мм, арт 10603</t>
  </si>
  <si>
    <t>Песок природный для стороительных работ</t>
  </si>
  <si>
    <t>Кабель силовой с медными жилами, 0,66 кВ, ВВГнг(А)-LS мм2: 2х6</t>
  </si>
  <si>
    <t>Кабельный канал из самозатухающей композиции 40х25, МЕХ/ Короб кабельного канала - LEGRAND-DLP: 40х16мм</t>
  </si>
  <si>
    <t>Труба: ПЭ 63 SDR 11, Ф50 мм/ Труба: ПЭ 80 SDR 11, Ф50 мм (ГОСТ Р 50838-95)</t>
  </si>
  <si>
    <t>Бокс для установки двух аккумуляторных батарей, 2х17Ахч-12В/ Боксы кабельные телефонные (корпус алюминиевый) типа: БКТ-502</t>
  </si>
  <si>
    <t xml:space="preserve">Коробка КСП-10/ Коробка клеммная соединительная КС-3 </t>
  </si>
  <si>
    <t>РМ1 -66шт.*2730кг</t>
  </si>
  <si>
    <t>Настил сварной 1000х1000 SP 25х25/40х4, Zn  типа А. СН1 - 65кг*2шт./ Прокат ромбического рифления, толщиной 6 мм</t>
  </si>
  <si>
    <t>Двутавр 40Ш2/ Двутавры с параллельными гранями полок № 26-40 Ш</t>
  </si>
  <si>
    <t>Двутавр 16Б1/ Двутавры с параллельными гранями полок  № 16-18</t>
  </si>
  <si>
    <t>В смете 0,328т</t>
  </si>
  <si>
    <t xml:space="preserve">Закладная МН150-3 (5,6кг/шт.)/  Детали закладные </t>
  </si>
  <si>
    <t xml:space="preserve">Болт М48 L=800мм/  Детали закладные </t>
  </si>
  <si>
    <t>шт/ т</t>
  </si>
  <si>
    <t>24 / 0,136</t>
  </si>
  <si>
    <t>В смете 1,795т</t>
  </si>
  <si>
    <t>Швеллер 12П / Ростверки стальные массой до 0,2т</t>
  </si>
  <si>
    <t>Сталь (пластины), толщина 5мм / Ростверки стальные массой до 0,2т</t>
  </si>
  <si>
    <t>Труба проф. 120х120х8мм/ Ростверки стальные массой до 0,2т</t>
  </si>
  <si>
    <t>шт./ т</t>
  </si>
  <si>
    <t>6 /0,025</t>
  </si>
  <si>
    <t xml:space="preserve">Закладная  МН149-3 (9,75кг/шт.) - 38 шт/ Конструктивные элементы </t>
  </si>
  <si>
    <t>В смете 0,635т</t>
  </si>
  <si>
    <t>38/ 0,3705</t>
  </si>
  <si>
    <t xml:space="preserve">Закладная  МН150-3 (5,6кг/шт.) - 8 шт/ Конструктивные элементы </t>
  </si>
  <si>
    <t xml:space="preserve">Столик крайний СК (28,2кг/шт.) - 8 шт/ Конструктивные элементы </t>
  </si>
  <si>
    <t>8/ 0,232</t>
  </si>
  <si>
    <t>8/ 0,0325</t>
  </si>
  <si>
    <t xml:space="preserve">Болт М16 (0,94кг/шт.) / Анкерные детали из круглых стержней </t>
  </si>
  <si>
    <t>48/ 0,045</t>
  </si>
  <si>
    <t>В смете 7,966т</t>
  </si>
  <si>
    <t xml:space="preserve">Болт М30 (5,6кг/шт.) / Анкерные детали из круглых стержней </t>
  </si>
  <si>
    <t>20/ 0,112</t>
  </si>
  <si>
    <t xml:space="preserve">Болт М42 (17,625кг/шт.) / Анкерные детали из круглых стержней </t>
  </si>
  <si>
    <t>64/ 1,133</t>
  </si>
  <si>
    <t xml:space="preserve">Болт М48 (23,63кг/шт.) / Анкерные детали из круглых стержней </t>
  </si>
  <si>
    <t>370/ 6,676</t>
  </si>
  <si>
    <t>Пластина изолированная ПИ (0,75м2/26,2кг)/ Прокладки резиновые (пластина техническая прессованная)</t>
  </si>
  <si>
    <t>4,5/ 118</t>
  </si>
  <si>
    <t>м2/ кг</t>
  </si>
  <si>
    <t>В смете 118кг</t>
  </si>
  <si>
    <t>Сталь угловая 50х50х5/ Сталь угловая равнополочная, шириной полок 35-56 мм</t>
  </si>
  <si>
    <t>Переходной элемент ПЭ (101,32кг/шт.)/ Конструкции стальные: порталов ОРУ</t>
  </si>
  <si>
    <t>В смете 14,011т</t>
  </si>
  <si>
    <t>Лист (пластины), толщиной 5мм/ Конструкции стальные: порталов ОРУ</t>
  </si>
  <si>
    <t>Швеллер 10П/ Конструкции стальные: порталов ОРУ</t>
  </si>
  <si>
    <t>Сталь угловая 50х50х5/ Конструкции стальные: порталов ОРУ</t>
  </si>
  <si>
    <t>Двутавр 18Б2/ Конструкции стальные: порталов ОРУ</t>
  </si>
  <si>
    <t>Сетка 2,5х2,5/ Конструкции стальные: порталов ОРУ</t>
  </si>
  <si>
    <t>24/ 0,697</t>
  </si>
  <si>
    <t>Стойка ТС 34 (922кг/шт.)/ Конструкции стальные: порталов ОРУ</t>
  </si>
  <si>
    <t>1/ 0,922</t>
  </si>
  <si>
    <t>Стойка ТС 38 (672кг/шт.)/ Конструкции стальные: порталов ОРУ</t>
  </si>
  <si>
    <t>1/ 0,672</t>
  </si>
  <si>
    <t>Стойка ТС 28 (436кг/шт.)/ Конструкции стальные: порталов ОРУ</t>
  </si>
  <si>
    <t>4/ 1,744</t>
  </si>
  <si>
    <t>Стойка ТС 27 (1468кг/шт.)/ Конструкции стальные: порталов ОРУ</t>
  </si>
  <si>
    <t>4/ 5,872</t>
  </si>
  <si>
    <t>Стойка ТС 25 (999кг/шт.)/ Конструкции стальные: порталов ОРУ</t>
  </si>
  <si>
    <t>2/ 1,998</t>
  </si>
  <si>
    <t>4/0,664</t>
  </si>
  <si>
    <t>Тросостойка ТС 29 (166кг/шт.)/ Конструкции стальные: порталов ОРУ</t>
  </si>
  <si>
    <t>Элемент доборный ТС 30 (51кг/шт.)/ Конструкции стальные: порталов ОРУ</t>
  </si>
  <si>
    <t>4/ 0,204</t>
  </si>
  <si>
    <t>Элемент крепежный ТС 44 (56кг/шт.)/ Конструкции стальные: порталов ОРУ</t>
  </si>
  <si>
    <t>1/ 0,056</t>
  </si>
  <si>
    <t>Тросостойка ТС 4 (88кг/шт.)/ Конструкции стальные: порталов ОРУ</t>
  </si>
  <si>
    <t>1/0,088</t>
  </si>
  <si>
    <t>Элемент крепежный ТС 45 (29кг/шт. Конструкции стальные: порталов ОРУ</t>
  </si>
  <si>
    <t>1/ 0,029</t>
  </si>
  <si>
    <t>Столик крайний СК (28,2кг/шт.)</t>
  </si>
  <si>
    <t>8 / 0,192</t>
  </si>
  <si>
    <t>6/ 0,645</t>
  </si>
  <si>
    <t xml:space="preserve">Электронасос переносной, ГНОМ 16-16. </t>
  </si>
  <si>
    <t>в смете в тоннах 0,027</t>
  </si>
  <si>
    <t>заменили по факту на АСБШнг 3х150-10кв</t>
  </si>
  <si>
    <t>заменили по факту на АСБШнг 3х70-10кв</t>
  </si>
  <si>
    <t>В смете 4шт.</t>
  </si>
  <si>
    <t>ДПМ-01 EI60 21Х10 Л-2шт /94кг / Двери распашные ДМП 24Х18-1шт. 21Х10-3шт.</t>
  </si>
  <si>
    <t>ДПМ-01 EI60 21Х10 -1шт /94кг / Двери распашные ДМП 24Х18-1шт. 21Х10-3шт.</t>
  </si>
  <si>
    <t xml:space="preserve">Дверь ДН24-19Г / Блоки дверные двупольные с полотном: глухим </t>
  </si>
  <si>
    <t>В смете 11,3м2</t>
  </si>
  <si>
    <t xml:space="preserve">Дверь ДГ21-8 Л / Блоки дверные двупольные с полотном: глухим </t>
  </si>
  <si>
    <t xml:space="preserve">Дверь ДГ21-10 Л / Блоки дверные двупольные с полотном: глухим </t>
  </si>
  <si>
    <t xml:space="preserve">Дверь ДГ21-10 П / Блоки дверные двупольные с полотном: глухим </t>
  </si>
  <si>
    <t>Люк в перекрытии противопожарный металлический для выхода на чердак/ Люки и лазы со щитовыми полотнами утепленные минераловатной плитой с деревянной обшивкой и защитой оцинкованной сталью полотен и коробок двупольные ДЛ 13-15, площадь 1,89 м2</t>
  </si>
  <si>
    <t>м2/ компл.</t>
  </si>
  <si>
    <t>0,6/ 1</t>
  </si>
  <si>
    <t>Скобяные изделия для люка в перекрытии/ Скобяные изделия для оконных блоков с раздельными двойными переплетами общественных зданий двустворных высотой до 1,2 м</t>
  </si>
  <si>
    <t>Потолки реечные - 11,6м2/ Рейка алюминиевая потолочная 100 мм</t>
  </si>
  <si>
    <t>Система реечных потолков</t>
  </si>
  <si>
    <t>Потолки реечные - 11,6м2/ Гребенка несущая</t>
  </si>
  <si>
    <t xml:space="preserve">Слуховые окна ОК-2 - 2шт. / Створки оконные </t>
  </si>
  <si>
    <t>м2/ шт.</t>
  </si>
  <si>
    <t>1/ 2</t>
  </si>
  <si>
    <t>ОП ОСП 9-15 П/ Блок оконный пластиковый: двустворчатый, с глухой и поворотно-откидной створкой, однокамерным стеклопакетом (24 мм)</t>
  </si>
  <si>
    <t>В смете 18м2</t>
  </si>
  <si>
    <t>ОП ОСП 24-15 Ф/ Блок оконный пластиковый: двустворчатый, с глухой и поворотно-откидной створкой, однокамерным стеклопакетом (24 мм)</t>
  </si>
  <si>
    <t>СГ 6-8 Ж (по типу СГ 6-12)/ Блок оконный пластиковый: двустворчатый, с глухой и поворотно-откидной створкой, однокамерным стеклопакетом (24 мм)</t>
  </si>
  <si>
    <t>В смете нет</t>
  </si>
  <si>
    <t xml:space="preserve">СТРЕМЯНКА СГ-52/ масса 94кг, 1шт./ Ограждения лестничных проемов, лестничные марши, пожарные лестницы. </t>
  </si>
  <si>
    <t xml:space="preserve">Уголок 50х50х5 (110,07кг) + арматура А1 Ф10 (3,96кг), Рамки Р1= (3шт.* 38кг/шт.). Отдельные конструктивные элементы </t>
  </si>
  <si>
    <t>Сальники. ТМ90-04 Ду 150мм, L=0,3м/ Детали закладные и накладные (для устройства фундаментов)</t>
  </si>
  <si>
    <t xml:space="preserve">УГОЛКИ СТАЛЬНЫЕ 50х50х5/ Устройство проемов/ Детали закладные и накладные </t>
  </si>
  <si>
    <t xml:space="preserve">Уголок 50х50х5/ Кронштейн . Детали закладные и накладные </t>
  </si>
  <si>
    <t xml:space="preserve">Закладная деталь МН111-6, 1,6кг/ шт/ / Детали закладные и накладные </t>
  </si>
  <si>
    <t>т/шт.</t>
  </si>
  <si>
    <t>0,038/ 24</t>
  </si>
  <si>
    <t>Закладная деталь МН 128-6 (267,12кг/ 31,8м) / Детали закладные и накладные (МН 128-6, МН 129-6)</t>
  </si>
  <si>
    <t>Закладная деталь МН 129-6 (1232,13кг/ 115,2м) / Детали закладные и накладные (МН 128-6, МН 129-6)</t>
  </si>
  <si>
    <t>Труба проф. 40х40х3 / Детали закладные и накладные / НАВЕС ИНДИВИДУАЛЬНОГО ИЗГОТОВЛЕНИЯ</t>
  </si>
  <si>
    <t>Стакан С1 (6шт. * 42кг) / Конструктивные элементы</t>
  </si>
  <si>
    <t>Сталь листовая 0,7мм/ Конструктивные элементы</t>
  </si>
  <si>
    <t>Снегозадерживатель/ Доп. элементы кровли: планка для снегозадержателя длиной 2000 мм</t>
  </si>
  <si>
    <t>Желоб из оцинкованной кровельной стали (Р=68,8м) / Доп. элементы кровли: коньковый элемент, разжелобки, профили с покрытием</t>
  </si>
  <si>
    <t>ПД ПВХ 20х250х1700/ Доски подоконные ПВХ, шириной 250 мм</t>
  </si>
  <si>
    <t>В смете 17мп</t>
  </si>
  <si>
    <t>Плиты из мин ваты  П-175 толщиной 60 мм (ГОСТ 9573-96)/ Устройство перегородок</t>
  </si>
  <si>
    <t>Плита ППС 35 1000х500х100 / устройство цоколя/ Плиты из пенопласта полистирольного ПСБС-40</t>
  </si>
  <si>
    <t>Трубы бесшовные обсадные с треугольной резьбой, д: 273 мм х 10,2 мм</t>
  </si>
  <si>
    <t>Трубы ст.электросварные Ф 57 мм х 3,5 мм (устройство труб вводов)</t>
  </si>
  <si>
    <t>Трубы приямков L=620мм х 18шт./ Трубы хризотилцементные безнапорные БНТ, диаметр усл. 100 мм</t>
  </si>
  <si>
    <t>Трубы приямков L=620мм х 15шт./ Трубы хризотилцементные безнапорные БНТ, диаметр усл 150 мм</t>
  </si>
  <si>
    <t>Шпатлевка («Фугенфюллер», КНАУФ - 293,41кг + «Унифлот», КНАУФ - 40кг + клеевая - 241кг)/ финиш-паста</t>
  </si>
  <si>
    <t xml:space="preserve">Линолиум с полиуретановым покрытием - 4 / Ковры из линолеума поливинилхлоридного на теплозвукоизолирующей подоснове </t>
  </si>
  <si>
    <t>В смете 864,4</t>
  </si>
  <si>
    <t>Устройство декоративной облицовки фасада здания 221,22м2</t>
  </si>
  <si>
    <t>Панели потолочные с комплектующими: «Армстронг» 600х600</t>
  </si>
  <si>
    <t xml:space="preserve">Плитки керамические с антискользящим покрытием -10 (ГОСТ6787-2001) / Плитки керамические для полов гладкие неглазурованные одноцветные </t>
  </si>
  <si>
    <t>Керамогранит 60х60х10 для устройства цоколя/ Плитки керамические фасадные неглазурованные гладкие толщиной 9 мм</t>
  </si>
  <si>
    <t>Плитки керамические кислотоупорные для покрытия полов -15 (ГОСТ 961-89) / Плитки кислотоупорные шамотные толщиной: 20 мм</t>
  </si>
  <si>
    <t>Состав огнезащитный: «АТТИК», пропиточный / для огнезащитного покрытия стропильной конструкции кровли</t>
  </si>
  <si>
    <t>Сталь листовая оцинкованная толщиной листа: 0,7 мм/ Устройство обделки на фасадах, водосточные трубы, наружные подоконники, свесы, желоба</t>
  </si>
  <si>
    <t>Лист оцинкованный рифленный толщ.5мм  450х500 (8,83кг/шт.)  на покрытие кабельных каналов / ЩО1 / Стальные настилы и щиты</t>
  </si>
  <si>
    <t>шт./кг</t>
  </si>
  <si>
    <t>44/ 388,52</t>
  </si>
  <si>
    <t>В смете - 1,785т</t>
  </si>
  <si>
    <t>Лист оцинкованный рифленный  толщ.5мм 500х550 (10,79кг/шт.) на покрытие кабельных каналов / ЩО2/ Стальные настилы и щиты</t>
  </si>
  <si>
    <t>4/ 43,16</t>
  </si>
  <si>
    <t>Лист оцинкованный рифленный  толщ.5мм 450х550 (11,87кг/шт.) на покрытие кабельных каналов / ЩО3/ Стальные настилы и щиты</t>
  </si>
  <si>
    <t>3/ 35,61</t>
  </si>
  <si>
    <t>Лист оцинкованный рифленный  толщ.5мм 550х550 (13,25кг/шт.) на покрытие кабельных каналов / ЩО5/  Стальные настилы и щиты</t>
  </si>
  <si>
    <t>14/ 185,5</t>
  </si>
  <si>
    <t>Лист оцинкованный рифленный  толщ.5мм 550х750 (16,19кг/шт.) / ЩО6/ Стальные настилы и щиты</t>
  </si>
  <si>
    <t>18/ 291,42</t>
  </si>
  <si>
    <t>Лист оцинкованный рифленный  толщ.5мм 500х550 (12,95кг/шт.) на покрытие кабельных каналов / ЩО4/  Стальные настилы и щиты</t>
  </si>
  <si>
    <t>1/ 12,95</t>
  </si>
  <si>
    <t>Уголок оцинкованный 50х50х5 (6,26кг*44шт.+ 4шт.*7,01 + 3шт. * 7,39 + 7,76 + 8,14кг * 14шт. + 18шт. *8,89кг) / Стальные настилы и щиты</t>
  </si>
  <si>
    <t>Труба проф. 40х20х3 (Щ1 3шт.) на покрытие приямков (32,89кг/шт.) / Стальные настилы и щиты</t>
  </si>
  <si>
    <t>Доска 16х150х1000 7шт. (Щ1 3шт.) на покрытие приямков (32,89кг/шт.) / Стальные настилы и щиты</t>
  </si>
  <si>
    <t>мп</t>
  </si>
  <si>
    <t>Металлочерепица 1,8х3,39м (27,01кг/шт.)  (Щ1 3шт.) / Стальные настилы и щиты</t>
  </si>
  <si>
    <t>Технониколь/ Рубероид кровельный с пылевидной посыпкой марки РКП-350б</t>
  </si>
  <si>
    <t>Брус Б5  (3.407.1-157.В1) / Бруски железобетонные для прокладки лотков</t>
  </si>
  <si>
    <t>В смете - 4,151м3</t>
  </si>
  <si>
    <t>Брус Б10  (3.407.1-157.В1) / Бруски железобетонные для прокладки лотков</t>
  </si>
  <si>
    <t xml:space="preserve">Блоки БДЛ 40.6 (3.407.1-157.В1)/ </t>
  </si>
  <si>
    <t>м3/ шт.</t>
  </si>
  <si>
    <t>22,4/ 52</t>
  </si>
  <si>
    <t>В смете 22,4м3</t>
  </si>
  <si>
    <t xml:space="preserve">Лоток ЛК300.60.60-1 (3.006.1-8.1)/ Лотки ж/б для непроходных каналов </t>
  </si>
  <si>
    <t>В смете 35,59м4</t>
  </si>
  <si>
    <t xml:space="preserve">Лоток ЛК300.60.60-3 (3.006.1-8.1)/ Лотки ж/б для непроходных каналов </t>
  </si>
  <si>
    <t xml:space="preserve">Лоток ЛК300.120.60-1 (3.006.1-8.1)/ Лотки ж/б для непроходных каналов </t>
  </si>
  <si>
    <t>Лоток Л20.5 (3.407.1-157.В1)/ Лотки каналов и тоннелей ж/б для прокладки коммуникаций</t>
  </si>
  <si>
    <t>В смете - 35,4м3</t>
  </si>
  <si>
    <t>Лоток Л20.10 (3.407.1-157.В1)/ Лотки каналов и тоннелей ж/б для прокладки коммуникаций</t>
  </si>
  <si>
    <t>Плита ПТ75.120.12-3 (3.006.1-8.1)/ Плиты перекрытия плоские, объемом до 0,2 м1</t>
  </si>
  <si>
    <t>В смете - 15,576м3</t>
  </si>
  <si>
    <t>Плита ПТ75.90.10-3 (3.006.1-8.1)/ Плиты перекрытия плоские, объемом до 0,2 м2</t>
  </si>
  <si>
    <t xml:space="preserve">Плита ПТ75.60.8-3 (3.006.1-8.1)/ Плиты перекрытия плоские, объемом до 0,2 м3 </t>
  </si>
  <si>
    <t>Плита П15.5 (3.407.1-157.В1)/ Плиты перекрытия плоские, объемом до 0,2 м3</t>
  </si>
  <si>
    <t>В смете - 33,42м3</t>
  </si>
  <si>
    <t xml:space="preserve">Плита П10.5 (3.407.1-157.В1)/ Плиты перекрытия плоские, объемом до 0,2 м3 </t>
  </si>
  <si>
    <t>Плита 1ПЗ-5AmVT (2,2т/ шт.)/ Плиты покрытий ж/б ребристые из тяжелого бетона</t>
  </si>
  <si>
    <t>2,72/ 3</t>
  </si>
  <si>
    <t>Полка ПКП-400 (ТУ 3449-009-51216464-01)/ Конструкции стальные</t>
  </si>
  <si>
    <t>В смете - 0,156т</t>
  </si>
  <si>
    <t>Полка СКП-400 (ТУ 3449-009-51216464-01) /  Конструкции стальные</t>
  </si>
  <si>
    <t>Мастика битумная кровельная горячая Хамасат</t>
  </si>
  <si>
    <t>Панели оград глухие 1 ПБ 30.20 /объем 0,38 м3, серия 3.017-3.1</t>
  </si>
  <si>
    <t>Панели оград глухие 1 ПБ 40.20 / объем 0,50 м3 серия 3.017-3.1</t>
  </si>
  <si>
    <t>Фундаменты под столбы оград Ф 12.7.5 /бетон В15 (М200), объем 0,23 м3, расход ар-ры 5,7 кг/ (серия 3.017-3.1)</t>
  </si>
  <si>
    <t xml:space="preserve">Ворота ВМГ-4,5х1,8, 176кг,  (серия 3.017-3.1)/ Полотна ворот глухие металлические </t>
  </si>
  <si>
    <t>В смете 0,214</t>
  </si>
  <si>
    <t xml:space="preserve">Калитка КМГ 0,85х1,8, 38кг,  (серия 3.017-3.1)/ Полотна ворот глухие металлические </t>
  </si>
  <si>
    <t>Соединительный элемент МС-3 (3.017-3.4), 79,6кг/шт. Столбы металлические (МСЗ)</t>
  </si>
  <si>
    <t>В смете 0,32т</t>
  </si>
  <si>
    <t xml:space="preserve">Проволока алюминиевая (АМЦ) 1,4-1,8 мм + горячекатаная </t>
  </si>
  <si>
    <t>Спиральный барьер безопасности АКЛ 500/62/5, Егоза-900 с комплектом кронштейнов, крепежей</t>
  </si>
  <si>
    <t>Столбы оград 3С 30л /бетон В15 (М200), объем 0,06 м3, расход ар-ры 11 кг/ (серия 3.017-3.1)</t>
  </si>
  <si>
    <t>Столбы оград 3С 30м /бетон В15 (М200), объем 0,06 м3, расход ар-ры 14,1 кг/ (серия 3.017-3.1)</t>
  </si>
  <si>
    <t>Калитка КМС-0,85х1,8 (32кг) (3.017-3.4/ Полотна калиток сетчатые из сварной сетки (серия 3.017-1)</t>
  </si>
  <si>
    <t>В смете 0,032</t>
  </si>
  <si>
    <t>Панель п.а. 1ПМ30.20 , 31,9 кг, 950х2060 (h) (3.006.1-8.1) / Панели металлические сетчатые</t>
  </si>
  <si>
    <t>В смете - 55,2м2</t>
  </si>
  <si>
    <t>Панель п.а. 1ПМ30.20 , 59,5 кг, 2750х2060 (h) (3.006.1-8.1) / Панели металлические сетчатые</t>
  </si>
  <si>
    <t>Панель п.а. 1ПМ30.20 , 42,6 кг, 1650х2060 (h) (3.006.1-8.1) / Панели металлические сетчатые</t>
  </si>
  <si>
    <t>Соединительный элемент МС-11, 0,1кг,  (3.017-3.4)/ Конструкции стальные</t>
  </si>
  <si>
    <t>В смете - 0,01т</t>
  </si>
  <si>
    <t>Кабель силовой с медными жилами, марки ВВГнг-LS, мм2:: 3х2,5</t>
  </si>
  <si>
    <t>Кабель передачи данных, экранированный, кат. 6, марки: UC400D S 24 2х4P (FTP)</t>
  </si>
  <si>
    <t>02-02-7-11-08р(и2) Электроосвещение  тяговой подстанции Чекон</t>
  </si>
  <si>
    <t>Выключатель одноклавишный для открытой проводки 250 В,10А,IP44</t>
  </si>
  <si>
    <t>Выключатель одноклавишный для скрытой проводки 250 В,10А,IP20/IP44</t>
  </si>
  <si>
    <t>Гайки шестигранные диаметр резьбы: 10 мм</t>
  </si>
  <si>
    <t>Короб с крышкой 40х17</t>
  </si>
  <si>
    <t>Миниканал 25/1х17 мм</t>
  </si>
  <si>
    <t>Припои оловянно-свинцовые бессурьмянистые марки: ПОС30</t>
  </si>
  <si>
    <t>Сталь полосовая, марка стали: Ст3сп шириной 50-200 мм толщиной 4-5 мм</t>
  </si>
  <si>
    <t>Труба гофрированная гибкая с наружным диаметром 20 мм</t>
  </si>
  <si>
    <t>Трубка полихлорвиниловая</t>
  </si>
  <si>
    <t>Трубы гибкие гофрированные легкие из самозатухающего ПВХ (IP55) серии FL, диаметром: 20 мм</t>
  </si>
  <si>
    <t>Шайбы диаметром 8-12 мм</t>
  </si>
  <si>
    <t>02-02-7-11-09р(и2) Автоматизация отопительно-вентиляционных систем на ТП  Чекон</t>
  </si>
  <si>
    <t>02-02-7-11-10р(и2) Автоматизация водопроводно-канализационных установок ТП Чекон</t>
  </si>
  <si>
    <t>Датчик-реле уровня РОС -301-2-УХЛ4-01</t>
  </si>
  <si>
    <t>Коробка соединительная КСП 10</t>
  </si>
  <si>
    <t>Металлорукав РЗ-Ц-Х-Ш-10</t>
  </si>
  <si>
    <t>Патрубки</t>
  </si>
  <si>
    <t>Проволока канатная оцинкованная, диаметром: 5,5 мм</t>
  </si>
  <si>
    <t>Прокладки паронитовые</t>
  </si>
  <si>
    <t>Сталь круглая оцинкованная диаметром 10-12 мм</t>
  </si>
  <si>
    <t>Трубы гибкие двухстенные 50/41,5 мм, черные</t>
  </si>
  <si>
    <t xml:space="preserve">02-02-7-11-14р Приобретение, монтаж и настройка оборудования системы технологического видеонаблюдения ТП Чекон  </t>
  </si>
  <si>
    <t>Бензин авиационный Б-70</t>
  </si>
  <si>
    <t>100 шт.</t>
  </si>
  <si>
    <t>1000 м</t>
  </si>
  <si>
    <t>Лента крепления шириной 20 мм, толщиной 0,7 мм, длиной 50 м из нержавеющей стали (в пластмасовой коробке с кабельной бухтой) F207 (СИП) (12101441.УПАКОВКА)</t>
  </si>
  <si>
    <t>Скрепа размером 20 мм NC20 (СИП) (12201461)</t>
  </si>
  <si>
    <t>Сталь листовая горячекатаная марки Ст3 толщиной: 6-8 мм</t>
  </si>
  <si>
    <t>Сталь швеллерная, марки Ст3, перфорированная: ШП 60х35 мм</t>
  </si>
  <si>
    <t>Муфта полиэтиленовая: МПС-13/20</t>
  </si>
  <si>
    <t>Скрепы фигурные СкФ-30</t>
  </si>
  <si>
    <t>02-02-7-11-19р Монтажные работы системы диагностики оборудования ТП Чекон</t>
  </si>
  <si>
    <t>Кабель компьютерный (витая пара) FTP 4х2х0,52</t>
  </si>
  <si>
    <t>Наконечники кабельные: медные для электротехнических установок</t>
  </si>
  <si>
    <t>Розетка скрытой проводки</t>
  </si>
  <si>
    <t>Розетка телефонная для скрытой проводки, марка РТ-4, белая</t>
  </si>
  <si>
    <t>Трубка поливинилхлоридная ХВТ</t>
  </si>
  <si>
    <t>Кабель контрольный с медными жилами  КВВГнг -LS, 4х1,5</t>
  </si>
  <si>
    <t>Кабель контрольный с медными жилами  КВВГнг -FRLS 4х1,5</t>
  </si>
  <si>
    <t>Кабель контрольный с медными жилами КВВГнг -FRLS 5х1,5</t>
  </si>
  <si>
    <t>Кабель передачи данных с проводником из медной проволоки, КИПЭВнг-LS интерфейса RS-485, сечением2х2х0,6</t>
  </si>
  <si>
    <t>Кабель контрольный с медными жилами  КВВГнг -FRLS 5х1,5</t>
  </si>
  <si>
    <t>Болты с гайками и шайбами</t>
  </si>
  <si>
    <t>Кабель силовой с медными жилами ВВГнг-LS, с числом жил - 3х 1,5 мм2</t>
  </si>
  <si>
    <t>АРМОПЛАСТ 100ММХ1,5ММ,БИНТ ВЛАГООТВЕРЖДАЕМЫЙ</t>
  </si>
  <si>
    <t>СОЕДИНИТЕЛЬ ЭКРАНА Scotchlok HA КАБЕЛЬ ДО 100 ПАР</t>
  </si>
  <si>
    <t>Кабель связи оптический  ОКБ-Э-8(2)</t>
  </si>
  <si>
    <t>Наконечники кабельные: медные луженные ТМЛ-16-8-6</t>
  </si>
  <si>
    <t>ПЕРЕМЫЧКА(ДЛЯ ЗАЗЕМЛЕНИЯ ЭКРАНОВ КАБЕЛЕЙ), ДЛИНА 140 мм, ПВХ ИЗОЛЯЦИЯ, ЖЕЛТО-ЗЕЛЕНОГО ЦВЕТА п-10-6-6-140)</t>
  </si>
  <si>
    <t>Провод силовой на напряжение до 450 В с медной жилой, ПуГВ 1Х16</t>
  </si>
  <si>
    <t>Вилка RJ-45</t>
  </si>
  <si>
    <t>ЗАЩИТНАЯ ПЛАСТМАССОВАЯ ТРУБКА  ЗПТ ПЭ-40/3,5 ТС</t>
  </si>
  <si>
    <t>Шина заземленрия 2/10 для плинта ПВТ</t>
  </si>
  <si>
    <t>ШТЕКЕР КОМПЛЕКСНОЙ ЗАЩИТЫ ДЛЯ 1 ПАРЫ COMPROTEC 2/1 СР HGB 180A1</t>
  </si>
  <si>
    <t>Трубы ПЭ 100 SDR9-110/12.3</t>
  </si>
  <si>
    <t>РЕГУЛИРУЕМАЯ DIN-рейка,ДЛЯ ШКАФОВ ШИРИНОЙ 600ММ DKC R5DGR60</t>
  </si>
  <si>
    <t>ШИНА РЕ ЗЕМЛЯ НА 18 ПРИСОЕДИНЕНИЙ, МЕДЬ,500В,480А</t>
  </si>
  <si>
    <t>КЛЕММА ЗАЗЕМЛЕНИЯ ДЛЯ ПРОВОЛОЧНОГО ЛОТКА FC37302</t>
  </si>
  <si>
    <t>КЛЕММА 2-ПРОВОДНАЯ ПРОХОДНАЯ,0,25-2,5(4) ММ2,ЕхеII.TS35,СИНЯЯ WAGO 2002-1201)</t>
  </si>
  <si>
    <t>КЛЕММА 2-ПРОВОДНАЯ ПРОХОДНАЯ,0,25-2,5(4) ММ2,СЕРАЯ  WAGO 2002-1201</t>
  </si>
  <si>
    <t>ПЕРЕМЫЧКА 6-КОНТАКТНАЯ  WAGO 2002-406</t>
  </si>
  <si>
    <t>ПЛАСТИНА ТОРЦЕВАЯ ДЛЯ 2-ПРОВОДНЫХ КЛЕММ СЕРИИ 2002,СЕРАЯ WAGO 2002-1291</t>
  </si>
  <si>
    <t>Кабель витая пара - категории 5е, марки ЭКС-ГВПВ-5е 4х2х0,52</t>
  </si>
  <si>
    <t>КОРОБ С НАПРАВЛЯЮЩИМИ, С КРЫШКОЙ ТА-GN 100Х40, ДЛИНА 2М DKC 01782</t>
  </si>
  <si>
    <t>МИНИКАНАЛ СО СТАНДАРТНОЙ КРЫШКОЙ ДЛЯ ЭЛЕКТРОПРОВОДКИ ТМС 25Х17,ДЛИНА 2М DKC00304</t>
  </si>
  <si>
    <t>ПРОВОЛОЧНЫЙ ЛОТОК 80Х300 L3000 FC8030</t>
  </si>
  <si>
    <t>CОЕДИНЕНИЕ НА СТЫК GM ДЛЯ МИНИКАНАЛА ТМС 25Х17 DKC 00591</t>
  </si>
  <si>
    <r>
      <t>НАКЛАДКА НА СТЫК КРЫШКИ GAN 100 (ДЛЯ  КОРОБА ТА-GN 100Х80  DKC 00887)</t>
    </r>
    <r>
      <rPr>
        <b/>
        <sz val="10"/>
        <rFont val="Arial"/>
        <family val="2"/>
        <charset val="204"/>
      </rPr>
      <t/>
    </r>
  </si>
  <si>
    <t>НАКЛАДКА НА СТЫК ПРОФИЛЯ SCAN 40 (ДЛЯ ТА-GN) DKC 00823</t>
  </si>
  <si>
    <t>СОЕДИНИТЕЛЬ ОСНОВАНИЙ КОРОБОВ GTA-SN40 ВНУТРЕННИЙ (ДЛЯ ТА-GN 100Х40) DKC 02307</t>
  </si>
  <si>
    <t>Наконечники кабельные: медные луженные ТМЛ 16-8-6 (КВТ) ГОСТ 7386-80</t>
  </si>
  <si>
    <t>Наконечники кабельные: медные луженные ТМЛ-25-8-7 (КВТ) ГОСТ 7386-80</t>
  </si>
  <si>
    <t>Наконечники кабельные: медные луженные ТМЛ 6-5-4 (КВТ) ГОСТ 7386-80</t>
  </si>
  <si>
    <t>КОРОБКА РАСПРЕДЕЛИТЕЛЬНАЯ SDMN ДЛЯ МИНИКАНАЛА DKC 00677</t>
  </si>
  <si>
    <t>РАЗДЕЛИТЕЛЬ SEP-N-40 (ДЛЯ ТА-GN) DKC 09514</t>
  </si>
  <si>
    <t>Провод силовой  с медной жилой, ПуГВнг(А)-LS 1х6 З-Ж</t>
  </si>
  <si>
    <t>Провод силовой с медной жилой ПуГВнг(А)-LS 1х1,5 СЕРЫЙ-7,м; СИНИЙ-7м</t>
  </si>
  <si>
    <t>Провод силовой  с медной жилой ПуГВнг(А)-LS 1х16 З-Ж</t>
  </si>
  <si>
    <t>Провод силовой  с медной жилой ПуГВнг(А)-LS 2х25 З-Ж</t>
  </si>
  <si>
    <t>П-ОБРАЗНЫЙ ПРОФИЛЬ PSL.L400MM.ТОЛЩ.1,5ММ DKC BPL2904</t>
  </si>
  <si>
    <t>ФИКСАТОР КАБЕЛЕЙ ОБЛЕГЧЕННЫЙ (СКОБА) TR-ER 100 (ДЛЯ ТА-GN) DKC 07714 R</t>
  </si>
  <si>
    <t>ВИЛКА ДЛЯ КРУГЛОГО МНОГОЖИЛЬНОГО КАБЕЛЯ RJ-45(8P8C) арт.TPR-8PP8C</t>
  </si>
  <si>
    <t>УГОЛ ВНЕШНИЙ AЕM ДЛЯ МИНИКАНАЛА ТМС 25Х17 DKC 00404</t>
  </si>
  <si>
    <t>УГОЛ ВНУТРЕННИЙ AIM ДЛЯ МИНИКАНАЛА ТМС 25Х17 DKC 00391</t>
  </si>
  <si>
    <t>УГОЛ  ПЛОСКИЙ NPAN 100Х40 (ДЛЯ ТА-EN .TA-GN)DKC 01741</t>
  </si>
  <si>
    <t>УГОЛ ПЛОСКИЙ AРM ДЛЯ МИНИКАНАЛА ТМС 25Х17 DKC 00415</t>
  </si>
  <si>
    <t>ХОМУТ КАБЕЛЬНЫЙ МНОГОРАЗОВЫЙ ИЗ ПОЛИАМИДА 6,6, БЕЛЫЙ 7,5Х250 DKC 25252</t>
  </si>
  <si>
    <t>Патч-корд LC/UPC-FC/UPC-A-2 ТУ203730-001-50051126-06</t>
  </si>
  <si>
    <t>КОММУТАЦИОННЫЙ ШНУР (ПАТЧ-КОРД),КАТ.5Е UTR.LSZN.5M,СЕРЫЙ ITK HC01-C5EUL-5M)</t>
  </si>
  <si>
    <t>ШНУР   ПИТАНИЯ С ЗАЗЕМЛЕНИЕМ IEC 60320 C13/Schuco.10A/250B(3х1,0)ДЛИНА 1,8м R-10-Cord-C13-S-1.8</t>
  </si>
  <si>
    <t>КОММУТАЦИОННЫЙ ШНУР (ПАТЧ-КОРД),КАТ.5Е UTR.LSZN.1M,СЕРЫЙ ITK HC01-C5EUL-1M</t>
  </si>
  <si>
    <t>КОММУТАЦИОННЫЙ ШНУР (ПАТЧ-КОРД),КАТ.5Е UTR.LSZN.3M,СЕРЫЙ ITK HC01-C5EUL-3M</t>
  </si>
  <si>
    <t>Светильник переноска УП-1Р плоская вилка 2Р/10 метров 2х0,75 (60Вт, Е27 с металлической решеткой, Gummi 60 IP44)</t>
  </si>
  <si>
    <t>Механизм розетки с заземлением для скрытой установки (250 В, 16 А, IP20)</t>
  </si>
  <si>
    <t>Механизм розетки с заземлением для скрытой установки (250 В, 16 А, IP44)</t>
  </si>
  <si>
    <t>Выключатель двухклавишный при скрытой проводке 250 В,10А,IP20/IP44</t>
  </si>
  <si>
    <t>Розетка для  открытой установки 36 В, 10А, IP43 /   Розетка открытой проводки</t>
  </si>
  <si>
    <t>Рамка одноместная для выключателей и розеток / Коробка универсальная УК-2П (одноместная для установки выключателей и розеток в кирпичной стене , огнестойкая)</t>
  </si>
  <si>
    <t>Коробка двухместная для установки выключателей и розеток в кирпичной стене , огнестойкая</t>
  </si>
  <si>
    <t>Кабель силовой с медными жилами  0,66 кВ  ВВГнг-FRLS 2х1,5</t>
  </si>
  <si>
    <t>Кабель силовой с медными жилами 0,66 кВ ВВГнг-FRLS 3х1,5</t>
  </si>
  <si>
    <t>Кабель силовой с медными жилами 0,66 кВ ВВГнг (А)-LS, 3х1,5</t>
  </si>
  <si>
    <t>Кабель силовой с медными жилами 0,66 кВ ВВГнг (А)-LS 2х1,5</t>
  </si>
  <si>
    <t>Кабель силовой с медными жилами 0,66 кВ ВВГнг (А)-LS 2х2,5</t>
  </si>
  <si>
    <t>Кабель силовой с медными жилами 0,66 кВ ВВГнг (А)-LS 4х1,5</t>
  </si>
  <si>
    <t>Коробка распределительная для миниканалов  75х75 х35</t>
  </si>
  <si>
    <t>28 шт.</t>
  </si>
  <si>
    <t>Соединение на стык для миниканалов</t>
  </si>
  <si>
    <t>Угол внешний для миниканалов / Угол внешний</t>
  </si>
  <si>
    <t>Угол внутренний для миниканалов / Угол внутренний</t>
  </si>
  <si>
    <t xml:space="preserve"> Угол внутренний</t>
  </si>
  <si>
    <t xml:space="preserve">Угол плоский для миниканалов / Угол плоский </t>
  </si>
  <si>
    <t>Тройник для миниканалов</t>
  </si>
  <si>
    <t>Заглушка для миниканалов</t>
  </si>
  <si>
    <t>Соединитель лотковый оцинкованный СЛ240х50 УХЛ2 / Планка соединительная для лотка PNK</t>
  </si>
  <si>
    <t>Коробка  ответвительная круглая с кабельными вводами IP 44</t>
  </si>
  <si>
    <t>ГКЛВ С111 D=100 мм  / Листы гипсокартонные: ГКЛ 12,5 мм</t>
  </si>
  <si>
    <t>ГКЛО С112 D=125 мм  / Листы гипсокартонные: ГКЛ 12,5 мм</t>
  </si>
  <si>
    <t>ГКЛВО С112 D=125 мм  / Листы гипсокартонные: ГКЛ 12,5 мм</t>
  </si>
  <si>
    <t>ГКЛВО С113 D=175 мм  / Листы гипсокартонные: ГКЛ 12,5 мм</t>
  </si>
  <si>
    <t>ДПМ-02 EI60 24Х18-1шт /150кг / Двери распашные ДМП 24Х18-1шт. 21Х10-3шт.</t>
  </si>
  <si>
    <t xml:space="preserve"> </t>
  </si>
  <si>
    <t>Клапаны воздушные саморегулирующие  VTK  160 с  термостатом для работы в автоматическом режиме и с фильтром, Systemair</t>
  </si>
  <si>
    <t>Адаптер герметичного ввода для труб 110мм</t>
  </si>
  <si>
    <t>в смете указанно в метрах 1,45</t>
  </si>
  <si>
    <t>в смете указанно в метрах 2,19</t>
  </si>
  <si>
    <t>в смете указанно в метрах куб 0,497</t>
  </si>
  <si>
    <t>в смете указанно в тоннах 0,183</t>
  </si>
  <si>
    <t>в смете указанно в 0,5184 тонн</t>
  </si>
  <si>
    <r>
      <t xml:space="preserve">БАЗОВАЯ                      </t>
    </r>
    <r>
      <rPr>
        <b/>
        <sz val="14"/>
        <rFont val="Calibri"/>
        <family val="2"/>
        <charset val="204"/>
        <scheme val="minor"/>
      </rPr>
      <t>сметная стоимость</t>
    </r>
  </si>
  <si>
    <t>0,6/1</t>
  </si>
  <si>
    <t>0,094/1</t>
  </si>
  <si>
    <t>Лента изоляционная</t>
  </si>
  <si>
    <t>Кабель витая пара - 5 кат. с двойным экраном, марки ЭКС-ГВППЭ/Э-5 4Х2Х0,51</t>
  </si>
  <si>
    <t>Сталь угловая равнополочная 50x50x5 мм</t>
  </si>
  <si>
    <t>КОМПЛЕКТ МАРКИРОВОЧНЫЙ ПЛАСТМАС. КМП (В КОМПЛ. 50 ШТ.)</t>
  </si>
  <si>
    <t>Кольца групповые полиэтиленовые длина 8 мм Ду 4,6 мм</t>
  </si>
  <si>
    <t>Конструкции стальные индивидуальные</t>
  </si>
  <si>
    <t>Трубы гибкие гофрированные, диаметром 32 мм (СО СТАЛЬНОЙ ПРОТЯЖКОЙ, ЦВЕТ СЕРЫЙ  (СЕРИЯ9))</t>
  </si>
  <si>
    <t>ТРУБКА ГИБКАЯ ГОФРИРОВАННАЯ ИЗ САМОЗАТУХАЮЩЕГО ПОЛИАМИДА, ЦВЕТ ТЕМНО-СЕРЫЙ (СЕРИЯ 800), Дн 25 ММ</t>
  </si>
  <si>
    <t>Кабель силовой с медными жилами, 0,66 кВ, марки ВВГнг-LS  3х1,5</t>
  </si>
  <si>
    <t>Провод силовой с медной жилой, марки ПВЗ, мм2:1</t>
  </si>
  <si>
    <t>Битумы нефтяные</t>
  </si>
  <si>
    <t>02-02-7-11-15р Прокладка кабельной сети системы технологического видеонаблюдения ТП на раз.Чекон  (для ТЭЛП)</t>
  </si>
  <si>
    <t>Кабель силовой с медными жилами ВВГнг-FRLS 3х1,5</t>
  </si>
  <si>
    <r>
      <t xml:space="preserve">Светильник со  светодиодными источниками света =220 В, мощностью 34 Вт, световой поток 3500 лм, цветовая температура 4000 К, степень защиты IP65   </t>
    </r>
    <r>
      <rPr>
        <b/>
        <sz val="12"/>
        <rFont val="Arial"/>
        <family val="2"/>
        <charset val="204"/>
      </rPr>
      <t>LE-15-УХЛ3.1-МС2-040-65Д-9467</t>
    </r>
    <r>
      <rPr>
        <sz val="12"/>
        <rFont val="Arial"/>
        <family val="2"/>
        <charset val="204"/>
      </rPr>
      <t xml:space="preserve"> / Светильник светодиодный  LEDEffect   LE-15-УХЛ3.1-МС2-040-65Д-9467</t>
    </r>
  </si>
  <si>
    <r>
      <t xml:space="preserve">Светильник со  светодиодными источниками света =220 В, мощностью 35 Вт, световой поток 3300 лм, цветовая температура 4000 К, степень защиты IP40   </t>
    </r>
    <r>
      <rPr>
        <b/>
        <sz val="12"/>
        <rFont val="Arial"/>
        <family val="2"/>
        <charset val="204"/>
      </rPr>
      <t>LE-03-УХЛ3.1-МС2-040-20Х-9359</t>
    </r>
    <r>
      <rPr>
        <sz val="12"/>
        <rFont val="Arial"/>
        <family val="2"/>
        <charset val="204"/>
      </rPr>
      <t xml:space="preserve"> / Светильник светодиодный  LEDEffect  LE-03-УХЛ3.1-МС2-040-20Х-9359</t>
    </r>
  </si>
  <si>
    <r>
      <t xml:space="preserve">Светильник со  светодиодными источниками света =220 В, мощностью 22 Вт, световой поток 2800 лм, цветовая температура 5000 К, степень защиты IP40   </t>
    </r>
    <r>
      <rPr>
        <b/>
        <sz val="12"/>
        <rFont val="Arial"/>
        <family val="2"/>
        <charset val="204"/>
      </rPr>
      <t>LE-16-УХЛ3.1-МС1-022-65Д-91183</t>
    </r>
    <r>
      <rPr>
        <sz val="12"/>
        <rFont val="Arial"/>
        <family val="2"/>
        <charset val="204"/>
      </rPr>
      <t xml:space="preserve"> / Светильник светодиодный  LEDEffect  LE-16-УХЛ3.1-МС1-022-65Д-91183</t>
    </r>
  </si>
  <si>
    <r>
      <t xml:space="preserve">Модульный светодиодный светильник 220 В, мощностью 25 Вт, световой поток 2150 лм, степень защиты IP65, цвет излучения нейтральный, вид климатического исполнения УХЛ1  </t>
    </r>
    <r>
      <rPr>
        <b/>
        <sz val="12"/>
        <rFont val="Arial"/>
        <family val="2"/>
        <charset val="204"/>
      </rPr>
      <t>ОС LED 100-25</t>
    </r>
    <r>
      <rPr>
        <sz val="12"/>
        <rFont val="Arial"/>
        <family val="2"/>
        <charset val="204"/>
      </rPr>
      <t xml:space="preserve"> / Светильник светодиодный  LEDEffect </t>
    </r>
  </si>
  <si>
    <t>Подвес для крепления лотков: лента 3х30, L=600 мм, марка стали Ст3, / Лента стальная горячекатаная с катаной кромкой и разрезанная в рулонах толщиной 2,2-2,5 мм, шириной 36-50 мм</t>
  </si>
  <si>
    <t xml:space="preserve">Лоток монтажный прямой оцинкованный, PNK-200х50х2000 /  перфорированный оцинкованный </t>
  </si>
  <si>
    <t>Труба стальная  водогазопроводная 20х2,8 / Трубы стальные сварные водогазопроводные диаметр усл. 20 мм х 2,5 мм</t>
  </si>
  <si>
    <t>Кабельный канал из самозатухающей композиции 25х165, МЕХ/ Короб кабельного канала - LEGRAND-DLP: 25х16мм</t>
  </si>
  <si>
    <t>в смете учтен в тонн 0,001</t>
  </si>
  <si>
    <t>в смете учтен в тонн 0,005</t>
  </si>
  <si>
    <t>Муфта соединительная термоусаживаемая 3Стп-10-150/240)</t>
  </si>
  <si>
    <t>Кирпич керамический одинарный, 250х120х65 мм, марка: 75</t>
  </si>
  <si>
    <t>Труба гофрированная двустенная ПНД, IP 55, Ф40мм/ Трубы гибкие гофрированные серии FL, диаметром: 40 мм</t>
  </si>
  <si>
    <t xml:space="preserve">Кабельный канал  из самозатухающей композиции 25х16, LEGRAND, арт 10419/ Короб кабельного канала-LEGRAND-DLP </t>
  </si>
  <si>
    <t>Конструкции стальные индивидуальные изготовленные</t>
  </si>
  <si>
    <t>6,Трубопроводы канализации из ПЭ, диаметром: 50 мм х 3,0 + хомут с дюбелем и шпилькой - 2шт.</t>
  </si>
  <si>
    <t>Бетон тяжелый, класс В22,5 (М300)</t>
  </si>
  <si>
    <t>Бетон тяжелый, класс В25 (М350)  W6</t>
  </si>
  <si>
    <t>Кирпич керамический одинарный 250х120х65 мм, марка: 100</t>
  </si>
  <si>
    <r>
      <t>Бетон тяжелый, класс В25 (М350)</t>
    </r>
    <r>
      <rPr>
        <b/>
        <sz val="12"/>
        <rFont val="Arial"/>
        <family val="2"/>
        <charset val="204"/>
      </rPr>
      <t xml:space="preserve"> W6</t>
    </r>
  </si>
  <si>
    <r>
      <t>Бетон песчаный, класс В30(М400)</t>
    </r>
    <r>
      <rPr>
        <b/>
        <sz val="12"/>
        <rFont val="Arial"/>
        <family val="2"/>
        <charset val="204"/>
      </rPr>
      <t xml:space="preserve"> W8</t>
    </r>
  </si>
  <si>
    <t>Скобяные изделия для блоков входных дверей двупольных</t>
  </si>
  <si>
    <t>2,33/ 3,01</t>
  </si>
  <si>
    <t>л/ шт.</t>
  </si>
  <si>
    <t>Вкл., стропильную систему, фермы, прогоны, универсальную траверсу, опалубку</t>
  </si>
  <si>
    <t>18,31/ 81,03</t>
  </si>
  <si>
    <t>Скобы: анодированные двухлапковые для крепления кабелей СМД-П-38-40</t>
  </si>
  <si>
    <t>Кабель силовой с медными жилами, марки ВВГнг-LS,  5х4...</t>
  </si>
  <si>
    <t>Кабельный канал из самозатухающей композиции 40х16, МЕХ/ Короб кабельного канала - LEGRAND-DLP: 40х16 мм (2 канала)</t>
  </si>
  <si>
    <t>Здание ТП Чекон (02-02-7-11)</t>
  </si>
  <si>
    <t>Открытая часть Чекон (02-02-7-12)</t>
  </si>
  <si>
    <t>Вертикальная планировка, благоустройство на территории строительства, устройство внутриплощадочного проезда ТП Чекон (02-02-7-12-02р(и1); 02-02-7-12-02рд1)</t>
  </si>
  <si>
    <t>Строительство подъездной автомобильной дороги к ТП Чекон                                                                                      (02-05-1-00-01р(и4);02-05-1-00-01р(и4)д1 )</t>
  </si>
  <si>
    <r>
      <t xml:space="preserve">БАЗОВАЯ  </t>
    </r>
    <r>
      <rPr>
        <b/>
        <sz val="14"/>
        <rFont val="Calibri"/>
        <family val="2"/>
        <charset val="204"/>
        <scheme val="minor"/>
      </rPr>
      <t xml:space="preserve">                    сметная стоимость</t>
    </r>
  </si>
  <si>
    <r>
      <t>Стоимость</t>
    </r>
    <r>
      <rPr>
        <b/>
        <sz val="14"/>
        <color rgb="FFFF0000"/>
        <rFont val="Calibri"/>
        <family val="2"/>
        <charset val="204"/>
        <scheme val="minor"/>
      </rPr>
      <t xml:space="preserve"> закупки, </t>
    </r>
    <r>
      <rPr>
        <b/>
        <sz val="14"/>
        <color theme="1"/>
        <rFont val="Calibri"/>
        <family val="2"/>
        <charset val="204"/>
        <scheme val="minor"/>
      </rPr>
      <t xml:space="preserve">руб. (без НДС) </t>
    </r>
  </si>
  <si>
    <t>Наружные сети канализации от тяговой подстанции Чекон + Резервуары для противопожарного запаса воды (02-06-1-00-04р, 02-06-1-00-03р)</t>
  </si>
  <si>
    <t xml:space="preserve">Заходы ЛЭП АБ 10 кВ и ЛЭП ПЭ 10 кв +  Дистанционное управление разъединителями ТП Чекон (00-02-7-13-01р, 00-02-7-13-02р)  </t>
  </si>
  <si>
    <t>Наименование работ</t>
  </si>
  <si>
    <t>работы</t>
  </si>
  <si>
    <t>материалы</t>
  </si>
  <si>
    <t>Всего</t>
  </si>
  <si>
    <t xml:space="preserve">ВСЕГО </t>
  </si>
  <si>
    <t>Фактическая стоимость, руб. без НДС</t>
  </si>
  <si>
    <t>Примечание</t>
  </si>
  <si>
    <t>№ ЛС</t>
  </si>
  <si>
    <t>ТЕКУЩАЯ сметная стоимость (без НДС)</t>
  </si>
  <si>
    <t xml:space="preserve">Стоимость  закупки, руб. (без НДС) </t>
  </si>
  <si>
    <t>САЛЬДО (смета - факт)</t>
  </si>
  <si>
    <t xml:space="preserve">Стоимость  работ, руб. (без НДС) </t>
  </si>
  <si>
    <t>Сметная стоимость, руб. без НДС</t>
  </si>
  <si>
    <t>Итого с НДС</t>
  </si>
  <si>
    <t>С А Л Ь Д О (сметы - факт)</t>
  </si>
  <si>
    <t>Пусконаладочные работы</t>
  </si>
  <si>
    <t>Электроснабжение нетяговых потребителей</t>
  </si>
  <si>
    <t>Наружное электроснабжение. АТД3 Перегон</t>
  </si>
  <si>
    <t>Наружное электроснабжение. АТД1 Станция</t>
  </si>
  <si>
    <t>к-т</t>
  </si>
  <si>
    <t>Установка бортовых камней бетонных</t>
  </si>
  <si>
    <t>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
3 этап: «Строительство трамвайных путей и контактной сети. 
Участок от разворотного круга ул. Победы до путепровода через ж.- д. пути в районе д. 98, проспект Октября. Улица Чкалова».</t>
  </si>
  <si>
    <t>Устройство трамвайных путей</t>
  </si>
  <si>
    <t>Рельс железнодорожный Р65 НТ- 260,ГОСТ Р51685-2013</t>
  </si>
  <si>
    <t>пм</t>
  </si>
  <si>
    <t>компл</t>
  </si>
  <si>
    <t>Перегон оси 1,2</t>
  </si>
  <si>
    <t>Пенополистерол Экструдированный с прочностью не менее 450 кПа ТЕХНОНИКОЛЬ CARBON SOLID тип Ю,СТО 72746455-3.3.1-2012 , толщ. 50мм/ 1379,2м3</t>
  </si>
  <si>
    <t>Накладки двухголовые к рельсам РТ62 на 4 отверстия устанавливаемые на время сборки до сварки рельсов Коб=8,3</t>
  </si>
  <si>
    <t>Железобетонных шпала ШТ-02 с анкерным скреплением,ТУ 5864-002-09874445-2014</t>
  </si>
  <si>
    <t>Спичка запальная СЗ-1 ТУ 20.51.20-036-63287675-2018</t>
  </si>
  <si>
    <t>Смесь формовочная    ОМЖ ТУ 08.12.22-002-63287675-2018</t>
  </si>
  <si>
    <t>комплект</t>
  </si>
  <si>
    <t>Мостик литниковый для термитной сварки Р-65 ТУ 23.20.12-041-63287675-2018</t>
  </si>
  <si>
    <t>Форма для термитной сварки Р-65 ТУ 23.20.12-040-63287675-2018 (формы сварочные в комплекте
с ригелями 1,1 картонными вставками для термитной сварки рельсовых стыков;)</t>
  </si>
  <si>
    <t>в СО Набор для сварки рельсовых стыков алюминотермитным способом - 1420</t>
  </si>
  <si>
    <t>Компонент литейный для термитной сварки рельсов методом промежуточного литья   АТ-Р65 ТУ 24.10.14-001-63287675-2018 (расход: для Р65 НТ-260 (1232стыка) - 10,2 кг/стык, для РТ62 (208стыков) -12 кг/стык, для сварки рельсов РТ62 и Р65 НТ-260 (48 стыков) - 12,5 кг/стык)</t>
  </si>
  <si>
    <t>Прокладка резиновая ПДШ 012 под колейные плиты (КТК),ТУ 22.19.73-003-68190779-2019</t>
  </si>
  <si>
    <t>Прокладка резиновая ПДШ 011 под междупутные плиты (МТК),ТУ 22.19.73-003-68190779-2019</t>
  </si>
  <si>
    <t>Камень бортовой БР100.30.18,ГОСТ 6665-91</t>
  </si>
  <si>
    <t>ЩМА-16 по ГОСТ 58406.1-2020 на ПБВ-60     ГОСТ Р 52056-2003, h=0,05 м;,ГОСТ 9128-2013</t>
  </si>
  <si>
    <t>Прокладка резиновая 250х50х15 мм, состоящая их двух частей (250х50х5 мм и 250х50х10 мм) под боковые плиты (БТК),ТУ 22.19.73-003-68190779-2019</t>
  </si>
  <si>
    <t>Пробки резиновые для крупноразмерных плит междупутные,ТУ 22.19.73-003-68190779-2019</t>
  </si>
  <si>
    <t>Пробки резиновые для крупноразмерных плит боковые,ТУ 22.19.73-003-68190779-2019</t>
  </si>
  <si>
    <t>Пробки резиновые для крупноразмерных плит путевые,ТУ 22.19.73-003-68190779-2019</t>
  </si>
  <si>
    <t>Фиксатор резиновый плиты боковой 170 мм</t>
  </si>
  <si>
    <t>Фиксатор резиновый плиты колейный 170 мм</t>
  </si>
  <si>
    <t>Фиксатор резиновый плиты межколейный 170 мм</t>
  </si>
  <si>
    <t>Перегон по оси 1,2</t>
  </si>
  <si>
    <t xml:space="preserve">Вынос в натуру границ и осей проектируемых трамвайных путей в местности 1 категорий сложности </t>
  </si>
  <si>
    <t>точки</t>
  </si>
  <si>
    <t>Закрепление оси проектируемых трамвайных путей на местности</t>
  </si>
  <si>
    <t>Устройство котлована</t>
  </si>
  <si>
    <t>Погрузка грунта насыпной грунт (ИГЭ-Н) плотностью 1,95 т/м3 на автосамосвалы экскаватором емк. ковша 0,50 м3/ 29531,5т</t>
  </si>
  <si>
    <t>Транспортировка грунта ИГЭ-3 плотностью 1,91 т/м3 на полигон для захоронения на 20 км/ 1139,1т</t>
  </si>
  <si>
    <t>Погрузка грунта ИГЭ-3 плотностью 1,91 т/м3 на автосамосвалы экскаватором емк. ковша 0,50 м3/ 1139,1т</t>
  </si>
  <si>
    <t>Погрузка грунта ИГЭ-4 плотностью 2,11 т/м3 на автосамосвалы экскаватором емк. ковша 0,50 м3/ 248,68т</t>
  </si>
  <si>
    <t>Транспортировка грунта ИГЭ-4 плотностью 2,11 т/м3 на полигон для захоронения на 20 км</t>
  </si>
  <si>
    <t>Погрузка грунта насыпной грунт (ИГЭ-Н) плотностью 1,95 т/м3 на автосамосвалы экскаватором емк. ковша 0,50 м3</t>
  </si>
  <si>
    <t>Верхнее строение пути на шпально-щебеночной конструкции</t>
  </si>
  <si>
    <t>Устройство песчанного основания песком средней крупностью (на обособленном полотне) (ГОСТ 8736-2014) с коэффициентом фильтрации не менее 5 м в сутки в плотном теле)</t>
  </si>
  <si>
    <t xml:space="preserve">Укладка на слой песка экструзионного пенополистерола (по всей ширине котлована на всем протяжении), прочность не менее 450 кПа Технониколь CARBON SOLID Тип А*, толщиной 0,05 м </t>
  </si>
  <si>
    <t xml:space="preserve">Укладка на слой песка подбалластного мата ПМ-010 ТУ22.21.42-002-68190779-2019, толщиной 19 мм (по всей ширине котлована на всем протяжении) </t>
  </si>
  <si>
    <t>Песок природный II класс, средний, квадратные сита (Купл.1,26)</t>
  </si>
  <si>
    <t>Щебень М 1200, фракция 20-40 мм, группа 2 (Купл1,17)</t>
  </si>
  <si>
    <t>Маты эластомерные ПМ-010  (К расх.1,03)</t>
  </si>
  <si>
    <t>Рельс трамвайный желобчатый  РТ62, ГОСТ Р55941-2014; ТУ 14-23.61.12-006-19487737-2019</t>
  </si>
  <si>
    <t>Железобетонная шпала ШРТ62Ф с шурупно-дюбельным скреплением,ТУ 23.61.12-004-29467306-2019</t>
  </si>
  <si>
    <t>Перевод стрелочный трамвайный R30 с гибкими остряками по эпюре 640а пр. 8620.00.000 правый (без электропривода СПТ) с ящиком под электропривод СПТ</t>
  </si>
  <si>
    <t>Брус композитный по Эпюре 640а,ТУ 22.29.29-002-40409414-2023</t>
  </si>
  <si>
    <t>Монтаж ящика под электропривод</t>
  </si>
  <si>
    <t>Перевод стрелочный трамвайный R30 с пересечением с гибкими остряками по эпюре 481а пр. 8624.00.000 правый (без электропривода СПТ)</t>
  </si>
  <si>
    <t>Брус композитный - под эпюру 481а пр. 8624.00.000, ТУ 22.29.29-002-40409414-2023</t>
  </si>
  <si>
    <t>Симметричный стрелочный перевод по эпюре 30888 (проект 8620.00.000)  с ящиком под электропривод СПТ</t>
  </si>
  <si>
    <t>по ФЕР</t>
  </si>
  <si>
    <t>Брус композитный - под эпюру по эпюре 30888 (проект 8620.00.000), ТУ 22.29.29-002-40409414-2023 (8,03745м3)</t>
  </si>
  <si>
    <t>Скрепление рельсовое для шпалы ПКД</t>
  </si>
  <si>
    <t>Установка накладок двухголовых к рельсам Р65 на 4 отверстия устанавливаемые на время сборки до сварки рельсов Коб=8,3 (в 1 комплект входит 2 накладки на стык)</t>
  </si>
  <si>
    <t xml:space="preserve">Установка накладок двухголовых к рельсам РТ62 на 4 отверстия устанавливаемые на время сборки стрелочных переводов и глухих пересечений до сварки рельсов Коб=8,3 (в 1 комплект входит 2 накладки на стык) </t>
  </si>
  <si>
    <t xml:space="preserve">Разборка накладок двухголовых к рельсам РТ62 на 4 отверстия </t>
  </si>
  <si>
    <t>стык</t>
  </si>
  <si>
    <t>Сварка стыков ванным способом в местах стыковки стрелочных переводов и глухих пересечений</t>
  </si>
  <si>
    <t>материал в расценке на укладку путей</t>
  </si>
  <si>
    <t>Осуществление контроля качества сварных швов неразрушающим ультразвуковым методом</t>
  </si>
  <si>
    <t>Укладка трамвайных путей</t>
  </si>
  <si>
    <t>Балластировка щебнем на путях, расположенных на обособленном полотне с верхним покрытием из железобетонных плит (тип 1.2 ТР2), в том числе: на прямых</t>
  </si>
  <si>
    <t>Балластировка щебнем на путях, расположенных на обособленном полотне с верхним покрытием из железобетонных плит (тип 1.3 ТР4), в том числе: на прямых</t>
  </si>
  <si>
    <t>Балластировка щебнем на путях, расположенных на обособленном полотне с верхним покрытием из трамвайной плитки П57 (тип 1.4 ТР5), в том числе: на прямых</t>
  </si>
  <si>
    <t>Балластировка щебнемна путях, расположенных на обособленном полотне с верхним покрытием из трамвайной плитки П57 (тип 2.1 ТР5), в том числе: на кривых</t>
  </si>
  <si>
    <t>Балластировка щебнем на путях, расположенных на обособленном полотне с верхним покрытием из железобетонных плит в местах пересечения с автодорогой (тип 3 ТР4), в том числе:</t>
  </si>
  <si>
    <t>Балластировка щебнем на путях, расположенных на обособленном полотне с верхним покрытием из трамвайной плитки П57 в местах пересечения с автодорогой (тип 4 ТР5), в том числе: на кривых</t>
  </si>
  <si>
    <t xml:space="preserve">Балластировка щебнем на путях, расположенных на обособленном полотне с верхним покрытием из железобетонных плит (тип 6.1 ТР4), в том числе: на прямых </t>
  </si>
  <si>
    <t>Балластировка щебнем на путях, расположенных на обособленном полотне с верхним покрытием из железобетонных плит в местах пересечения с автодорогой (тип 8 ТР4), в том числе: на прямых</t>
  </si>
  <si>
    <t>Балластировка щебнем на путях, расположенных на обособленном полотне с верхним покрытием из трамвайной плитки П57  (тип 7 ТР5), в том числе: на кривых</t>
  </si>
  <si>
    <t xml:space="preserve">Балластировка щебнем на путях, расположенных на обособленном полотне с верхним покрытием из
железобетонных плит (тип 12.1 ТР4), в том числе: на прямых </t>
  </si>
  <si>
    <t xml:space="preserve">Балластировка щебнем на путях, расположенных на обособленном полотне с верхним покрытием из ж/б плит и плиткой трамвайной П57 в междупутье (тип 6.2 ТР5), в том числе: на прямых </t>
  </si>
  <si>
    <t>Балластировка щебнем  на путях, расположенных на обособленном полотне с верхним покрытием из ж/б плит в местах расположения остановок (тип 6.3 ТР2), в том числе: на прямых</t>
  </si>
  <si>
    <t xml:space="preserve">Балластировка щебнем на путях, располож. на обособленном полотне с верхним покрытием из ж/б плит и трамвайной плитки П57 в междупутье в местах расположения остановок (тип 6.4 ТР3), в тч: на прямых </t>
  </si>
  <si>
    <t xml:space="preserve">Балластировка щебнем на путях, расположенных на обособленном полотне с верхним покрытием из трамвайной плитки П57 в местах расположения компенсаторов (тип 6.5 ТР5), в тч: на прямых </t>
  </si>
  <si>
    <t>Шайбы пружинные путевые, исполнение 2, диаметр 24 мм- 0,0208т +Болты для рельсовых стыков, диаметр 24 мм, класс 8,8 - 0,2496т</t>
  </si>
  <si>
    <t>материал в расценке на монтаж накладок</t>
  </si>
  <si>
    <t>материал в расценке на укладку СП</t>
  </si>
  <si>
    <t>Сварка стыков термитным способом на прямых Р-65</t>
  </si>
  <si>
    <t>Сварка стыков термитным способом на прямых и кривых РТ-62</t>
  </si>
  <si>
    <t>Сварка стыков термитным способом в местах стыковки РТ62 и Р65</t>
  </si>
  <si>
    <t>Сварка стыков термитным способом в местах стыковки Р65 НТ-260 с температурным компенсатором проекта 650,00,000</t>
  </si>
  <si>
    <t>Сварка стыков термитным способом в местах стыковки РТ62 с температурным компенсатором проекта 8640.00.000</t>
  </si>
  <si>
    <t>Порошок магнезитовый ППK - 87</t>
  </si>
  <si>
    <t>Литник   для термитной   сварки   рельсов</t>
  </si>
  <si>
    <t>Тигель реакционный многоразовый ТР-1К ТУ 23.20.12–055–63287675-2020 + Бандаж тигля БТ-1К</t>
  </si>
  <si>
    <t>материал в расценке на сварку</t>
  </si>
  <si>
    <t>Сварка стыков термитным способом (1225,84м) и ванным способом</t>
  </si>
  <si>
    <t>Укладка температурных компенсаторов</t>
  </si>
  <si>
    <t>Укладка температурных компенсаторов проекта 8650.00.000 в путь на композитных шпалах со скреплением ПКД с рельсами Р65 НТ-260 (20 комплектов/40 штук)</t>
  </si>
  <si>
    <t>Укладка температурных компенсаторов проекта 8640.00.000 в путь на композитных шпалах со скреплением ПКД с рельсами РТ62 (6 комплектов/12 штук)</t>
  </si>
  <si>
    <t>Температурный компенсатор для рельсов РТ62 с заводским комплектом скреплений и накладок. Чертеж  8640.00.000МЧ</t>
  </si>
  <si>
    <t>Температурный компенсатор для рельсов Р65 с заводским комплектом скреплений и накладок.,чертеж 8650.00.000МЧ, Муромский стрелочный завод</t>
  </si>
  <si>
    <t>Шпала композитная ТУ 22.29.29-001-40409414-2023</t>
  </si>
  <si>
    <t>Прокладки резиновые для железобетонных шпал для рельсов Р65</t>
  </si>
  <si>
    <t>Накладка рельсовая двухголовая 1Р65</t>
  </si>
  <si>
    <t>материал в расценке на монтаж компенсаторов</t>
  </si>
  <si>
    <t>Болты для рельсовых стыков, диаметр 27 мм, класс 8,8</t>
  </si>
  <si>
    <t>Шурупы путевые, размер 24х170 мм</t>
  </si>
  <si>
    <t>Укладка верхнего покрытия из крупноразмерных ж.б. плит</t>
  </si>
  <si>
    <t>Железобетонные сборные плиты для покрытия трамвайных путей междупутных (1706х3000х170), ТУ 23.61.12-010-02488336-2019/ 332*1,706*3=1699,176м2</t>
  </si>
  <si>
    <t>Железобетонные сборные плиты для покрытия трамвайных путей боковых (760х3000 мм), ТУ 23.61.12-010-02488336-2019/ 2198*0,76*3=5011,44м2</t>
  </si>
  <si>
    <t>Железобетонные сборные плиты для покрытия трамвайных путей путевых (1427х3000 мм), ТУ 23.61.12-010-02488336-2019/ 2330*1,427*3=9974,73м2</t>
  </si>
  <si>
    <t>Железобетонные сборные плиты плита междупутная, 1782х3000х170 мм/ 711*1,782*3=3801,006м2</t>
  </si>
  <si>
    <t>По ВОР и о смете площадь 23501м2, а по материалу в смете=</t>
  </si>
  <si>
    <t>Установка пробок резиновых 78.48.50 для плиты БТК/ 0,077*0,044*4396=14,89м2</t>
  </si>
  <si>
    <t>Установка пробок резиновых 78.48.50 для плиты МТК/ 0,077*0,044*2085=7,06м2</t>
  </si>
  <si>
    <t>Установка пробок резиновых 78.48.50 для плиты КТК/ 0,077*0,044*4660=15,79м2</t>
  </si>
  <si>
    <t>Укладка прокладок резиновых ПДШ 012 под колейные плиты (КТК), (10 штук под 1 плиту)</t>
  </si>
  <si>
    <t>Укладка прокладок резиновых ПДШ 011 под междупутные плиты (МТК), (10 штук под 1 плиту)</t>
  </si>
  <si>
    <t>Установка прокладок резиновых 250х50х15 мм, состоящих их двух частей (250х50х5 мм и 250х50х10 мм) под боковые плиты: - под боковые плиты (БТК), (5 штук под 1 плиту)</t>
  </si>
  <si>
    <t>Герметик «Sikaflex-171 F»</t>
  </si>
  <si>
    <t>Установка фиксаторов резиновых для плиты 170 мм боковой (3,0 м для 1 плиты БТК)</t>
  </si>
  <si>
    <t>Установка фиксаторов резиновых для плиты 170 мм колейный (6,0 м для 1 плиты КТК);</t>
  </si>
  <si>
    <t>Установка фиксаторов резиновых для плиты 170 мм межколейный (6,0 м для 1 плиты МТК)</t>
  </si>
  <si>
    <t>Установка профилей резиновых для рельса РТ-62 боковой (2*3,0 м )</t>
  </si>
  <si>
    <t>Установка профилей резиновых для рельса Р65, боковой</t>
  </si>
  <si>
    <t>Профиль резиновый для рельса трамвайного РТ-62 ТУ 22.19.73-003-68190779-2019</t>
  </si>
  <si>
    <t>Профили резиновые боковые для рельсов Т62 ТУ 22.19.73-003-68190779-2019</t>
  </si>
  <si>
    <t>Профиль резиновый для рельсов Р65 ТУ 22.19.73-003-68190779-2019</t>
  </si>
  <si>
    <t>Установка профилей резиновых</t>
  </si>
  <si>
    <t>Установка профилей резиновых для рельса РТ-62  колейный (2*3,0 м)</t>
  </si>
  <si>
    <t>Укладка верхнего покрытия из плит трамвайных П-57</t>
  </si>
  <si>
    <t>Укладка верхнего покрытия из плиты трамвайной П57</t>
  </si>
  <si>
    <t>Плита трамвайная П57 (0,57*0,46*0,12 м) (457,8164м3/ 4084м2)</t>
  </si>
  <si>
    <t>Щебень М 600, фракция 5(3)-20 мм, группа 2 (купл 1,26)</t>
  </si>
  <si>
    <t>Электрический соединитель путевой 49.01В.00</t>
  </si>
  <si>
    <t>Электрический соединитель междупутный 49.01В.01</t>
  </si>
  <si>
    <t>Укладка щебня фракции 5-20 мм, не менее М600 под боковую плиту, h=0,042 м</t>
  </si>
  <si>
    <t>Укладка щебня фракции 5-20 мм, не менее М600 под плитку трамвайную П-57, h=0,075 м</t>
  </si>
  <si>
    <t>Установка путевых электросоединений путевых марки 49.01В.00</t>
  </si>
  <si>
    <t>Установка путевых электросоединений междупутных марки 49.01В.01</t>
  </si>
  <si>
    <t>Благоустройство</t>
  </si>
  <si>
    <t>Устройство прибетонки для бортового камня БР100.30.18 из бетона марки В15 (ГОСТ 26633-15)</t>
  </si>
  <si>
    <t>Бетон В15 F100, ГОСТ 26633-15</t>
  </si>
  <si>
    <t>Раствор готовый кладочный, цементный, М100</t>
  </si>
  <si>
    <t>Щебень М 1200, фракция 20-40 мм, группа 2</t>
  </si>
  <si>
    <t>Устройство щебеночной подготовки h-0,10 м фракции 20-40, М1200 категории II (ГОСТ 8267-93) Купл1,26</t>
  </si>
  <si>
    <t>Подсыпка балласта в местах перехода к открытым участкам пути щебнем фракции 5-20 мм</t>
  </si>
  <si>
    <t>Устройство примыкания к трамвайным путям</t>
  </si>
  <si>
    <t>Послеосадочный ремонт трамвайных путей (8179,4мп)</t>
  </si>
  <si>
    <t>Послеосадочный ремонт трамвайного пути с подъемкой щебня фр. 20-40, кат. II с ж.б. шпалами ШТ-02 (179,85м3)</t>
  </si>
  <si>
    <t>Послеосадочный ремонт трамвайного пути с подъемкой щебня фр. 20-40, кат. II с композитными шпалами в зоне темп. компенсаторов (2,11м3)</t>
  </si>
  <si>
    <t>Послеосадочный ремонт трамвайного пути с подъемкой щебня фр. 20-40, кат. II с композитными брусьями в зоне стрелочных переводов (1,49м3)</t>
  </si>
  <si>
    <t>Шлифовка рельс</t>
  </si>
  <si>
    <t>Обкатка пути, с пропущенным тоннажем не менее 20 тыс. тонн</t>
  </si>
  <si>
    <t>работы в ВОР есть, в смете нет</t>
  </si>
  <si>
    <t>Укладка асфальтобетона вдоль путей в зоне примыкания, h=0,12 м шириной 0,85 м (ширина определяется по месту)</t>
  </si>
  <si>
    <t>Разборка покрытий примыкания вдоль путей из асфальтобетона (в мусор), h=0,12 м шириной 0,85 м, 5764,7м2</t>
  </si>
  <si>
    <t>Погрузка механизированная а/б (мусор) для перевозки утилизации</t>
  </si>
  <si>
    <t>Вывоз на расстояние 20км</t>
  </si>
  <si>
    <t>Асфальтобетон А16НТ ГОСТ 58406.2-2020</t>
  </si>
  <si>
    <t>Устройство рельсосмазывателя (лубрикактор)</t>
  </si>
  <si>
    <t>Установка насосной станции в защитном шкафу</t>
  </si>
  <si>
    <t>Установка главного распределителя смазки в защитном пластиковом шкафу</t>
  </si>
  <si>
    <t>Установка смазочных шин</t>
  </si>
  <si>
    <t>установка датчика колесных осей</t>
  </si>
  <si>
    <t>Прокладка труб для лубрикаторов</t>
  </si>
  <si>
    <t>Затягивание провода лубрикатора в трубы</t>
  </si>
  <si>
    <t>Устройство рельсосмазывателя, вкл. стойки для шкафа - 14,6т</t>
  </si>
  <si>
    <t>Стационарный путевой рельсосмазыватель РМ-02 (СПР-Лайт) МПДК.663324.029.00.000 для установки на рельс Р-65</t>
  </si>
  <si>
    <t>Участок по оси 3</t>
  </si>
  <si>
    <t>Разработка грунта: насыпной грунт (ИГЭ-Н) плотностью 1,95 т/м3 бульдозером мощностью (132 кВт) в грунтах II группы</t>
  </si>
  <si>
    <t xml:space="preserve">Разработка грунта: насыпной грунт (ИГЭ-Н) плотностью 1,95 т/м3 бульдозером мощностью (132 кВт) в грунтах II группы </t>
  </si>
  <si>
    <t xml:space="preserve">Разработка грунта суглинок (ИГЭ-3) плотностью 1,91 т/м3 бульдозером мощностью (132 кВт) в грунтах II группы </t>
  </si>
  <si>
    <t>Транспортировка грунта насыпной грунт (ИГЭ-Н) плотностью 1,95 т/м3 на полигон для захоронения на 20 км</t>
  </si>
  <si>
    <t>Расценка ФЕР</t>
  </si>
  <si>
    <t>Разработка грунта (для устройства водоотводных канав) плотностью 2,11 т/м3 бульдозером мощностью (132 кВт) в грунтах II группы</t>
  </si>
  <si>
    <t>Устройство водоотводных канав</t>
  </si>
  <si>
    <t xml:space="preserve">Разработка грунта  насыпной грунт (ИГЭ-Н) плотностью 1,95 т/м3 бульдозером мощностью (132 кВт) в грунтах II группы </t>
  </si>
  <si>
    <t>Погрузка грунта на автосамосвалы экскаватором емк. ковша 0,50 м3</t>
  </si>
  <si>
    <t>Транспортировка грунта на полигон для захоронения на 20 км - 25% от общей разработки</t>
  </si>
  <si>
    <t>Разработка грунта суглинок (ИГЭ-4) плотностью 2,11 т/м3 бульдозером мощностью (132 кВт) в грунтах II группы</t>
  </si>
  <si>
    <t>Разработка грунта  насыпной грунт (ИГЭ-Н) плотностью 1,95 т/м3 на высоту 0,40 м бульдозером мощностью (132 кВт) в грунтах II группы для установки бортового камня БР100.30.8</t>
  </si>
  <si>
    <t>Укрепление откосов земляных сооружений посевом многолетних трав: механизированным способом</t>
  </si>
  <si>
    <t>Укрепление дна канавы посевом многолетних  трав  механизированным способом</t>
  </si>
  <si>
    <t>Отсыпка земляного полотна песком средней крупности (ГОСТ 8736-2014) с коэффициентом фильтрации не менее 5 м в сутки в плотном теле на самостоятельном полотне (Купл.1,2)</t>
  </si>
  <si>
    <t>Земля растительная</t>
  </si>
  <si>
    <t>Семена газонных трав (смесь)</t>
  </si>
  <si>
    <t>Песок природный II класс, мелкий, круглые сита</t>
  </si>
  <si>
    <t>Верхнее строение пути на шпально-щебеночной конструкции (874,78м2)</t>
  </si>
  <si>
    <t>XPS Техно НИКОЛЬ CARBON SOLID 500 2400x600x50 L Тип А/ 874,78м2</t>
  </si>
  <si>
    <t>Укладка на слой песка экструзионного пенополистерола (по всей ширине котлована на всем протяжении), XPS Техно НИКОЛЬ CARBON SOLID 500 2400x600x50 L Тип А, толщиной 0,05 м / 43,739м3</t>
  </si>
  <si>
    <t>Балластировка щебнем на путях, расположенных на обособленном полотне без верхнего покрытия (тип 13.1 ТР1, тип2 ТР1), в том числе: на прямых</t>
  </si>
  <si>
    <t>Балластировка щебнем на путях, расположенных на обособленном полотне без верхнего покрытия
(тип 14.1 ТР1), в том числе: на прямых</t>
  </si>
  <si>
    <t>Балластировка щебнемна путях, расположенных на обособленном полотне без верхнего покрытия
(тип 14.1 ТР1), в том числе: на кривых</t>
  </si>
  <si>
    <t>Балластировка щебнем на путях, расположенных на обособленном полотне без верхнего покрытия
(тип 14.3, ТР1), в том числе: на прямых</t>
  </si>
  <si>
    <t>Балластировка щебнем на путях, расположенных на обособленном полотне без верхнего покрытия
(тип 14.3, ТР1), в том числе: на кривых</t>
  </si>
  <si>
    <t>Шайбы пружинные путевые, исполнение 2, диаметр 27  - 053684т + Болты для рельсовых стыков, диаметр 27 мм, класс 8,8 - 0,05651т + Электросоединители стыковые для трамвайных путей, длина 300 мм, диаметр 20 мм - 5,6509шт.</t>
  </si>
  <si>
    <t>Шурупы путевые, размер 24х170 мм - 0,09т + Электросоединители стыковые для трамвайных путей, длина 300 мм, диаметр 20 мм - 0,12т</t>
  </si>
  <si>
    <t>Шурупы путевые, размер 24х170 мм - 0,17т + Электросоединители стыковые для трамвайных путей, длина 300 мм, диаметр 20 мм - 0,26т</t>
  </si>
  <si>
    <t>Шурупы путевые, размер 24х170 мм - 0,24т + Электросоединители стыковые для трамвайных путей, длина 300 мм, диаметр 20 мм - 0,34т</t>
  </si>
  <si>
    <t>Накладки двухголовые к рельсам РТ65 на 4 отверстия</t>
  </si>
  <si>
    <t>Железобетонные шпалы ШТ-02 в сборе с упругим анкерным скреплением</t>
  </si>
  <si>
    <t>Рельс железнодорожный Р-65 НТ260</t>
  </si>
  <si>
    <t>Установка накладок двухголовых к рельсам РТ62 на 4 отверстия устанавливаемые на время сборки до сварки рельсов Коб=8,3 (в 1 комплект входит 2 накладки на стык)</t>
  </si>
  <si>
    <t>Накладки двухголовые к рельсам РТ62 на 4 отверстия</t>
  </si>
  <si>
    <t>Железобетонная шпала ШРТ62Ф с шурупно-дюбельным скреплением ТУ 23.61.12-004-29467306-2019; ТУ 23.61.12-006-19487737-2019</t>
  </si>
  <si>
    <t>Рельс трамвайный желобчатый РТ62</t>
  </si>
  <si>
    <t>Накладки двухголовые к рельсам РТ65-РТ-62 на 4 отверстия</t>
  </si>
  <si>
    <t>Сварка стыков термитным способом (26,18м) и ванным способом</t>
  </si>
  <si>
    <t>Осуществление контроля качества сварных швов неразрушающим ультразвуковым методом (26,18м)</t>
  </si>
  <si>
    <t>Компонент литейный для термитной сварки рельсов методом промежуточного литья   АТ-Р65 ТУ 24.10.14-001-63287675-2018 (расход: для Р65 НТ-260 - 10,2 кг/стык, для РТ62 -12 кг/стык, для сварки рельсов РТ62 и Р65 НТ-260 - 12,5 кг/стык)</t>
  </si>
  <si>
    <t>Укладка температурных компенсаторов проекта 8640.00.000 в путь без верхнего покрытия (открытый путь) на композитных шпалах со скреплением ПКД с рельсами РТ-62 (1 комплект/2 штуки) - 3,25м</t>
  </si>
  <si>
    <t xml:space="preserve">Укладка температурных компенсаторов, путевых электросоединений </t>
  </si>
  <si>
    <t>Послеосадочный ремонт трамвайных путей (171,63мп)</t>
  </si>
  <si>
    <t>Послеосадочный ремонт трамвайного пути с подъемкой щебня фр. 20-40, кат. II с ж.б. шпалами ШТ-02 (1,24м3)</t>
  </si>
  <si>
    <t>Послеосадочный ремонт трамвайного пути с подъемкой щебня фр. 20-40, кат. II с композитными шпалами в зоне темп. компенсаторов (0,09м3)</t>
  </si>
  <si>
    <t>Послеосадочный ремонт трамвайного пути с подъемкой щебня фр. 20-40, кат. II с ж.б. шпалами ШРТ-62Ф (21,03м3)</t>
  </si>
  <si>
    <t>Участок по оси 4,5</t>
  </si>
  <si>
    <t xml:space="preserve">Разработка грунта (ИГЭ-1) плотностью 2,03 т/м3 бульдозером мощностью (132 кВт) в грунтах II группы </t>
  </si>
  <si>
    <t xml:space="preserve">Разработка грунта (ИГЭ-4) плотностью 2,11 т/м3 бульдозером мощностью (132 кВт) в грунтах II группы </t>
  </si>
  <si>
    <t>Разработка грунта ИГЭ-3 плотностью 1,91 т/м3 бульдозером мощностью (132 кВт) в грунтах II группы</t>
  </si>
  <si>
    <t xml:space="preserve">Разработка грунта (ИГЭ-4) плотностью 2,11 т/м3 бульдозером мощностью (132 кВт) в грунтах II гр. </t>
  </si>
  <si>
    <t xml:space="preserve">Разработка грунта насыпной грунт (ИГЭ-Н) плотн. 1,95 т/м3 бульдозером мощ. (132 кВт) в грунтах II гр. </t>
  </si>
  <si>
    <t>Разработка грунта насыпной грунт (ИГЭ-1) плотн. 2,03 т/м3 бульдозером мощ. (132 кВт) в грунтах II гр.</t>
  </si>
  <si>
    <t>Разработка грунта насыпной грунт ИГЭ-3 плотн. 1,91 т/м3 бульдозером мощ. (132 кВт) в грунтах II гр.</t>
  </si>
  <si>
    <t>XPS Техно НИКОЛЬ CARBON SOLID 500 2400x600x50 L Тип А/ 575,84м2</t>
  </si>
  <si>
    <t>Верхнее строение пути на шпально-щебеночной конструкции (575,84м2)</t>
  </si>
  <si>
    <t>Балластировка щебнем на путях, расположенных на обособленном полотне без верхнего покрытия (тип 12.1 ТР1), в том числе: на прямых</t>
  </si>
  <si>
    <t>Балластировка щебнем на путях, расположенных на обособленном полотне с верхним покрытием из жб плит и плитки П57 (тип 12.2 ТР6), в том числе: на прямых</t>
  </si>
  <si>
    <t>Балластировка щебнем на путях, расположенных на обособленном полотне без верхнего покрытия (тип 13.1 ТР1), в том числе: на прямых</t>
  </si>
  <si>
    <t>Балластировка щебнемна путях, расположенных на обособленном полотне с верхним покрытием из плит железобетонных в районе остановки (тип 13.2 ТР2), в том числе: на прямых</t>
  </si>
  <si>
    <t>Балластировка щебнем на путях, расположенных на обособленном полотне без верхнего покрытия (тип 13.3 ТР1), в том числе: на прямых</t>
  </si>
  <si>
    <t>Балластировка щебнем на путях, расположенных на обособленном полотне без верхнего покрытия (тип 14.1 ТР1), в том числе: на кривых</t>
  </si>
  <si>
    <t>Балластировка щебнем на путях, расположенных на обособленном полотне без верхнего покрытия (тип 14.3 ТР1), в том числе: на кривых</t>
  </si>
  <si>
    <t>Балластировка щебнем на путях, расположенных на обособленном полотне без верхнего покрытия (тип 15 ТР1), в том числе: на кривых</t>
  </si>
  <si>
    <t>Шурупы путевые, размер 24х170 мм - 0,12т + Электросоединители стыковые для трамвайных путей, длина 300 мм, диаметр 20 мм - 0,12т</t>
  </si>
  <si>
    <t>Стрелочнй перевод по эпюре 878а (правый) 8632.00.000-06 (правый) на композитных брусьях с типовым шурупно-дюб. скреплением на полимерных подкладках с ящиком под электропривод СПТ</t>
  </si>
  <si>
    <t>Брус композитный - под эпюру по эпюре 30888 (проект 8620.00.000), ТУ22.29.29-002-40409414-2023)</t>
  </si>
  <si>
    <t>Шайбы пружинные путевые, исполнение 2, диаметр 24 мм- 0,0112т +Болты для рельсовых стыков, диаметр 24 мм, класс 8,8 - 0,1344т</t>
  </si>
  <si>
    <t xml:space="preserve">Установка накладок двухголовых к рельсам стрелочным переводам и глухим пересечениям на 4 отверстия устанав. на время сборки до сварки рельсов Коб=8,3 (в 1 комплект входит 2 накладки на стык) </t>
  </si>
  <si>
    <t>Сварка стыков термитным способом в местах стыковки Р65 НТ-260 с температурным компенсатором проекта 8650.00.000</t>
  </si>
  <si>
    <t>Сварка стыков ванным способом в местах стыковки стрелочных переводов</t>
  </si>
  <si>
    <t>Температурный компенсатор для рельсов Р65 с заводским комплектом скреплений и накладок. Чертеж  8650.00.000МЧ</t>
  </si>
  <si>
    <t>Железобетонные сборные плиты для покрытия трамвайных путей путевых (1427х3000 мм), ТУ 23.61.12-010-02488336-2019/ 19*1,427*3=81,339м2</t>
  </si>
  <si>
    <t>Железобетонные сборные плиты для покрытия трамвайных путей боковых (760х3000 мм), ТУ 23.61.12-010-02488336-2019/ 19*0,76*3=43,32м2</t>
  </si>
  <si>
    <t>Железобетонные сборные плиты для покрытия трамвайных путей междупутных (1782х3000х170), ТУ 23.61.12-010-02488336-2019/ 5*1,782*3=26,73м2</t>
  </si>
  <si>
    <t>Укладка верхнего покрытия из крупноразмерных ж.б. плит (191м2)</t>
  </si>
  <si>
    <t>Укладка плит покрытия трамвайных путей из ж/б плиты путевой (колейной), 1427х3000 х170 мм (81,339м2)</t>
  </si>
  <si>
    <t>Укладка плит покрытия трамвайных путей из ж/б плиты боковой, 760х3000 х170 мм (43,32м2)</t>
  </si>
  <si>
    <t>Укладка плит покрытия трамвайных путей из ж/б плиты междупутной, 1782х3000х170 мм (26,73м2)</t>
  </si>
  <si>
    <t>Пробки резиновые для крупноразмерных плит путевые ТУ 22.19.73-003-68190779-2019</t>
  </si>
  <si>
    <t>Установка пробок резиновых для плиты КТК/ 0,077*0,044*38=0,13м2</t>
  </si>
  <si>
    <t>Установка пробок резиновых для плиты БТК/ 0,077*0,044*38=0,13м2</t>
  </si>
  <si>
    <t>Установка пробок резиновых для плиты МТК/ 0,077*0,044*10=0,03м2</t>
  </si>
  <si>
    <t>Плита трамвайная П57 (0,57*0,46*0,12 м) (2,0178м3/ 18м2)</t>
  </si>
  <si>
    <t>Послеосадочный ремонт трамвайных путей (458,48мп)</t>
  </si>
  <si>
    <t>Послеосадочный ремонт трамвайного пути с подъемкой щебня фр. 20-40, кат. II с ж.б. шпалами ШТ-02 (6,07м3)</t>
  </si>
  <si>
    <t>Ось 6,7 (пк0+00,00 – пк7+68,885)</t>
  </si>
  <si>
    <t>Транспортировка грунта насыпной грунт (ИГЭ-Н) плотностью 1,95 т/м3 на полигон для захоронения на 20 км/ 2578,61м3</t>
  </si>
  <si>
    <t>Транспортировка грунта насыпной грунт (ИГЭ-Н) плотностью 1,95 т/м3  с возвратом для обратной засыпки на 2 км/ 39,58м3</t>
  </si>
  <si>
    <t>Погрузка грунта насыпной грунт (ИГЭ-Н) плотностью 1,95 т/м3 на автосамосвалы экскаватором емк. ковша 0,50 м3/ 5105,47т</t>
  </si>
  <si>
    <t>Балластировка щебнем на путях, расположенных на обособленном полотне с верхним покрытием из трамвайной плитки П57 (тип 1.4 ТР5), в том числе: на кривых</t>
  </si>
  <si>
    <t>Балластировка щебнемна путях, расположенных на обособленном полотнес верхним покрытием из трамвайной плитки П57 (тип 1.5 ТР5), в том числе: на прямых</t>
  </si>
  <si>
    <t>Балластировка щебнем на путях, расположенных на обособленном полотне с верхним покрытием из трамвайной плитки П57 (тип 1.5 ТР5), в том числе: на кривых</t>
  </si>
  <si>
    <t>Балластировка щебнем на путях, расположенных на обособленном полотне с верхним покрытием из трамвайной плитки П57  (тип 2.2 ТР5), в том числе: на прямых</t>
  </si>
  <si>
    <t>Балластировка щебнем на путях, расположенных на обособленном полотне без верхнего покрытия
(тип 5 ТР5), в том числе: на прямых</t>
  </si>
  <si>
    <t>Балластировка щебнемна путях, расположенных на обособленном полотнес верхним покрытием из трамвайной плитки П57 (тип 1.5 ТР5), в том числе: на кривых</t>
  </si>
  <si>
    <t>Балластировка щебнем на путях, расположенных на обособленном полотне без верхнего покрытия
(тип 5 ТР5), в том числе: на кривых</t>
  </si>
  <si>
    <t>В ВОР и в смете не соответствие объемов</t>
  </si>
  <si>
    <t>в ВОР 908,26</t>
  </si>
  <si>
    <t>*в ВОР "прямых" возможно ошибочно</t>
  </si>
  <si>
    <r>
      <t xml:space="preserve">Укладка трамвайного пути на прямых участках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ШТ-02</t>
    </r>
    <r>
      <rPr>
        <sz val="12"/>
        <rFont val="Times New Roman"/>
        <family val="1"/>
        <charset val="204"/>
      </rPr>
      <t xml:space="preserve"> с анкерным скреплением -1523шт., рельсы </t>
    </r>
    <r>
      <rPr>
        <b/>
        <sz val="12"/>
        <rFont val="Times New Roman"/>
        <family val="1"/>
        <charset val="204"/>
      </rPr>
      <t>Р65 НТ-260</t>
    </r>
    <r>
      <rPr>
        <sz val="12"/>
        <rFont val="Times New Roman"/>
        <family val="1"/>
        <charset val="204"/>
      </rPr>
      <t xml:space="preserve"> - 1813м</t>
    </r>
  </si>
  <si>
    <t>Установка скреплений рельсовых для шпалы ПКД</t>
  </si>
  <si>
    <r>
      <t>Установка охранного рельса</t>
    </r>
    <r>
      <rPr>
        <b/>
        <sz val="12"/>
        <rFont val="Times New Roman"/>
        <family val="1"/>
        <charset val="204"/>
      </rPr>
      <t xml:space="preserve"> Р65</t>
    </r>
    <r>
      <rPr>
        <sz val="12"/>
        <rFont val="Times New Roman"/>
        <family val="1"/>
        <charset val="204"/>
      </rPr>
      <t xml:space="preserve"> -339,14м на шпалах полимерных композитных тип А (на подходах к путепроводу) со скреплением ПКД </t>
    </r>
  </si>
  <si>
    <t>Перевод стрелочный трамвайный R30 с гибкими остряками по эпюре 640а пр.8620.00.000 левый (без электропривода СПТ)</t>
  </si>
  <si>
    <t>Шурупы путевые, размер 24х170 мм - 0,18т + Электросоединители стыковые для трамвайных путей, длина 300 мм, диаметр 20 мм - 0,24т</t>
  </si>
  <si>
    <r>
      <t xml:space="preserve">Укладка литого стрелочного перевода по эпюре </t>
    </r>
    <r>
      <rPr>
        <b/>
        <sz val="12"/>
        <rFont val="Times New Roman"/>
        <family val="1"/>
        <charset val="204"/>
      </rPr>
      <t>481, 481а с пересечением</t>
    </r>
    <r>
      <rPr>
        <sz val="12"/>
        <rFont val="Times New Roman"/>
        <family val="1"/>
        <charset val="204"/>
      </rPr>
      <t xml:space="preserve"> 8624.00.000-06 правый (проект 8624.00.000) на композитных брусьях с типовым шурупно-дюб. скреплением на полимерных подкладках</t>
    </r>
  </si>
  <si>
    <r>
      <t xml:space="preserve">Укладка литого стрелочного перевода по эпюре </t>
    </r>
    <r>
      <rPr>
        <b/>
        <sz val="12"/>
        <rFont val="Times New Roman"/>
        <family val="1"/>
        <charset val="204"/>
      </rPr>
      <t xml:space="preserve">640а (левый) </t>
    </r>
    <r>
      <rPr>
        <sz val="12"/>
        <rFont val="Times New Roman"/>
        <family val="1"/>
        <charset val="204"/>
      </rPr>
      <t>8620.00.000-07</t>
    </r>
    <r>
      <rPr>
        <b/>
        <sz val="12"/>
        <rFont val="Times New Roman"/>
        <family val="1"/>
        <charset val="204"/>
      </rPr>
      <t xml:space="preserve"> (левый)</t>
    </r>
    <r>
      <rPr>
        <sz val="12"/>
        <rFont val="Times New Roman"/>
        <family val="1"/>
        <charset val="204"/>
      </rPr>
      <t xml:space="preserve"> (проект 8620.00.000) на композитных брусьях с типовым шурупно-дюбельным скреплением на полимерных подкладках</t>
    </r>
  </si>
  <si>
    <r>
      <t>Укладка литого стрелочного перевода по эпюре</t>
    </r>
    <r>
      <rPr>
        <b/>
        <sz val="12"/>
        <rFont val="Times New Roman"/>
        <family val="1"/>
        <charset val="204"/>
      </rPr>
      <t xml:space="preserve"> 640а (правый) </t>
    </r>
    <r>
      <rPr>
        <sz val="12"/>
        <rFont val="Times New Roman"/>
        <family val="1"/>
        <charset val="204"/>
      </rPr>
      <t>8620.00.000-06</t>
    </r>
    <r>
      <rPr>
        <b/>
        <sz val="12"/>
        <rFont val="Times New Roman"/>
        <family val="1"/>
        <charset val="204"/>
      </rPr>
      <t xml:space="preserve"> (правый</t>
    </r>
    <r>
      <rPr>
        <sz val="12"/>
        <rFont val="Times New Roman"/>
        <family val="1"/>
        <charset val="204"/>
      </rPr>
      <t>) (проект 8620.00.000)  на композитных брусьях с типовым шурупно-дюб. скреплением на полимерных подкладках</t>
    </r>
  </si>
  <si>
    <r>
      <t>Укладка трамвайного пути на прямых участках из рельсов железнодорожных</t>
    </r>
    <r>
      <rPr>
        <b/>
        <sz val="12"/>
        <rFont val="Times New Roman"/>
        <family val="1"/>
        <charset val="204"/>
      </rPr>
      <t xml:space="preserve"> Р65 НТ-260</t>
    </r>
    <r>
      <rPr>
        <sz val="12"/>
        <rFont val="Times New Roman"/>
        <family val="1"/>
        <charset val="204"/>
      </rPr>
      <t xml:space="preserve"> -611,72м на шпалах полимерных композитных тип А -514шт. (</t>
    </r>
    <r>
      <rPr>
        <b/>
        <sz val="12"/>
        <rFont val="Times New Roman"/>
        <family val="1"/>
        <charset val="204"/>
      </rPr>
      <t>на подходах к путепроводу</t>
    </r>
    <r>
      <rPr>
        <sz val="12"/>
        <rFont val="Times New Roman"/>
        <family val="1"/>
        <charset val="204"/>
      </rPr>
      <t xml:space="preserve">) со скреплением ПКД </t>
    </r>
  </si>
  <si>
    <r>
      <t>Укладка трамвайного пути на кривых участках из рельсов железнодорожных</t>
    </r>
    <r>
      <rPr>
        <b/>
        <sz val="12"/>
        <rFont val="Times New Roman"/>
        <family val="1"/>
        <charset val="204"/>
      </rPr>
      <t xml:space="preserve"> Р65 НТ-260</t>
    </r>
    <r>
      <rPr>
        <sz val="12"/>
        <rFont val="Times New Roman"/>
        <family val="1"/>
        <charset val="204"/>
      </rPr>
      <t xml:space="preserve"> -51,36м на шпалах полимерных композитных тип А -43шт. (</t>
    </r>
    <r>
      <rPr>
        <b/>
        <sz val="12"/>
        <rFont val="Times New Roman"/>
        <family val="1"/>
        <charset val="204"/>
      </rPr>
      <t>на подходах к путепроводу</t>
    </r>
    <r>
      <rPr>
        <sz val="12"/>
        <rFont val="Times New Roman"/>
        <family val="1"/>
        <charset val="204"/>
      </rPr>
      <t xml:space="preserve">) со скреплением ПКД </t>
    </r>
  </si>
  <si>
    <r>
      <t xml:space="preserve">Укладка пути на кривых участках из рельсов трамвайных желобчатых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 гнутьем рель</t>
    </r>
    <r>
      <rPr>
        <sz val="12"/>
        <rFont val="Times New Roman"/>
        <family val="1"/>
        <charset val="204"/>
      </rPr>
      <t xml:space="preserve">с на ж/б шпалах </t>
    </r>
    <r>
      <rPr>
        <b/>
        <sz val="12"/>
        <rFont val="Times New Roman"/>
        <family val="1"/>
        <charset val="204"/>
      </rPr>
      <t>ШРТ62Ф</t>
    </r>
    <r>
      <rPr>
        <sz val="12"/>
        <rFont val="Times New Roman"/>
        <family val="1"/>
        <charset val="204"/>
      </rPr>
      <t xml:space="preserve"> с шурупно-дюб. скреплением -68шт., рельс трамвайный желобчатый РТ62-80,86м</t>
    </r>
  </si>
  <si>
    <r>
      <t xml:space="preserve">Укладка трамвайного пути на кривых участках </t>
    </r>
    <r>
      <rPr>
        <b/>
        <sz val="12"/>
        <rFont val="Times New Roman"/>
        <family val="1"/>
        <charset val="204"/>
      </rPr>
      <t>с гнутьем рельс</t>
    </r>
    <r>
      <rPr>
        <sz val="12"/>
        <rFont val="Times New Roman"/>
        <family val="1"/>
        <charset val="204"/>
      </rPr>
      <t xml:space="preserve"> со скреплением закладными болтами на ж.б. шпалах </t>
    </r>
    <r>
      <rPr>
        <b/>
        <sz val="12"/>
        <rFont val="Times New Roman"/>
        <family val="1"/>
        <charset val="204"/>
      </rPr>
      <t>ШТ-02</t>
    </r>
    <r>
      <rPr>
        <sz val="12"/>
        <rFont val="Times New Roman"/>
        <family val="1"/>
        <charset val="204"/>
      </rPr>
      <t xml:space="preserve"> с анкерным скреплением -107шт., рельсы </t>
    </r>
    <r>
      <rPr>
        <b/>
        <sz val="12"/>
        <rFont val="Times New Roman"/>
        <family val="1"/>
        <charset val="204"/>
      </rPr>
      <t>Р65 НТ-260</t>
    </r>
    <r>
      <rPr>
        <sz val="12"/>
        <rFont val="Times New Roman"/>
        <family val="1"/>
        <charset val="204"/>
      </rPr>
      <t xml:space="preserve"> - 127,88м</t>
    </r>
  </si>
  <si>
    <t>Балластировка щебнем на путях, расположенных на обособленном полотне с верхним покрытием из железобетонных плит в местах пересечения с автодорогой (тип 3 ТР4), в том числе: на прямых</t>
  </si>
  <si>
    <r>
      <t>Укладка литого стрелочного перевода по эпюре</t>
    </r>
    <r>
      <rPr>
        <b/>
        <sz val="12"/>
        <rFont val="Times New Roman"/>
        <family val="1"/>
        <charset val="204"/>
      </rPr>
      <t xml:space="preserve"> 878а (правый) </t>
    </r>
    <r>
      <rPr>
        <sz val="12"/>
        <rFont val="Times New Roman"/>
        <family val="1"/>
        <charset val="204"/>
      </rPr>
      <t>8632.00.000-06</t>
    </r>
    <r>
      <rPr>
        <b/>
        <sz val="12"/>
        <rFont val="Times New Roman"/>
        <family val="1"/>
        <charset val="204"/>
      </rPr>
      <t xml:space="preserve"> (правый)</t>
    </r>
    <r>
      <rPr>
        <sz val="12"/>
        <rFont val="Times New Roman"/>
        <family val="1"/>
        <charset val="204"/>
      </rPr>
      <t xml:space="preserve">
на композитных брусьях с типовым шурупно-дюбельным скреплением на полимерных подкладках</t>
    </r>
  </si>
  <si>
    <r>
      <t xml:space="preserve">Укладка литого стрелочного перевода по эпюре </t>
    </r>
    <r>
      <rPr>
        <b/>
        <sz val="12"/>
        <rFont val="Times New Roman"/>
        <family val="1"/>
        <charset val="204"/>
      </rPr>
      <t xml:space="preserve">640а </t>
    </r>
    <r>
      <rPr>
        <sz val="12"/>
        <rFont val="Times New Roman"/>
        <family val="1"/>
        <charset val="204"/>
      </rPr>
      <t xml:space="preserve">8620.00.000-07 </t>
    </r>
    <r>
      <rPr>
        <b/>
        <sz val="12"/>
        <rFont val="Times New Roman"/>
        <family val="1"/>
        <charset val="204"/>
      </rPr>
      <t>(левый)</t>
    </r>
    <r>
      <rPr>
        <sz val="12"/>
        <rFont val="Times New Roman"/>
        <family val="1"/>
        <charset val="204"/>
      </rPr>
      <t xml:space="preserve"> (проект 8620.00.000) на композитных брусьях с типовым шурупно-дюбельным скреплением на полимерных подкладках</t>
    </r>
  </si>
  <si>
    <r>
      <t xml:space="preserve">Укладка трамвайного пути на </t>
    </r>
    <r>
      <rPr>
        <b/>
        <sz val="12"/>
        <rFont val="Times New Roman"/>
        <family val="1"/>
        <charset val="204"/>
      </rPr>
      <t>прямых</t>
    </r>
    <r>
      <rPr>
        <sz val="12"/>
        <rFont val="Times New Roman"/>
        <family val="1"/>
        <charset val="204"/>
      </rPr>
      <t xml:space="preserve"> участках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ШТ-02</t>
    </r>
    <r>
      <rPr>
        <sz val="12"/>
        <rFont val="Times New Roman"/>
        <family val="1"/>
        <charset val="204"/>
      </rPr>
      <t xml:space="preserve"> с анкерным скреплением -206шт., рельсы </t>
    </r>
    <r>
      <rPr>
        <b/>
        <sz val="12"/>
        <rFont val="Times New Roman"/>
        <family val="1"/>
        <charset val="204"/>
      </rPr>
      <t>Р65 НТ-260</t>
    </r>
    <r>
      <rPr>
        <sz val="12"/>
        <rFont val="Times New Roman"/>
        <family val="1"/>
        <charset val="204"/>
      </rPr>
      <t xml:space="preserve"> - 245,14м</t>
    </r>
  </si>
  <si>
    <r>
      <t xml:space="preserve">Укладка пути на </t>
    </r>
    <r>
      <rPr>
        <b/>
        <sz val="12"/>
        <rFont val="Times New Roman"/>
        <family val="1"/>
        <charset val="204"/>
      </rPr>
      <t>кривых</t>
    </r>
    <r>
      <rPr>
        <sz val="12"/>
        <rFont val="Times New Roman"/>
        <family val="1"/>
        <charset val="204"/>
      </rPr>
      <t xml:space="preserve"> участках из рельсов трамвайных желобчатых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 гнутьем рельс</t>
    </r>
    <r>
      <rPr>
        <sz val="12"/>
        <rFont val="Times New Roman"/>
        <family val="1"/>
        <charset val="204"/>
      </rPr>
      <t xml:space="preserve"> на ж/б шпалах </t>
    </r>
    <r>
      <rPr>
        <b/>
        <sz val="12"/>
        <rFont val="Times New Roman"/>
        <family val="1"/>
        <charset val="204"/>
      </rPr>
      <t>ШРТ62Ф</t>
    </r>
    <r>
      <rPr>
        <sz val="12"/>
        <rFont val="Times New Roman"/>
        <family val="1"/>
        <charset val="204"/>
      </rPr>
      <t xml:space="preserve"> с шурупно-дюб. скреплением -179шт., рельс трамвайный желобчатый РТ62-212,54м</t>
    </r>
  </si>
  <si>
    <r>
      <t xml:space="preserve">Укладка трамвайного пути на </t>
    </r>
    <r>
      <rPr>
        <b/>
        <sz val="12"/>
        <rFont val="Times New Roman"/>
        <family val="1"/>
        <charset val="204"/>
      </rPr>
      <t xml:space="preserve">прямых </t>
    </r>
    <r>
      <rPr>
        <sz val="12"/>
        <rFont val="Times New Roman"/>
        <family val="1"/>
        <charset val="204"/>
      </rPr>
      <t xml:space="preserve">участках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ШРТ-62Ф</t>
    </r>
    <r>
      <rPr>
        <sz val="12"/>
        <rFont val="Times New Roman"/>
        <family val="1"/>
        <charset val="204"/>
      </rPr>
      <t xml:space="preserve"> с анкерным скреплением - 37шт., рельсы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- 43,92м</t>
    </r>
  </si>
  <si>
    <r>
      <t xml:space="preserve">Укладка пути на </t>
    </r>
    <r>
      <rPr>
        <b/>
        <sz val="12"/>
        <rFont val="Times New Roman"/>
        <family val="1"/>
        <charset val="204"/>
      </rPr>
      <t>кривы</t>
    </r>
    <r>
      <rPr>
        <sz val="12"/>
        <rFont val="Times New Roman"/>
        <family val="1"/>
        <charset val="204"/>
      </rPr>
      <t xml:space="preserve">х участках из рельсов трамвайных желобчатых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 гнутьем рельс</t>
    </r>
    <r>
      <rPr>
        <sz val="12"/>
        <rFont val="Times New Roman"/>
        <family val="1"/>
        <charset val="204"/>
      </rPr>
      <t xml:space="preserve"> на ж/б шпалах </t>
    </r>
    <r>
      <rPr>
        <b/>
        <sz val="12"/>
        <rFont val="Times New Roman"/>
        <family val="1"/>
        <charset val="204"/>
      </rPr>
      <t>ШРТ62Ф</t>
    </r>
    <r>
      <rPr>
        <sz val="12"/>
        <rFont val="Times New Roman"/>
        <family val="1"/>
        <charset val="204"/>
      </rPr>
      <t xml:space="preserve"> с шурупно-дюб. скреплением -179шт., рельс трамвайный желобчатый РТ62-212,54м</t>
    </r>
  </si>
  <si>
    <r>
      <t xml:space="preserve">Укладка трамвайного пути на </t>
    </r>
    <r>
      <rPr>
        <b/>
        <sz val="12"/>
        <rFont val="Times New Roman"/>
        <family val="1"/>
        <charset val="204"/>
      </rPr>
      <t>прямых</t>
    </r>
    <r>
      <rPr>
        <sz val="12"/>
        <rFont val="Times New Roman"/>
        <family val="1"/>
        <charset val="204"/>
      </rPr>
      <t xml:space="preserve"> участках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ШТ-02</t>
    </r>
    <r>
      <rPr>
        <sz val="12"/>
        <rFont val="Times New Roman"/>
        <family val="1"/>
        <charset val="204"/>
      </rPr>
      <t xml:space="preserve"> с анкерным скреплением -73шт., рельсы </t>
    </r>
    <r>
      <rPr>
        <b/>
        <sz val="12"/>
        <rFont val="Times New Roman"/>
        <family val="1"/>
        <charset val="204"/>
      </rPr>
      <t>Р65 НТ-260</t>
    </r>
    <r>
      <rPr>
        <sz val="12"/>
        <rFont val="Times New Roman"/>
        <family val="1"/>
        <charset val="204"/>
      </rPr>
      <t xml:space="preserve"> - 86,8м</t>
    </r>
  </si>
  <si>
    <r>
      <t xml:space="preserve">Укладка стрелочного перевода по эпюре </t>
    </r>
    <r>
      <rPr>
        <b/>
        <sz val="12"/>
        <rFont val="Times New Roman"/>
        <family val="1"/>
        <charset val="204"/>
      </rPr>
      <t>481, 481а с пересечением</t>
    </r>
    <r>
      <rPr>
        <sz val="12"/>
        <rFont val="Times New Roman"/>
        <family val="1"/>
        <charset val="204"/>
      </rPr>
      <t xml:space="preserve"> 8624.00.000-06 </t>
    </r>
    <r>
      <rPr>
        <b/>
        <sz val="12"/>
        <rFont val="Times New Roman"/>
        <family val="1"/>
        <charset val="204"/>
      </rPr>
      <t>правый</t>
    </r>
    <r>
      <rPr>
        <sz val="12"/>
        <rFont val="Times New Roman"/>
        <family val="1"/>
        <charset val="204"/>
      </rPr>
      <t xml:space="preserve"> (проект 8624.00.000) на композитных брусьях с типовым шурупно-дюбельным скреплением на полимерных подкладках  (без ящика под электропривод СПТ)</t>
    </r>
  </si>
  <si>
    <r>
      <t xml:space="preserve">Укладка симметричного стрелочного перевода по эпюре </t>
    </r>
    <r>
      <rPr>
        <b/>
        <sz val="12"/>
        <rFont val="Times New Roman"/>
        <family val="1"/>
        <charset val="204"/>
      </rPr>
      <t>30888</t>
    </r>
    <r>
      <rPr>
        <sz val="12"/>
        <rFont val="Times New Roman"/>
        <family val="1"/>
        <charset val="204"/>
      </rPr>
      <t xml:space="preserve"> (проект 8620.00.000) </t>
    </r>
    <r>
      <rPr>
        <b/>
        <sz val="12"/>
        <rFont val="Times New Roman"/>
        <family val="1"/>
        <charset val="204"/>
      </rPr>
      <t>с пересечением</t>
    </r>
    <r>
      <rPr>
        <sz val="12"/>
        <rFont val="Times New Roman"/>
        <family val="1"/>
        <charset val="204"/>
      </rPr>
      <t xml:space="preserve"> на композитных брусьях с типовым шурупно-дюбельным скреплением на полимерных подкладках (с ящиком под электропривод СПТ) </t>
    </r>
  </si>
  <si>
    <r>
      <t xml:space="preserve">Укладка литого стрелочного перевода по эпюре </t>
    </r>
    <r>
      <rPr>
        <b/>
        <sz val="12"/>
        <rFont val="Times New Roman"/>
        <family val="1"/>
        <charset val="204"/>
      </rPr>
      <t xml:space="preserve">640а (правый) </t>
    </r>
    <r>
      <rPr>
        <sz val="12"/>
        <rFont val="Times New Roman"/>
        <family val="1"/>
        <charset val="204"/>
      </rPr>
      <t>8620.00.000-06</t>
    </r>
    <r>
      <rPr>
        <b/>
        <sz val="12"/>
        <rFont val="Times New Roman"/>
        <family val="1"/>
        <charset val="204"/>
      </rPr>
      <t xml:space="preserve"> (правый) </t>
    </r>
    <r>
      <rPr>
        <sz val="12"/>
        <rFont val="Times New Roman"/>
        <family val="1"/>
        <charset val="204"/>
      </rPr>
      <t>(проект 8620.00.000) на композитных брусьях с типовым шурупно-дюбельным скреплением на полимерных подкладках (с установкой ящика под электропривод СПТ)</t>
    </r>
  </si>
  <si>
    <r>
      <t>Укладка пути на</t>
    </r>
    <r>
      <rPr>
        <b/>
        <sz val="12"/>
        <rFont val="Times New Roman"/>
        <family val="1"/>
        <charset val="204"/>
      </rPr>
      <t xml:space="preserve"> прямых</t>
    </r>
    <r>
      <rPr>
        <sz val="12"/>
        <rFont val="Times New Roman"/>
        <family val="1"/>
        <charset val="204"/>
      </rPr>
      <t xml:space="preserve"> участках из рельсов трамвайных желобчатых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на ж/б шпалах </t>
    </r>
    <r>
      <rPr>
        <b/>
        <sz val="12"/>
        <rFont val="Times New Roman"/>
        <family val="1"/>
        <charset val="204"/>
      </rPr>
      <t>ШРТ62Ф</t>
    </r>
    <r>
      <rPr>
        <sz val="12"/>
        <rFont val="Times New Roman"/>
        <family val="1"/>
        <charset val="204"/>
      </rPr>
      <t xml:space="preserve"> с шурупно-дюбельным скреплением - 464шт., рельс трамвайный желобчатый РТ62 -552,58м</t>
    </r>
  </si>
  <si>
    <r>
      <t xml:space="preserve">Укладка трамвайного пути на </t>
    </r>
    <r>
      <rPr>
        <b/>
        <sz val="12"/>
        <rFont val="Times New Roman"/>
        <family val="1"/>
        <charset val="204"/>
      </rPr>
      <t xml:space="preserve">кривых </t>
    </r>
    <r>
      <rPr>
        <sz val="12"/>
        <rFont val="Times New Roman"/>
        <family val="1"/>
        <charset val="204"/>
      </rPr>
      <t>участках со скреплением закладными болтами</t>
    </r>
    <r>
      <rPr>
        <b/>
        <sz val="12"/>
        <rFont val="Times New Roman"/>
        <family val="1"/>
        <charset val="204"/>
      </rPr>
      <t xml:space="preserve"> с гнутьем рельс</t>
    </r>
    <r>
      <rPr>
        <sz val="12"/>
        <rFont val="Times New Roman"/>
        <family val="1"/>
        <charset val="204"/>
      </rPr>
      <t xml:space="preserve"> на ж.б. шпалах </t>
    </r>
    <r>
      <rPr>
        <b/>
        <sz val="12"/>
        <rFont val="Times New Roman"/>
        <family val="1"/>
        <charset val="204"/>
      </rPr>
      <t>ШТ-02</t>
    </r>
    <r>
      <rPr>
        <sz val="12"/>
        <rFont val="Times New Roman"/>
        <family val="1"/>
        <charset val="204"/>
      </rPr>
      <t xml:space="preserve"> с анкерным скреплением - 213шт., рельсы </t>
    </r>
    <r>
      <rPr>
        <b/>
        <sz val="12"/>
        <rFont val="Times New Roman"/>
        <family val="1"/>
        <charset val="204"/>
      </rPr>
      <t>РТ65 НТ-260</t>
    </r>
    <r>
      <rPr>
        <sz val="12"/>
        <rFont val="Times New Roman"/>
        <family val="1"/>
        <charset val="204"/>
      </rPr>
      <t xml:space="preserve"> - 253,42м</t>
    </r>
  </si>
  <si>
    <r>
      <t xml:space="preserve">Укладка пути на </t>
    </r>
    <r>
      <rPr>
        <b/>
        <sz val="12"/>
        <rFont val="Times New Roman"/>
        <family val="1"/>
        <charset val="204"/>
      </rPr>
      <t>кривых</t>
    </r>
    <r>
      <rPr>
        <sz val="12"/>
        <rFont val="Times New Roman"/>
        <family val="1"/>
        <charset val="204"/>
      </rPr>
      <t xml:space="preserve"> участках из рельсов трамвайных желобчатых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с</t>
    </r>
    <r>
      <rPr>
        <b/>
        <sz val="12"/>
        <rFont val="Times New Roman"/>
        <family val="1"/>
        <charset val="204"/>
      </rPr>
      <t xml:space="preserve"> гнутьем рель</t>
    </r>
    <r>
      <rPr>
        <sz val="12"/>
        <rFont val="Times New Roman"/>
        <family val="1"/>
        <charset val="204"/>
      </rPr>
      <t xml:space="preserve">с на ж/б шпалах </t>
    </r>
    <r>
      <rPr>
        <b/>
        <sz val="12"/>
        <rFont val="Times New Roman"/>
        <family val="1"/>
        <charset val="204"/>
      </rPr>
      <t>ШРТ62Ф</t>
    </r>
    <r>
      <rPr>
        <sz val="12"/>
        <rFont val="Times New Roman"/>
        <family val="1"/>
        <charset val="204"/>
      </rPr>
      <t xml:space="preserve"> с шурупно-дюб. скреплением -949шт., рельс трамвайный желобчатый РТ62-1130,18м</t>
    </r>
  </si>
  <si>
    <r>
      <t>Укладка трамвайного пути на</t>
    </r>
    <r>
      <rPr>
        <b/>
        <sz val="12"/>
        <rFont val="Times New Roman"/>
        <family val="1"/>
        <charset val="204"/>
      </rPr>
      <t xml:space="preserve"> прямых</t>
    </r>
    <r>
      <rPr>
        <sz val="12"/>
        <rFont val="Times New Roman"/>
        <family val="1"/>
        <charset val="204"/>
      </rPr>
      <t xml:space="preserve"> участках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ШТ-02</t>
    </r>
    <r>
      <rPr>
        <sz val="12"/>
        <rFont val="Times New Roman"/>
        <family val="1"/>
        <charset val="204"/>
      </rPr>
      <t xml:space="preserve"> с анкерным скреплением - 11873шт., рельсы </t>
    </r>
    <r>
      <rPr>
        <b/>
        <sz val="12"/>
        <rFont val="Times New Roman"/>
        <family val="1"/>
        <charset val="204"/>
      </rPr>
      <t>РТ65 НТ-260</t>
    </r>
    <r>
      <rPr>
        <sz val="12"/>
        <rFont val="Times New Roman"/>
        <family val="1"/>
        <charset val="204"/>
      </rPr>
      <t xml:space="preserve"> - 14134,66м</t>
    </r>
  </si>
  <si>
    <t>Шурупы путевые, размер 24х170 мм - 0,21т + Электросоединители стыковые для трамвайных путей, длина 300 мм, диаметр 20 мм - 0,22т</t>
  </si>
  <si>
    <r>
      <t xml:space="preserve">Укладка литого стрелочного перевода трамвайного R50 </t>
    </r>
    <r>
      <rPr>
        <b/>
        <sz val="12"/>
        <rFont val="Times New Roman"/>
        <family val="1"/>
        <charset val="204"/>
      </rPr>
      <t>с пересечением с гибкими остряками</t>
    </r>
    <r>
      <rPr>
        <sz val="12"/>
        <rFont val="Times New Roman"/>
        <family val="1"/>
        <charset val="204"/>
      </rPr>
      <t xml:space="preserve"> по эпюре 505</t>
    </r>
    <r>
      <rPr>
        <b/>
        <sz val="12"/>
        <rFont val="Times New Roman"/>
        <family val="1"/>
        <charset val="204"/>
      </rPr>
      <t>левый</t>
    </r>
    <r>
      <rPr>
        <sz val="12"/>
        <rFont val="Times New Roman"/>
        <family val="1"/>
        <charset val="204"/>
      </rPr>
      <t xml:space="preserve"> (проект 8628.00.000) на композитных брусьях с типовым шурупно-дюб. скреплением на полимерных подкладках ((без электропривода СПТ) с ящиком под электропривод СПТ)</t>
    </r>
  </si>
  <si>
    <t>Перевод стрелочный трамвайный R50 с пересечением с гибкими остряками по эпюре 505 пр. 8628.00.000 левый (без электропривода СПТ) с ящиком под электропривод СПТ</t>
  </si>
  <si>
    <t>Брус композитный - под эпюру 505 пр. 8628.00.000, ТУ 22.29.29-002-40409414-2023</t>
  </si>
  <si>
    <t>Сварка стыков термитным способом (133,21м) и ванным способом</t>
  </si>
  <si>
    <t>Осуществление контроля качества сварных швов неразрушающим ультразвуковым методом (133,21м)</t>
  </si>
  <si>
    <t>Укладка температурных компенсаторов, путевых электросоединений (19,5м)</t>
  </si>
  <si>
    <t>Укладка температурных компенсаторов 650.00.000 в путь на композитных шпалах со скреплением ПКД с рельсами Р65 НТ-260 (6 комплектов/12 штук) - 19,5м</t>
  </si>
  <si>
    <t>Температурный компенсатор для рельсов Р65 с заводским комплектом скреплений и накладок.чертеж 8650.00.000МЧ</t>
  </si>
  <si>
    <t>Железобетонные сборные плиты для покрытия трамвайных путей путевых (1427х3000 мм), ТУ 23.61.12-010-02488336-2019/ 300*1,427*3=1284,3м2</t>
  </si>
  <si>
    <t>Железобетонные сборные плиты для покрытия трамвайных путей боковых (760х3000 мм), ТУ 23.61.12-010-02488336-2019/ 284*0,76*3=647,52м2</t>
  </si>
  <si>
    <t>Железобетонные сборные плиты для покрытия трамвайных путей междупутных (1706х3000х170), ТУ 23.61.12-010-02488336-2019/ 146*1,706*3=747,228м2</t>
  </si>
  <si>
    <t>Укладка плит покрытия трамвайных путей из ж/б плиты боковой, 760х3000 х170 мм (647,52м2)</t>
  </si>
  <si>
    <t>Укладка плит покрытия трамвайных путей из ж/б плиты путевой (колейной), 1427х3000 х170 мм (1284,3м2)</t>
  </si>
  <si>
    <t>Укладка щебня под боковую плиту</t>
  </si>
  <si>
    <t>Щебень М 600, фракция 5(3)-20 мм, группа 2 (Купл1,26)</t>
  </si>
  <si>
    <t>Установка пробок резиновых для плиты КТК/ 0,077*0,044*600=2,03м2</t>
  </si>
  <si>
    <t>Установка пробок резиновых для плиты БТК/ 0,077*0,044*568=1,92м2</t>
  </si>
  <si>
    <t>Установка пробок резиновых для плиты МТК/ 0,077*0,044*292=0,99м2</t>
  </si>
  <si>
    <t>Укладка верхнего покрытия из крупноразмерных ж.б. плит (2976м2)</t>
  </si>
  <si>
    <t>Участок по оси 6,7 (пк0+00,00 – пк7+68,885)</t>
  </si>
  <si>
    <t>Установка профилей резиновых для рельса Р65</t>
  </si>
  <si>
    <t>Плита трамвайная П57 (0,57*0,46*0,12 м) (188,1038м3/ 1678м2)</t>
  </si>
  <si>
    <t>Укладка щебня под плитку трамвайную П-57</t>
  </si>
  <si>
    <t>XPS Техно НИКОЛЬ CARBON SOLID 500 2400x600x50 L Тип А/ 5152м2</t>
  </si>
  <si>
    <t>Подсыпка балласта в местах перехода к открытым участкам пути щебнем М 600 фракции 5-20 мм</t>
  </si>
  <si>
    <t>в смете не учтены</t>
  </si>
  <si>
    <t>Перевозка из временного отвала  для обратной засыпки</t>
  </si>
  <si>
    <t>Погрузка грунта с временного отвала</t>
  </si>
  <si>
    <t>Засыпка вручную на подходах к путепроводам</t>
  </si>
  <si>
    <t>Послеосадочный ремонт трамвайного пути с подъемкой щебня фр. 20-40, кат. II с ж.б. шпалами ШТ-02 (24,26м3)</t>
  </si>
  <si>
    <t>Послеосадочный ремонт трамвайного пути с подъемкой щебня фр. 20-40, кат. II с ж.б. шпалами ШРТ-62Ф (3,67м3)</t>
  </si>
  <si>
    <t>Послеосадочный ремонт трамвайного пути с подъемкой щебня фр. 20-40, кат. II с композитными шпалами в зоне темп. компенсаторов (0,49м3)</t>
  </si>
  <si>
    <t>Послеосадочный ремонт трамвайного пути с подъемкой щебня фр. 20-40, кат. II с композитными шпалами в зоне на подходах к путепроводу (0,8,29м3)</t>
  </si>
  <si>
    <t>Послеосадочный ремонт трамвайного пути с подъемкой щебня фр. 20-40, кат. II с композитными брусьями на стрелочных переводах (1,21м3)</t>
  </si>
  <si>
    <t>Послеосадочный ремонт трамвайного пути с подъемкой щебня фр. 20-40, кат. II с композитными брусьями на стрелочных переводах (1,731м3)</t>
  </si>
  <si>
    <t>Послеосадочный ремонт трамвайного пути с подъемкой щебня фр. 20-40, кат. II с композитными шпалами в зоне темп. компенсаторов (0,16м3)</t>
  </si>
  <si>
    <t>Послеосадочный ремонт трамвайного пути с подъемкой щебня фр. 20-40, кат. II с ж.б. шпалами ШРТ-62Ф (3,65м3)</t>
  </si>
  <si>
    <t>Послеосадочный ремонт трамвайного пути с подъемкой щебня фр. 20-40, кат. II с ж.б. шпалами ШРТ-62Ф (14,06м3)</t>
  </si>
  <si>
    <t>Послеосадочный ремонт трамвайных путей (1537,78мп)</t>
  </si>
  <si>
    <t>Разборка покрытий примыкания вдоль путей из асфальтобетона (в мусор), h=0,12 м шириной 0,85 м, 35,9м2</t>
  </si>
  <si>
    <t>Щебеночно-мастичная смесь ЩМА 16 (ГОСТ Р 58406.1-2020)</t>
  </si>
  <si>
    <t>Установка ограничивающего пешеходного ограждения ПО1 на 2-х участках 169,57мп (339секций, 340стоек)</t>
  </si>
  <si>
    <t>Устройство бетонного основания для пешеходного ограждения ПО1 из бетона марки В15</t>
  </si>
  <si>
    <t>Устройство металлических пешеходных ограждений на 2-х участках 169,57мп (339секций, 340стоек)</t>
  </si>
  <si>
    <t>Бетон В15, ГОСТ 26633-15</t>
  </si>
  <si>
    <t>Ограждения ПО1 "Крест" Оцинков. Стойка 60х60, H=1560, L=2м</t>
  </si>
  <si>
    <t>Участок по оси 6,7 (пк8+79,70 – пк31+00,83)</t>
  </si>
  <si>
    <t xml:space="preserve">Нарезка уступов по откосам  в существующей насыпи: насыпной грунт (ИГЭ-Н) плотностью 1,95 т/м3 бульдозером мощностью (132 кВт) в грунтах II группы </t>
  </si>
  <si>
    <t>Погрузка грунта насыпной грунт (ИГЭ-Н) плотностью 1,95 т/м3 на автосамосвалы экскаватором емк. ковша 0,50 м3/ 12114,73т</t>
  </si>
  <si>
    <t>Транспортировка грунта насыпной грунт (ИГЭ-Н) плотностью 1,95 т/м3  с возвратом для обратной засыпки на 2 км/ 73,56м3</t>
  </si>
  <si>
    <t>Транспортировка грунта насыпной грунт (ИГЭ-Н) плотностью 1,95 т/м3 на полигон для захоронения на 20 км/ 6139,12м3</t>
  </si>
  <si>
    <t>Погрузка грунта насыпной грунт (ИГЭ-Н) плотностью 1,95 т/м3 на автосамосвалы экскаватором емк. ковша 0,50 м3/ 3851,42т</t>
  </si>
  <si>
    <t>Транспортировка грунта насыпной грунт (ИГЭ-Н) плотностью 1,95 т/м3 на полигон для захоронения на 20 км/ 3841,52т</t>
  </si>
  <si>
    <t>Транспортировка грунта насыпной грунт (ИГЭ-Н) плотностью 1,95 т/м3 на полигон для захоронения на 20 км/ 210,9м3</t>
  </si>
  <si>
    <t>Верхнее строение пути на шпально-щебеночной конструкции (14794м2)</t>
  </si>
  <si>
    <t>Погрузка грунта насыпной грунт (ИГЭ-Н) плотностью 1,95 т/м3 на автосамосвалы экскаватором емк. ковша 0,50 м3/ 11971,28т</t>
  </si>
  <si>
    <t>Устройство песчанного основания песком средней крупностью (на обособленном полотне) (ГОСТ 8736-2014) с коэффициентом фильтрации не менее 5 м в сутки в плотном теле) (Купл.1,26)</t>
  </si>
  <si>
    <t>Укладка на слой песка экструзионного пенополистерола (по всей ширине котлована на всем протяжении), XPS Техно НИКОЛЬ CARBON SOLID 500 2400x600x50 L Тип А, толщиной 0,05 м / 739,7м3</t>
  </si>
  <si>
    <r>
      <t xml:space="preserve">Балластировка щебнем на путях, расположенных на обособленном полотне с верхним покрытием плит железобетонных и из трамвайной плитки П57 (тип 9.3 ТР2), в том числе: </t>
    </r>
    <r>
      <rPr>
        <b/>
        <sz val="12"/>
        <rFont val="Times New Roman"/>
        <family val="1"/>
        <charset val="204"/>
      </rPr>
      <t>на прямых</t>
    </r>
  </si>
  <si>
    <r>
      <t>Балластировка щебнем на путях, расположенных на обособленном полотне с верхним покрытием из трамвайной плитки П57 (тип 9.2 ТР5), в том числе: на</t>
    </r>
    <r>
      <rPr>
        <b/>
        <sz val="12"/>
        <rFont val="Times New Roman"/>
        <family val="1"/>
        <charset val="204"/>
      </rPr>
      <t xml:space="preserve"> кривых</t>
    </r>
  </si>
  <si>
    <r>
      <t xml:space="preserve">Балластировка щебнем на путях, расположенных на обособленном полотне с верхним покрытием из железобетонных плит (тип 9.1 ТР4), в том числе: на </t>
    </r>
    <r>
      <rPr>
        <b/>
        <sz val="12"/>
        <rFont val="Times New Roman"/>
        <family val="1"/>
        <charset val="204"/>
      </rPr>
      <t>прямых</t>
    </r>
  </si>
  <si>
    <r>
      <t>Балластировка щебнемна путях, расположенных на обособленном полотнесс верхним покрытием из
железобетонных плит в местах пересечения с автодорогой (тип 11.1 ТР4), в том числе: на</t>
    </r>
    <r>
      <rPr>
        <b/>
        <sz val="12"/>
        <rFont val="Times New Roman"/>
        <family val="1"/>
        <charset val="204"/>
      </rPr>
      <t xml:space="preserve"> прямых</t>
    </r>
  </si>
  <si>
    <r>
      <t xml:space="preserve">Балластировка щебнемна путях, расположенных на обособленном полотне с верхним покрытием из плит  железобетонных  (тип 16 ТР2), в том числе: на </t>
    </r>
    <r>
      <rPr>
        <b/>
        <sz val="12"/>
        <rFont val="Times New Roman"/>
        <family val="1"/>
        <charset val="204"/>
      </rPr>
      <t>прямых</t>
    </r>
  </si>
  <si>
    <r>
      <t xml:space="preserve">Балластировка щебнем на путях, расположенных на обособленном полотне с верхним покрытием плит железобетонных и из трамвайной плитки П57 (тип 10.1 ТР5), в том числе: </t>
    </r>
    <r>
      <rPr>
        <b/>
        <sz val="12"/>
        <rFont val="Times New Roman"/>
        <family val="1"/>
        <charset val="204"/>
      </rPr>
      <t>на прямых</t>
    </r>
  </si>
  <si>
    <r>
      <t xml:space="preserve">Балластировка щебнем на путях, расположенных на обособленном полотне на самостоятельном полотне без верхнего покрытия (тип 5 ТР5), в том числе: на </t>
    </r>
    <r>
      <rPr>
        <b/>
        <sz val="12"/>
        <rFont val="Times New Roman"/>
        <family val="1"/>
        <charset val="204"/>
      </rPr>
      <t>прямых</t>
    </r>
  </si>
  <si>
    <r>
      <t xml:space="preserve">Балластировка щебнем на путях, расположенных на обособленном полотне на самостоятельном полотне без верхнего покрытия (тип 5 ТР5), в том числе: на </t>
    </r>
    <r>
      <rPr>
        <b/>
        <sz val="12"/>
        <rFont val="Times New Roman"/>
        <family val="1"/>
        <charset val="204"/>
      </rPr>
      <t>кривых</t>
    </r>
  </si>
  <si>
    <r>
      <t>Балластировка щебнемна путях, расположенных на обособленном полотнесс верхним покрытием из
железобетонных плит в местах пересечения с автодорогой (тип 11.2 ТР5), в том числе: на</t>
    </r>
    <r>
      <rPr>
        <b/>
        <sz val="12"/>
        <rFont val="Times New Roman"/>
        <family val="1"/>
        <charset val="204"/>
      </rPr>
      <t xml:space="preserve"> прямых</t>
    </r>
  </si>
  <si>
    <r>
      <t xml:space="preserve">Укладка трамвайного пути на </t>
    </r>
    <r>
      <rPr>
        <b/>
        <sz val="12"/>
        <rFont val="Times New Roman"/>
        <family val="1"/>
        <charset val="204"/>
      </rPr>
      <t>прямых участка</t>
    </r>
    <r>
      <rPr>
        <sz val="12"/>
        <rFont val="Times New Roman"/>
        <family val="1"/>
        <charset val="204"/>
      </rPr>
      <t xml:space="preserve">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ШТ-02</t>
    </r>
    <r>
      <rPr>
        <sz val="12"/>
        <rFont val="Times New Roman"/>
        <family val="1"/>
        <charset val="204"/>
      </rPr>
      <t xml:space="preserve"> с анкерным скреплением -5313шт., рельсы </t>
    </r>
    <r>
      <rPr>
        <b/>
        <sz val="12"/>
        <rFont val="Times New Roman"/>
        <family val="1"/>
        <charset val="204"/>
      </rPr>
      <t>Р65 НТ-260</t>
    </r>
    <r>
      <rPr>
        <sz val="12"/>
        <rFont val="Times New Roman"/>
        <family val="1"/>
        <charset val="204"/>
      </rPr>
      <t xml:space="preserve"> - 6325,28м</t>
    </r>
  </si>
  <si>
    <r>
      <t xml:space="preserve">Укладка трамвайного пути на </t>
    </r>
    <r>
      <rPr>
        <b/>
        <sz val="12"/>
        <rFont val="Times New Roman"/>
        <family val="1"/>
        <charset val="204"/>
      </rPr>
      <t>кривых участках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 гнутьем рельс</t>
    </r>
    <r>
      <rPr>
        <sz val="12"/>
        <rFont val="Times New Roman"/>
        <family val="1"/>
        <charset val="204"/>
      </rPr>
      <t xml:space="preserve"> со скреплением закладными болтами на ж.б. шпалах </t>
    </r>
    <r>
      <rPr>
        <b/>
        <sz val="12"/>
        <rFont val="Times New Roman"/>
        <family val="1"/>
        <charset val="204"/>
      </rPr>
      <t>ШТ-02</t>
    </r>
    <r>
      <rPr>
        <sz val="12"/>
        <rFont val="Times New Roman"/>
        <family val="1"/>
        <charset val="204"/>
      </rPr>
      <t xml:space="preserve"> с анкерным скреплением -434шт., рельсы </t>
    </r>
    <r>
      <rPr>
        <b/>
        <sz val="12"/>
        <rFont val="Times New Roman"/>
        <family val="1"/>
        <charset val="204"/>
      </rPr>
      <t>Р65 НТ-260</t>
    </r>
    <r>
      <rPr>
        <sz val="12"/>
        <rFont val="Times New Roman"/>
        <family val="1"/>
        <charset val="204"/>
      </rPr>
      <t xml:space="preserve"> - 516,24м</t>
    </r>
  </si>
  <si>
    <r>
      <t xml:space="preserve">Укладка пути на </t>
    </r>
    <r>
      <rPr>
        <b/>
        <sz val="12"/>
        <rFont val="Times New Roman"/>
        <family val="1"/>
        <charset val="204"/>
      </rPr>
      <t>кривых</t>
    </r>
    <r>
      <rPr>
        <sz val="12"/>
        <rFont val="Times New Roman"/>
        <family val="1"/>
        <charset val="204"/>
      </rPr>
      <t xml:space="preserve"> участках из рельсов трамвайных желобчатых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 гнутьем рель</t>
    </r>
    <r>
      <rPr>
        <sz val="12"/>
        <rFont val="Times New Roman"/>
        <family val="1"/>
        <charset val="204"/>
      </rPr>
      <t xml:space="preserve">с на ж/б шпалах </t>
    </r>
    <r>
      <rPr>
        <b/>
        <sz val="12"/>
        <rFont val="Times New Roman"/>
        <family val="1"/>
        <charset val="204"/>
      </rPr>
      <t>ШРТ62Ф</t>
    </r>
    <r>
      <rPr>
        <sz val="12"/>
        <rFont val="Times New Roman"/>
        <family val="1"/>
        <charset val="204"/>
      </rPr>
      <t xml:space="preserve"> с шурупно-дюб. скреплением -292шт., рельс трамвайный желобчатый РТ62-347,36м</t>
    </r>
  </si>
  <si>
    <r>
      <t>Укладка трамвайного пути на</t>
    </r>
    <r>
      <rPr>
        <b/>
        <sz val="12"/>
        <rFont val="Times New Roman"/>
        <family val="1"/>
        <charset val="204"/>
      </rPr>
      <t xml:space="preserve"> прямы</t>
    </r>
    <r>
      <rPr>
        <sz val="12"/>
        <rFont val="Times New Roman"/>
        <family val="1"/>
        <charset val="204"/>
      </rPr>
      <t xml:space="preserve">х участках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ШРТ-62Ф</t>
    </r>
    <r>
      <rPr>
        <sz val="12"/>
        <rFont val="Times New Roman"/>
        <family val="1"/>
        <charset val="204"/>
      </rPr>
      <t xml:space="preserve"> с с шурупно-дюбельным скреплением - 225шт., рельсы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- 267,66м</t>
    </r>
  </si>
  <si>
    <r>
      <t xml:space="preserve">Укладка трамвайного пути на прямых участках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ШРТ-62Ф</t>
    </r>
    <r>
      <rPr>
        <sz val="12"/>
        <rFont val="Times New Roman"/>
        <family val="1"/>
        <charset val="204"/>
      </rPr>
      <t xml:space="preserve"> с с шурупно-дюбельным скреплением - 179шт., рельсы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- 213м</t>
    </r>
  </si>
  <si>
    <r>
      <t xml:space="preserve">Укладка трамвайного пути на </t>
    </r>
    <r>
      <rPr>
        <b/>
        <sz val="12"/>
        <rFont val="Times New Roman"/>
        <family val="1"/>
        <charset val="204"/>
      </rPr>
      <t>прямы</t>
    </r>
    <r>
      <rPr>
        <sz val="12"/>
        <rFont val="Times New Roman"/>
        <family val="1"/>
        <charset val="204"/>
      </rPr>
      <t xml:space="preserve">х участках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ШРТ-62Ф</t>
    </r>
    <r>
      <rPr>
        <sz val="12"/>
        <rFont val="Times New Roman"/>
        <family val="1"/>
        <charset val="204"/>
      </rPr>
      <t xml:space="preserve"> с с шурупно-дюбельным скреплением - 60шт., рельсы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- 70,92м</t>
    </r>
  </si>
  <si>
    <t>Установка накладок двухголовых к рельсам РТ65-РТ62 на 4 отверстия устанавливаемые на время сборки до сварки рельсов Коб=8,3 (в 1 комплект входит 2 накладки на стык)</t>
  </si>
  <si>
    <t xml:space="preserve">Накладки двухголовые к рельсам Р65 на 4 отверстия </t>
  </si>
  <si>
    <t xml:space="preserve">Накладки двухголовые к рельсам РТ62 на 4 отверстия </t>
  </si>
  <si>
    <t xml:space="preserve">7067,33м/ Шайбы пружинные путевые, исполнение 2, диаметр 27 мм - 6,714т + Болты для рельсовых стыков, диаметр 27 мм, класс 8,8 - 0,7067т + Электросоединители стыковые для трамвайных путей, длина 300 мм, диаметр 20 мм - 70,673шт. </t>
  </si>
  <si>
    <t xml:space="preserve">126,71м/ Шайбы пружинные путевые, исполнение 2, диам. 27  - 0,1204т  + Болты для рельсовых стыков, д. 27 мм, класс 8,8 - 0,01267т + Электросоединители стыковые для трамвайных путей, длина 300 мм, диам. 20 мм - 1,2671шт. </t>
  </si>
  <si>
    <t xml:space="preserve">43,4м/ Шайбы пружинные путевые, исполнение 2, диаметр 27  - 0,04123т + Болты для рельсовых стыков, диаметр 27 мм, класс 8,8 - 0,00434т + Электросоединители стыковые для трамвайных путей, длина 300 мм, диаметр 20 мм - 0,434шт. </t>
  </si>
  <si>
    <t xml:space="preserve">21,96м/ Шайбы пружинные путевые, исполнение 2, диаметр 27  - 0,020862т + Болты для рельсовых стыков, диаметр 27 мм, класс 8,8 - 0,002196т + Электросоединители стыковые для трамвайных путей, длина 300 мм, диаметр 20 мм - 0,2196шт. </t>
  </si>
  <si>
    <t xml:space="preserve">276,29м/ Шайбы пружинные путевые, исполнение 2, диаметр 27  - 0,26248т + Болты для рельсовых стыков, диаметр 27 мм, класс 8,8 - 0,027627т + Электросоединители стыковые для трамвайных путей, длина 300 мм, диаметр 20 мм - 2,7629шт. </t>
  </si>
  <si>
    <t xml:space="preserve">106,27м/ Шайбы пружинные путевые, исполнение 2, диаметр 27  - 0,1009565т + Болты для рельсовых стыков, диаметр 27 мм, класс 8,8 - 0,010627т + Электросоединители стыковые для трамвайных путей, длина 300 мм, диаметр 20 мм - 1,0627шт. </t>
  </si>
  <si>
    <t xml:space="preserve">122,57м/ Шайбы пружинные путевые, исполнение 2, диаметр 27  - 0,11644т + Болты для рельсовых стыков, диаметр 27 мм, класс 8,8 - 0,012257т + Электросоединители стыковые для трамвайных путей, длина 300 мм, диаметр 20 мм - 1,2257шт. </t>
  </si>
  <si>
    <t xml:space="preserve">35,46м/ Шайбы пружинные путевые, исполнение 2, диаметр 27  - 0,033687т + Болты для рельсовых стыков, диаметр 27 мм, класс 8,8 - 0,003546т + Электросоединители стыковые для трамвайных путей, длина 300 мм, диаметр 20 мм - 0,3546шт. </t>
  </si>
  <si>
    <t xml:space="preserve">248,34м/ Шайбы пружинные путевые, исполнение 2, диаметр 27  - 0,2359т + Болты для рельсовых стыков, диаметр 27 мм, класс 8,8 - 0,024834т + Электросоединители стыковые для трамвайных путей, длина 300 мм, диаметр 20 мм - 2,4834шт. </t>
  </si>
  <si>
    <t xml:space="preserve">906,5м/ Шайбы пружинные путевые, исполнение 2, диаметр 27  - 0,861175т + Болты для рельсовых стыков, диаметр 27 мм, класс 8,8 - 0,09065т + Электросоединители стыковые для трамвайных путей, длина 300 мм, диаметр 20 мм - 9,065шт. </t>
  </si>
  <si>
    <t xml:space="preserve">63,94м/ Шайбы пружинные путевые, исполнение 2, диаметр 27  - 0,060743т + Болты для рельсовых стыков, диаметр 27 мм, класс 8,8 - 0,006394т + Электросоединители стыковые для трамвайных путей, длина 300 мм, диаметр 20 мм - 0,6394шт. </t>
  </si>
  <si>
    <t xml:space="preserve">106,5м/ Шайбы пружинные путевые, исполнение 2, диаметр 27  - 0,033687т + Болты для рельсовых стыков, диаметр 27 мм, класс 8,8 - 0,003546т + Электросоединители стыковые для трамвайных путей, длина 300 мм, диаметр 20 мм - 0,3546шт. </t>
  </si>
  <si>
    <t xml:space="preserve">40,43м/ Шайбы пружинные путевые, исполнение 2, диаметр 27  - 0,0384085т + Болты для рельсовых стыков, диаметр 27 мм, класс 8,8 - 0,004043т + Электросоединители стыковые для трамвайных путей, длина 300 мм, диаметр 20 мм - 0,4043шт. </t>
  </si>
  <si>
    <t xml:space="preserve">305,86м/ Шайбы пружинные путевые, исполнение 2, диаметр 27  - 0,290567т + Болты для рельсовых стыков, диаметр 27 мм, класс 8,8 - 0,030586т + Электросоединители стыковые для трамвайных путей, длина 300 мм, диаметр 20 мм - 3,0586шт. </t>
  </si>
  <si>
    <t xml:space="preserve">25,68м/ Шайбы пружинные путевые, исполнение 2, диаметр 27  - 0,024396т + Болты для рельсовых стыков, диаметр 27 мм, класс 8,8 - 0,002568т + Электросоединители стыковые для трамвайных путей, длина 300 мм, диаметр 20 мм - 0,2568шт. </t>
  </si>
  <si>
    <t>контррельс 339,14м/ Шурупы путевые, размер 24х170 мм - 0,7020198т</t>
  </si>
  <si>
    <t xml:space="preserve">3162,64м/ Шайбы пружинные путевые, исполнение 2, диаметр 27  - 3,004508т + Болты для рельсовых стыков, диаметр 27 мм, класс 8,8 - 0,316264т + Электросоединители стыковые для трамвайных путей, длина 300 мм, диаметр 20 мм - 31,6264шт. </t>
  </si>
  <si>
    <t xml:space="preserve">258,12м/ Шайбы пружинные путевые, исполнение 2, диаметр 27  - 0,245214т + Болты для рельсовых стыков, диаметр 27 мм, класс 8,8 - 0,025812т + Электросоединители стыковые для трамвайных путей, длина 300 мм, диаметр 20 мм - 2,5812шт. </t>
  </si>
  <si>
    <t xml:space="preserve">133,83м/ Шайбы пружинные путевые, исполнение 2, диаметр 27  - 0,1271385т + Болты для рельсовых стыков, диаметр 27 мм, класс 8,8 - 0,013383т + Электросоединители стыковые для трамвайных путей, длина 300 мм, диаметр 20 мм - 1,3383шт. </t>
  </si>
  <si>
    <t xml:space="preserve">173,68м/ Шайбы пружинные путевые, исполнение 2, диаметр 27  - 0,164996т + Болты для рельсовых стыков, диаметр 27 мм, класс 8,8 - 0,017368т + Электросоединители стыковые для трамвайных путей, длина 300 мм, диаметр 20 мм - 1,7368шт. </t>
  </si>
  <si>
    <t xml:space="preserve">617,34м/ Шайбы пружинные путевые, исполнение 2, диаметр 27  - 0,586473т + Болты для рельсовых стыков, диаметр 27 мм, класс 8,8 - 0,061734т + Электросоединители стыковые для трамвайных путей, длина 300 мм, диаметр 20 мм - 6,1734шт. </t>
  </si>
  <si>
    <t>контррельс 630,34м/Шурупы путевые, размер 24х170 мм - 1,3048038т</t>
  </si>
  <si>
    <r>
      <t>Установка охранного рельса</t>
    </r>
    <r>
      <rPr>
        <b/>
        <sz val="12"/>
        <rFont val="Times New Roman"/>
        <family val="1"/>
        <charset val="204"/>
      </rPr>
      <t xml:space="preserve"> Р65</t>
    </r>
    <r>
      <rPr>
        <sz val="12"/>
        <rFont val="Times New Roman"/>
        <family val="1"/>
        <charset val="204"/>
      </rPr>
      <t xml:space="preserve"> -630,34м на шпалах полимерных композитных тип А (на подходах к путепроводу) со скреплением ПКД </t>
    </r>
  </si>
  <si>
    <t>Брус композитный ТУ 22.29.29-002-40409414-2023 по Эпюре 640а</t>
  </si>
  <si>
    <t>Сварка стыков термитным способом (346,5м) и ванным способом</t>
  </si>
  <si>
    <t>Укладка температурных компенсаторов, путевых электросоединений (65м)</t>
  </si>
  <si>
    <t>Укладка температурных компенсаторов 650.00.000 в путь на композитных шпалах со скреплением ПКД с рельсами Р65 НТ-260 (20 комплектов/40 штук) - 65м</t>
  </si>
  <si>
    <t>Укладка верхнего покрытия из крупноразмерных ж.б. плит (10417м2)</t>
  </si>
  <si>
    <t>Укладка плит покрытия трамвайных путей из ж/б плиты путевой (колейной), 1427х3000х170мм (4495,05м2)</t>
  </si>
  <si>
    <t>Укладка плит покрытия трамвайных путей из ж/б плиты боковой, 760х3000 х170 мм (2284,56м2)</t>
  </si>
  <si>
    <t>Укладка плит покрытия трамвайных путей из ж/б плиты междупутной, 1706х3000х170 мм (2646,006м2)</t>
  </si>
  <si>
    <t>Укладка плит покрытия трамвайных путей из ж/б плиты междупутной, 1706х3000х170 мм (747,228м2)</t>
  </si>
  <si>
    <t>По ВОР и в смете площадь 151,389м2, а по материалу в смете=</t>
  </si>
  <si>
    <t>в ВОР и в смете S=</t>
  </si>
  <si>
    <t>м3 в ВОР построчно, а итого 1641,34м3. В смете учтено 1641,34м3. Какой участок ошибочный не понятно</t>
  </si>
  <si>
    <t>в ВОР и в смете 2976м2, а по а по материалу в смете=</t>
  </si>
  <si>
    <t>по расчету учтенного материала =</t>
  </si>
  <si>
    <t>10417м2</t>
  </si>
  <si>
    <t>Укладка плит покрытия трамвайных путей из ж/б плиты путевой (колейной), 1427х3000х170мм (9974,73м2)</t>
  </si>
  <si>
    <t>Укладка плит покрытия трамвайных путей из ж/б плиты боковой, 760х3000 х170 мм (5011,44м2)</t>
  </si>
  <si>
    <t>Укладка плит покрытия трамвайных путей из ж/б плиты междупутной, 1706х3000х170 мм (1699,176м2)</t>
  </si>
  <si>
    <t>Укладка плит покрытия трамвайных путей из ж/б плиты междупутной, 1782х3000х170 мм (3801,006м2)</t>
  </si>
  <si>
    <t>Установка пробок резиновых для плиты КТК/ 0,077*0,044*2100=7,11м2</t>
  </si>
  <si>
    <t>Установка пробок резиновых для плиты БТК/ 0,077*0,044*2004=6,79м2</t>
  </si>
  <si>
    <t>Установка пробок резиновых для плиты МТК/ 0,077*0,044*1034=3,5м2</t>
  </si>
  <si>
    <t>Железобетонные сборные плиты для покрытия трамвайных путей путевых (1427х3000 мм), ТУ 23.61.12-010-02488336-2019/ 1050*1,427*3=4495,05м2</t>
  </si>
  <si>
    <t>Железобетонные сборные плиты для покрытия трамвайных путей боковых (760х3000 мм), ТУ 23.61.12-010-02488336-2019/ 1002*0,76*3=2284,56м2</t>
  </si>
  <si>
    <t>Железобетонные сборные плиты для покрытия трамвайных путей междупутных (1706х3000х170), ТУ 23.61.12-010-02488336-2019/ 517*1,706*3=2646,006м2</t>
  </si>
  <si>
    <t>Плита трамвайная П57 (0,57*0,46*0,12 м) (266,90101м3/ 2381м2)</t>
  </si>
  <si>
    <t>Послеосадочный ремонт трамвайного пути с подъемкой щебня фр. 20-40, кат. II с ж.б. шпалами ШТ-02 (85,52м3)</t>
  </si>
  <si>
    <t>Послеосадочный ремонт трамвайного пути с подъемкой щебня фр. 20-40, кат. II с ж.б. шпалами ШРТ-62Ф (7,69м3)</t>
  </si>
  <si>
    <t>Послеосадочный ремонт трамвайного пути с подъемкой щебня фр. 20-40, кат. II с композитными шпалами в зоне темп. компенсаторов (1,63м3)</t>
  </si>
  <si>
    <t>Послеосадочный ремонт трамвайного пути с подъемкой щебня фр. 20-40, кат. II с композитными шпалами в зоне на подходах к путепроводу (15,43м3)</t>
  </si>
  <si>
    <t>Послеосадочный ремонт трамвайного пути с подъемкой щебня фр. 20-40, кат. II с композитными брусьями на стрелочных переводах (0,79м3)</t>
  </si>
  <si>
    <t>Разборка покрытий примыкания вдоль путей из асфальтобетона (в мусор), h=0,12 м шириной 0,85 м, 88,37м2</t>
  </si>
  <si>
    <t>Послеосадочный ремонт трамвайных путей (4442,26мп)</t>
  </si>
  <si>
    <t>Установка ограничивающего пешеходного ограждения ПО1 на 4-х участках 315,17мп (630секций, 631стойка)</t>
  </si>
  <si>
    <t>Устройство рельсосмазывателя, вкл. стойки для шкафа - 14,6т/шт.</t>
  </si>
  <si>
    <t>Участок по оси 8,9</t>
  </si>
  <si>
    <t>Погрузка грунта насыпной грунт (ИГЭ-Н) плотностью 1,95 т/м3 на автосамосвалы экскаватором емк. ковша 0,50 м3/ 488,03т</t>
  </si>
  <si>
    <t>Транспортировка грунта насыпной грунт (ИГЭ-Н) плотностью 1,95 т/м3  на полигон для захоронения на 20 км/ 250,27м3</t>
  </si>
  <si>
    <r>
      <t xml:space="preserve">Балластировка щебнем на путях, расположенных на обособленном полотне без верхнего покрытия (тип 2.1 ТР1), в том числе: на </t>
    </r>
    <r>
      <rPr>
        <b/>
        <sz val="12"/>
        <rFont val="Times New Roman"/>
        <family val="1"/>
        <charset val="204"/>
      </rPr>
      <t>прямых</t>
    </r>
  </si>
  <si>
    <r>
      <t xml:space="preserve">Балластировка щебнем на путях, расположенных на обособленном полотне с проектным покрытием из плитки трамвайной П57 (тип 4.1 ТР2), в том числе: на </t>
    </r>
    <r>
      <rPr>
        <b/>
        <sz val="12"/>
        <rFont val="Times New Roman"/>
        <family val="1"/>
        <charset val="204"/>
      </rPr>
      <t>кривых</t>
    </r>
  </si>
  <si>
    <t>Верхнее строение пути на шпально-щебеночной конструкции (133,03м2)</t>
  </si>
  <si>
    <r>
      <t>Укладка трамвайного пути на</t>
    </r>
    <r>
      <rPr>
        <b/>
        <sz val="12"/>
        <rFont val="Times New Roman"/>
        <family val="1"/>
        <charset val="204"/>
      </rPr>
      <t xml:space="preserve"> прямы</t>
    </r>
    <r>
      <rPr>
        <sz val="12"/>
        <rFont val="Times New Roman"/>
        <family val="1"/>
        <charset val="204"/>
      </rPr>
      <t xml:space="preserve">х участках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ШРТ-62Ф</t>
    </r>
    <r>
      <rPr>
        <sz val="12"/>
        <rFont val="Times New Roman"/>
        <family val="1"/>
        <charset val="204"/>
      </rPr>
      <t xml:space="preserve"> с с шурупно-дюбельным скреплением - 26шт., рельсы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- 30,66м</t>
    </r>
  </si>
  <si>
    <t>Сварка стыков термитным способом (10,78м) и ванным способом</t>
  </si>
  <si>
    <t>Осуществление контроля качества сварных швов неразрушающим ультразвуковым методом (10,78м)</t>
  </si>
  <si>
    <t>Установка профилей резиновых для рельса РТ62, трамвайного</t>
  </si>
  <si>
    <t>Установка профилей резиновых для рельса Т62, боковой</t>
  </si>
  <si>
    <t>Установка профилей резиновых для рельса Р-62, трамвайного</t>
  </si>
  <si>
    <t>Плита трамвайная П57 (0,57*0,46*0,12 м) (9,1922м3/ 82м2)</t>
  </si>
  <si>
    <t xml:space="preserve">Укладка путевых электросоединений </t>
  </si>
  <si>
    <t>Послеосадочный ремонт трамвайных путей (65,79мп)</t>
  </si>
  <si>
    <t>Послеосадочный ремонт трамвайного пути с подъемкой щебня фр. 20-40, кат. II с ж.б. шпалами ШРТ-62Ф (3,33м3)</t>
  </si>
  <si>
    <t>Участок по оси 10</t>
  </si>
  <si>
    <t>Погрузка грунта насыпной грунт (ИГЭ-Н) плотностью 1,95 т/м3 на автосамосвалы экскаватором емк. ковша 0,50 м3/ 610,66т</t>
  </si>
  <si>
    <t>Транспортировка грунта насыпной грунт (ИГЭ-Н) плотностью 1,95 т/м3  на полигон для захоронения на 20 км/ 313,16м3</t>
  </si>
  <si>
    <t xml:space="preserve">Разработка грунта: супесь (ИГЭ-3) плотностью 1,91 т/м3 бульдозером мощностью (132 кВт) в грунтах II группы </t>
  </si>
  <si>
    <t>Погрузка грунта насыпной грунт (ИГЭ-3) плотностью 1,91 т/м3 на автосамосвалы экскаватором емк. ковша 0,50 м3/ 214,93т</t>
  </si>
  <si>
    <t>Транспортировка грунта насыпной грунт (ИГЭ-3) плотностью 1,91 т/м3  на полигон для захоронения на 20 км/ 112,53м3</t>
  </si>
  <si>
    <t>Верхнее строение пути на шпально-щебеночной конструкции (1033м2)</t>
  </si>
  <si>
    <t>Укладка на слой песка экструзионного пенополистерола (по всей ширине котлована на всем протяжении), XPS Техно НИКОЛЬ CARBON SOLID 500 2400x600x50 L Тип А, толщиной 0,05 м / 51,65м3</t>
  </si>
  <si>
    <r>
      <t xml:space="preserve">Балластировка щебнем на путях, расположенных на обособленном полотне на самостоятельном полотне с верхним покрытием из трамвайной плитки П57 (тип 14.2 ТР5), в том числе: на </t>
    </r>
    <r>
      <rPr>
        <b/>
        <sz val="12"/>
        <rFont val="Times New Roman"/>
        <family val="1"/>
        <charset val="204"/>
      </rPr>
      <t>кривых</t>
    </r>
  </si>
  <si>
    <r>
      <t>Укладка трамвайного пути на</t>
    </r>
    <r>
      <rPr>
        <b/>
        <sz val="12"/>
        <rFont val="Times New Roman"/>
        <family val="1"/>
        <charset val="204"/>
      </rPr>
      <t xml:space="preserve"> прямы</t>
    </r>
    <r>
      <rPr>
        <sz val="12"/>
        <rFont val="Times New Roman"/>
        <family val="1"/>
        <charset val="204"/>
      </rPr>
      <t xml:space="preserve">х участках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ШРТ-62Ф</t>
    </r>
    <r>
      <rPr>
        <sz val="12"/>
        <rFont val="Times New Roman"/>
        <family val="1"/>
        <charset val="204"/>
      </rPr>
      <t xml:space="preserve"> с с шурупно-дюбельным скреплением - 270шт., рельсы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- 321,74м</t>
    </r>
  </si>
  <si>
    <r>
      <t xml:space="preserve">Укладка пути на </t>
    </r>
    <r>
      <rPr>
        <b/>
        <sz val="12"/>
        <rFont val="Times New Roman"/>
        <family val="1"/>
        <charset val="204"/>
      </rPr>
      <t>кривых</t>
    </r>
    <r>
      <rPr>
        <sz val="12"/>
        <rFont val="Times New Roman"/>
        <family val="1"/>
        <charset val="204"/>
      </rPr>
      <t xml:space="preserve"> участках из рельсов трамвайных желобчатых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 гнутьем рель</t>
    </r>
    <r>
      <rPr>
        <sz val="12"/>
        <rFont val="Times New Roman"/>
        <family val="1"/>
        <charset val="204"/>
      </rPr>
      <t xml:space="preserve">с на ж/б шпалах </t>
    </r>
    <r>
      <rPr>
        <b/>
        <sz val="12"/>
        <rFont val="Times New Roman"/>
        <family val="1"/>
        <charset val="204"/>
      </rPr>
      <t>ШРТ62Ф</t>
    </r>
    <r>
      <rPr>
        <sz val="12"/>
        <rFont val="Times New Roman"/>
        <family val="1"/>
        <charset val="204"/>
      </rPr>
      <t xml:space="preserve"> с шурупно-дюб. скреплением -209шт., рельс трамвайный желобчатый РТ62-249,26м</t>
    </r>
  </si>
  <si>
    <t>Сварка стыков термитным способом (12,32м) и ванным способом</t>
  </si>
  <si>
    <t>Укладка температурных компенсаторов, путевых электросоединений (3,25м)</t>
  </si>
  <si>
    <t>Установка профилей резиновых для рельса РТ-62, трамвайного</t>
  </si>
  <si>
    <t>Плита трамвайная П57 (0,57*0,46*0,12 м) (113,6694м3/ 1014м2)</t>
  </si>
  <si>
    <t>Послеосадочный ремонт трамвайных путей (288,75мп)</t>
  </si>
  <si>
    <t>Послеосадочный ремонт трамвайного пути с подъемкой щебня фр. 20-40, кат. II с композитными шпалами в зоне темп. компенсаторов (0,08м3)</t>
  </si>
  <si>
    <t>Послеосадочный ремонт трамвайного пути с подъемкой щебня фр. 20-40, кат. II с ж.б. шпалами ШРТ-62Ф (7,14м3)</t>
  </si>
  <si>
    <t>Участок по оси 11</t>
  </si>
  <si>
    <t>Погрузка грунта насыпной грунт (ИГЭ-Н) плотностью 1,95 т/м3 на автосамосвалы экскаватором емк. ковша 0,50 м3/ 711,91т</t>
  </si>
  <si>
    <t>Транспортировка грунта насыпной грунт (ИГЭ-Н) плотностью 1,95 т/м3  на полигон для захоронения на 20 км/ 365,08м3</t>
  </si>
  <si>
    <t>Верхнее строение пути на шпально-щебеночной конструкции (438м2)</t>
  </si>
  <si>
    <t>XPS Техно НИКОЛЬ CARBON SOLID 500 2400x600x50 L Тип А/ 438м2</t>
  </si>
  <si>
    <t>XPS Техно НИКОЛЬ CARBON SOLID 500 2400x600x50 L Тип А/ 298,13м2</t>
  </si>
  <si>
    <t>Укладка на слой песка экструзионного пенополистерола (по всей ширине котлована на всем протяжении), XPS Техно НИКОЛЬ CARBON SOLID 500 2400x600x50 L Тип А, толщиной 0,05 м / 14,9м3</t>
  </si>
  <si>
    <t>XPS Техно НИКОЛЬ CARBON SOLID 500 2400x600x50 L Тип А/ 14794м2</t>
  </si>
  <si>
    <r>
      <t>Укладка трамвайного пути на</t>
    </r>
    <r>
      <rPr>
        <b/>
        <sz val="12"/>
        <rFont val="Times New Roman"/>
        <family val="1"/>
        <charset val="204"/>
      </rPr>
      <t xml:space="preserve"> прямы</t>
    </r>
    <r>
      <rPr>
        <sz val="12"/>
        <rFont val="Times New Roman"/>
        <family val="1"/>
        <charset val="204"/>
      </rPr>
      <t xml:space="preserve">х участках со скреплением закладными болтами на ж.б. шпалах </t>
    </r>
    <r>
      <rPr>
        <b/>
        <sz val="12"/>
        <rFont val="Times New Roman"/>
        <family val="1"/>
        <charset val="204"/>
      </rPr>
      <t>ШРТ-62Ф</t>
    </r>
    <r>
      <rPr>
        <sz val="12"/>
        <rFont val="Times New Roman"/>
        <family val="1"/>
        <charset val="204"/>
      </rPr>
      <t xml:space="preserve"> с с шурупно-дюбельным скреплением - 74шт., рельсы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- 88,44м</t>
    </r>
  </si>
  <si>
    <t xml:space="preserve">44,22/ Шайбы пружинные путевые, исполнение 2, диаметр 27  - 0,042009т + Болты для рельсовых стыков, диаметр 27 мм, класс 8,8 - 0,004422т + Электросоединители стыковые для трамвайных путей, длина 300 мм, диаметр 20 мм - 0,4422шт. </t>
  </si>
  <si>
    <t xml:space="preserve">15,33м/ Шайбы пружинные путевые, исполнение 2, диаметр 27  - 0,0145635т + Болты для рельсовых стыков, диаметр 27 мм, класс 8,8 - 0,001533т + Электросоединители стыковые для трамвайных путей, длина 300 мм, диаметр 20 мм - 0,1533шт. </t>
  </si>
  <si>
    <t xml:space="preserve">50,46м/ Шайбы пружинные путевые, исполнение 2, диаметр 27  - 0,164996т + Болты для рельсовых стыков, диаметр 27 мм, класс 8,8 - 0,017368т + Электросоединители стыковые для трамвайных путей, длина 300 мм, диаметр 20 мм - 1,7368шт. </t>
  </si>
  <si>
    <t xml:space="preserve">160,87м/ Шайбы пружинные путевые, исполнение 2, диаметр 27  - 0,1528265т + Болты для рельсовых стыков, диаметр 27 мм, класс 8,8 - 0,0016087т + Электросоединители стыковые для трамвайных путей, длина 300 мм, диаметр 20 мм - 1,6087шт. </t>
  </si>
  <si>
    <t xml:space="preserve">124,63м/ Шайбы пружинные путевые, исполнение 2, диаметр 27  - 0,1183985т + Болты для рельсовых стыков, диаметр 27 мм, класс 8,8 - 0,012463т + Электросоединители стыковые для трамвайных путей, длина 300 мм, диаметр 20 мм - 1,2463шт. </t>
  </si>
  <si>
    <r>
      <t xml:space="preserve">Укладка пути на </t>
    </r>
    <r>
      <rPr>
        <b/>
        <sz val="12"/>
        <rFont val="Times New Roman"/>
        <family val="1"/>
        <charset val="204"/>
      </rPr>
      <t>кривых</t>
    </r>
    <r>
      <rPr>
        <sz val="12"/>
        <rFont val="Times New Roman"/>
        <family val="1"/>
        <charset val="204"/>
      </rPr>
      <t xml:space="preserve"> участках из рельсов трамвайных желобчатых </t>
    </r>
    <r>
      <rPr>
        <b/>
        <sz val="12"/>
        <rFont val="Times New Roman"/>
        <family val="1"/>
        <charset val="204"/>
      </rPr>
      <t>РТ62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 гнутьем рель</t>
    </r>
    <r>
      <rPr>
        <sz val="12"/>
        <rFont val="Times New Roman"/>
        <family val="1"/>
        <charset val="204"/>
      </rPr>
      <t xml:space="preserve">с на ж/б шпалах </t>
    </r>
    <r>
      <rPr>
        <b/>
        <sz val="12"/>
        <rFont val="Times New Roman"/>
        <family val="1"/>
        <charset val="204"/>
      </rPr>
      <t>ШРТ62Ф</t>
    </r>
    <r>
      <rPr>
        <sz val="12"/>
        <rFont val="Times New Roman"/>
        <family val="1"/>
        <charset val="204"/>
      </rPr>
      <t xml:space="preserve"> с шурупно-дюб. скреплением -118шт., рельс трамвайный желобчатый РТ62-140,5м</t>
    </r>
  </si>
  <si>
    <t xml:space="preserve">70,25м/ Шайбы пружинные путевые, исполнение 2, диаметр 27  - 0,0667375т + Болты для рельсовых стыков, диаметр 27 мм, класс 8,8 - 0,07025т + Электросоединители стыковые для трамвайных путей, длина 300 мм, диаметр 20 мм - 0,7025шт. </t>
  </si>
  <si>
    <t>Осуществление контроля качества сварных швов неразрушающим ультразвуковым методом (9,12м)</t>
  </si>
  <si>
    <t>Сварка стыков термитным способом (9,24м) и ванным способом</t>
  </si>
  <si>
    <t>Плита трамвайная П57 (0,57*0,46*0,12 м) (152,5681м3/ 1361м2)</t>
  </si>
  <si>
    <t>Щебень М 600, фракция 5(3)-20 мм, группа 2</t>
  </si>
  <si>
    <t>Послеосадочный ремонт трамвайных путей (114,47мп)</t>
  </si>
  <si>
    <t>Послеосадочный ремонт трамвайного пути с подъемкой щебня фр. 20-40, кат. II с ж.б. шпалами ШРТ-62Ф (2,86м3)</t>
  </si>
  <si>
    <t>Укладка на слой песка экструзионного пенополистерола (по всей ширине котлована на всем протяжении), XPS Техно НИКОЛЬ CARBON SOLID 500 2400x600x50 L Тип А, толщ. 0,05 м / 21,9м3</t>
  </si>
  <si>
    <t>Обкатка рельсов</t>
  </si>
  <si>
    <t>Обкатка рельсов при наличие напряжения в КС</t>
  </si>
  <si>
    <t>участок</t>
  </si>
  <si>
    <t>Транспортировка грунта насыпной грунт (ИГЭ-Н) плотностью 1,95 т/м3 на полигон для захоронения на 20 км/ 15144,36м3</t>
  </si>
  <si>
    <t>Транспортировка грунта насыпной грунт (ИГЭ-Н) плотностью 1,95 т/м3 на полигон для захоронения на 20 км/ 569,69м3</t>
  </si>
  <si>
    <t>доп.перевозка</t>
  </si>
  <si>
    <t>Щебень М 600, фракция 5(3)20мм, группа 2</t>
  </si>
  <si>
    <t>Щебень М 1200, фракция 20-40мм, группа 2</t>
  </si>
  <si>
    <t>Наименование работ (затрат)</t>
  </si>
  <si>
    <r>
      <t xml:space="preserve">ТЕКУЩАЯ </t>
    </r>
    <r>
      <rPr>
        <b/>
        <sz val="11"/>
        <color rgb="FFFF0000"/>
        <rFont val="Times New Roman"/>
        <family val="1"/>
        <charset val="204"/>
      </rPr>
      <t>сметная</t>
    </r>
    <r>
      <rPr>
        <b/>
        <sz val="11"/>
        <color theme="1"/>
        <rFont val="Times New Roman"/>
        <family val="1"/>
        <charset val="204"/>
      </rPr>
      <t xml:space="preserve"> стоимость, руб.
(без НДС)</t>
    </r>
  </si>
  <si>
    <r>
      <t xml:space="preserve">Стоимость  </t>
    </r>
    <r>
      <rPr>
        <b/>
        <sz val="11"/>
        <color rgb="FFFF0000"/>
        <rFont val="Times New Roman"/>
        <family val="1"/>
        <charset val="204"/>
      </rPr>
      <t>КП Подрядчика</t>
    </r>
    <r>
      <rPr>
        <b/>
        <sz val="11"/>
        <color theme="1"/>
        <rFont val="Times New Roman"/>
        <family val="1"/>
        <charset val="204"/>
      </rPr>
      <t xml:space="preserve">, руб.
(без НДС) </t>
    </r>
  </si>
  <si>
    <t>Стоимость 
СМР</t>
  </si>
  <si>
    <t>Стоимость 
МТР</t>
  </si>
  <si>
    <t>Стоимость 
ИТОГО</t>
  </si>
  <si>
    <t>ВСЕГО</t>
  </si>
  <si>
    <t>Справосно: по смете    2 165 222 425,77р</t>
  </si>
  <si>
    <t>ИТОГО по разделу Перегон по оси 1,2</t>
  </si>
  <si>
    <t>ИТОГО по разделу Перегон по оси 3</t>
  </si>
  <si>
    <t>ИТОГО по разделу Участок по оси 4,5</t>
  </si>
  <si>
    <t>Дополнительная перевозка</t>
  </si>
  <si>
    <t>ИТОГО по разделу Участок по оси 3</t>
  </si>
  <si>
    <t>ИТОГО по разделу Участок по оси 6,7 (пк0+00,00 – пк7+68,885)</t>
  </si>
  <si>
    <t>ИТОГО по разделу Участок по оси 8,9</t>
  </si>
  <si>
    <t>ИТОГО по разделу Участок по оси 6,7 (пк8+79,70 – пк31+00,83)</t>
  </si>
  <si>
    <t>ИТОГО по разделу Участок по оси 6,7  (пк8+79,70 – пк31+00,83)</t>
  </si>
  <si>
    <t>ИТОГО по разделу Участок по оси 10</t>
  </si>
  <si>
    <t>ИТОГО по разделу Участок по оси 11</t>
  </si>
  <si>
    <t>ИТОГО по ТРАМВАЙНЫЕ ПУТИ (без НДС)</t>
  </si>
  <si>
    <t>ИТОГО по разделу Обкатка рельс</t>
  </si>
  <si>
    <t>ИТОГО  МАТЕРИАЛЫ  по ТРАМВАЙНЫЕ ПУТИ (без НДС)</t>
  </si>
  <si>
    <t>Трамвайные пути</t>
  </si>
  <si>
    <t>Строительство остановочных пунктов (0484ГП.09-3-ИЛО)</t>
  </si>
  <si>
    <t>Справочно: по смете   71 944 324,09р</t>
  </si>
  <si>
    <t>Планировка территории насыпи бульдозером</t>
  </si>
  <si>
    <t>Установка остановочного павильона «Стандарт Трамвая без табло прибытия» Тип 3.1.1-Т.D.0 (заводского изготовления) (6шт.)</t>
  </si>
  <si>
    <t>Устройство основания под остановочные комплексы</t>
  </si>
  <si>
    <t xml:space="preserve"> Устройство песчаной подсыпки h=200 мм </t>
  </si>
  <si>
    <t xml:space="preserve">Устройство бетонной подготовки h=100 мм из бетона В 7,5 </t>
  </si>
  <si>
    <t xml:space="preserve">Устройство железобетонной плиты h=0,15 м из бетона B25, F150 W4 </t>
  </si>
  <si>
    <t>работы есть в ВОР, но нет в смете (СО нет для сверки материалов)</t>
  </si>
  <si>
    <t>Устройство покрытия под остановочные комплексы</t>
  </si>
  <si>
    <t xml:space="preserve">Устройство цементно-песчаной стяжки М-150 h=0,05 м под тротуарную плитку </t>
  </si>
  <si>
    <t xml:space="preserve">Устройство тротуарной бетонной плитки остановочного павильона типа "Брусчатка" h=0,07 м </t>
  </si>
  <si>
    <r>
      <t xml:space="preserve">Установка остановочного павильона «Стандарт Трамвая без табло прибытия» Тип 3.1.1-Т.D.0 (заводского изготовления) на готовое основание - </t>
    </r>
    <r>
      <rPr>
        <b/>
        <sz val="12"/>
        <rFont val="Times New Roman"/>
        <family val="1"/>
        <charset val="204"/>
      </rPr>
      <t>10,2т</t>
    </r>
  </si>
  <si>
    <t>Установка остановочного павильона «Стандарт Трамвая без табло прибытия» Тип 3.0.0-Т.С.0 (заводского изготовления) (16 шт)</t>
  </si>
  <si>
    <t>Устройство железобетонной плиты h=0,15 м из бетона B25, F150 W4 (9,8м2)</t>
  </si>
  <si>
    <r>
      <t xml:space="preserve">Устройство цементно-песчаной стяжки М-150 </t>
    </r>
    <r>
      <rPr>
        <b/>
        <sz val="12"/>
        <rFont val="Times New Roman"/>
        <family val="1"/>
        <charset val="204"/>
      </rPr>
      <t>h=0,05</t>
    </r>
    <r>
      <rPr>
        <sz val="12"/>
        <rFont val="Times New Roman"/>
        <family val="1"/>
      </rPr>
      <t xml:space="preserve"> м под тротуарную плитку (9,8м2 * 0,05)</t>
    </r>
  </si>
  <si>
    <r>
      <t>Устройство тротуарной бетонной плитки остановочного павильона типа "Брусчатка"</t>
    </r>
    <r>
      <rPr>
        <b/>
        <sz val="12"/>
        <rFont val="Times New Roman"/>
        <family val="1"/>
        <charset val="204"/>
      </rPr>
      <t xml:space="preserve"> h=0,07 м </t>
    </r>
  </si>
  <si>
    <r>
      <t xml:space="preserve">Установка остановочного павильона «Стандарт Трамвая без табло прибытия» Тип 3.1.1-Т.D.0 (заводского изготовления) на готовое основание - </t>
    </r>
    <r>
      <rPr>
        <b/>
        <sz val="12"/>
        <rFont val="Times New Roman"/>
        <family val="1"/>
        <charset val="204"/>
      </rPr>
      <t>27,2т</t>
    </r>
  </si>
  <si>
    <t>Устройство остановочных платформ</t>
  </si>
  <si>
    <t>Устройство бортового камня БР 100.45.18 по периметру остановочных платформ</t>
  </si>
  <si>
    <t>п.м.</t>
  </si>
  <si>
    <t>из расценки искл.бетон 66м3 на подливку пазух, а доб 105м3, кот должен пойти на основание</t>
  </si>
  <si>
    <t>Устройство бортового камня БР 100.60.20 по периметру остановочных платформ</t>
  </si>
  <si>
    <t>Уплотнение грунта пневматическими трамбовками</t>
  </si>
  <si>
    <t>Устройство подстилающих и выравнивающих слоев оснований: из песка</t>
  </si>
  <si>
    <t>Устройство бетонного основания из бетона марки В7,5 F100 под бортовой камень остановочных платформ</t>
  </si>
  <si>
    <t>в ВОР из бетона марки В15 F100 - 77,65м3</t>
  </si>
  <si>
    <t>Армирование подстилающих слоев и набетонок (вес сетки 2кг/м2)</t>
  </si>
  <si>
    <r>
      <t xml:space="preserve">Устройство цементно-песчаной стяжки из бетона М-150 </t>
    </r>
    <r>
      <rPr>
        <b/>
        <sz val="12"/>
        <rFont val="Times New Roman"/>
        <family val="1"/>
        <charset val="204"/>
      </rPr>
      <t xml:space="preserve">h=0,05 </t>
    </r>
    <r>
      <rPr>
        <sz val="12"/>
        <rFont val="Times New Roman"/>
        <family val="1"/>
        <charset val="204"/>
      </rPr>
      <t>м под тротуарную плитку (53,63м3)</t>
    </r>
  </si>
  <si>
    <r>
      <t xml:space="preserve">Устройство тротуарной бетонной плитки остановочных платформ типа "Брусчатка" </t>
    </r>
    <r>
      <rPr>
        <b/>
        <sz val="12"/>
        <rFont val="Times New Roman"/>
        <family val="1"/>
        <charset val="204"/>
      </rPr>
      <t>h=0,07 м</t>
    </r>
    <r>
      <rPr>
        <sz val="12"/>
        <rFont val="Times New Roman"/>
        <family val="1"/>
        <charset val="204"/>
      </rPr>
      <t xml:space="preserve"> (75,08м3)</t>
    </r>
  </si>
  <si>
    <t>Резка тротуарной бетонной плитки остановочных платформ типа "Брусчатка" h=0,07 м</t>
  </si>
  <si>
    <t>Устройство пандуса остановочной платформы</t>
  </si>
  <si>
    <t>Уплотнение грунта земляного полотна пневмотрамбовками, h=0,10 м</t>
  </si>
  <si>
    <t>Устройство песчаной подсыпки h=0,20 м под пандусы остановочных платформ</t>
  </si>
  <si>
    <t>Устройство монолитного бетона В7.5 F100 h=0,15 м с армированнием сеткой Вр4 100х100</t>
  </si>
  <si>
    <t>Устройство бетонного основания из бетона марки В15 под бортовой камень пандусов остановочных платформ</t>
  </si>
  <si>
    <t>Устройство бортового камня БР 100.45.18 пандусов остановочных платформ</t>
  </si>
  <si>
    <r>
      <t xml:space="preserve">Устройство цементно-песчаной стяжки из бетона М-150 </t>
    </r>
    <r>
      <rPr>
        <b/>
        <sz val="12"/>
        <rFont val="Times New Roman"/>
        <family val="1"/>
        <charset val="204"/>
      </rPr>
      <t xml:space="preserve">h=0,05 </t>
    </r>
    <r>
      <rPr>
        <sz val="12"/>
        <rFont val="Times New Roman"/>
        <family val="1"/>
        <charset val="204"/>
      </rPr>
      <t>м ппод тротуарную
плитку под пандусы остановочных платформ (15,63м3)</t>
    </r>
  </si>
  <si>
    <r>
      <t xml:space="preserve">Устройство тротуарной бетонной плитки пандусов остановочных платформ типа "Брусчатка" </t>
    </r>
    <r>
      <rPr>
        <b/>
        <sz val="12"/>
        <rFont val="Times New Roman"/>
        <family val="1"/>
        <charset val="204"/>
      </rPr>
      <t>h=0,07 м</t>
    </r>
    <r>
      <rPr>
        <sz val="12"/>
        <rFont val="Times New Roman"/>
        <family val="1"/>
        <charset val="204"/>
      </rPr>
      <t xml:space="preserve"> (21,89м3)</t>
    </r>
  </si>
  <si>
    <t>ИТОГО Строительство остановочных пунктов (0484ГП.09-3-ИЛО) (без НДС), в том числе</t>
  </si>
  <si>
    <t>СМР</t>
  </si>
  <si>
    <t>Вынос осей</t>
  </si>
  <si>
    <t>Установка остановочного павильона «Стандарт Трамвая без табло прибытия» Тип 3.1.1-Т.D.0</t>
  </si>
  <si>
    <t>Песок природный II класс, повышенной крупности, круглые сита</t>
  </si>
  <si>
    <t>Смеси бетонные тяжелого бетона (БСТ), класс B7,5 (М100)</t>
  </si>
  <si>
    <t>Смеси сухие монтажно-кладочные цементно-песчаные, B12,5 (М150), F100, крупность заполнителя не более 3,5 мм (расход 1,8-2,0 кг/м2 при толщине слоя 1 мм)</t>
  </si>
  <si>
    <t>Плиты бетонные тротуарные, толщина 70 мм, цвет серый</t>
  </si>
  <si>
    <t>Остановочный павильон «Стандарт Трамвая без табло прибытия» Тип 3.1.1-Т.D.0.Т1 ТУ 27.90.11-010-20938524-2023</t>
  </si>
  <si>
    <t>Установка остановочного павильона «Стандарт Трамвая без табло прибытия» Тип 3.0.0-Т.С.0</t>
  </si>
  <si>
    <t>Остановочный павильон «Стандарт Трамвая без табло прибытия» Тип 3.0.0-С.0.Т1 ТУ 27.90.11-010-20938524-2023</t>
  </si>
  <si>
    <t>Сетка сварная из арм. проволоки без покрытия, диам. проволоки 4мм, яч.100х100мм (вес сетки 2кг/м2)</t>
  </si>
  <si>
    <t>Смеси бетонные тяжелого бетона (БСТ), класс B15 (М100)</t>
  </si>
  <si>
    <t>Камни бортовые бетонные, марка 400 (БР 100-45-18) (1125*0,45*0,2*1=91,125м3)</t>
  </si>
  <si>
    <t>Камни бортовые бетонные, марка 400 (БР 100-60-20) ((78+372)*0,6*0,2*1=9,36м3 + 30,132м3)</t>
  </si>
  <si>
    <t>ИТОГО Строительство остановочных пунктов (0484ГП.09-3-ИЛО) (без НДС)</t>
  </si>
  <si>
    <t>Автоматизация и электрообогрев стрелочных переводов</t>
  </si>
  <si>
    <t>Узел 1 (Проспект Октября - улица Чкалова)</t>
  </si>
  <si>
    <t xml:space="preserve">Строительные работы  </t>
  </si>
  <si>
    <r>
      <t>Разработка грунта вручную в траншеях без креплений с откосами, гр. гр.: 2 (</t>
    </r>
    <r>
      <rPr>
        <b/>
        <sz val="12"/>
        <rFont val="Times New Roman"/>
        <family val="1"/>
        <charset val="204"/>
      </rPr>
      <t>для кабельных линий</t>
    </r>
    <r>
      <rPr>
        <sz val="12"/>
        <rFont val="Times New Roman"/>
        <family val="1"/>
      </rPr>
      <t>)</t>
    </r>
  </si>
  <si>
    <r>
      <t>Погрузка неуплотненного грунта (</t>
    </r>
    <r>
      <rPr>
        <b/>
        <sz val="12"/>
        <rFont val="Times New Roman"/>
        <family val="1"/>
        <charset val="204"/>
      </rPr>
      <t>непригодного для обратной засыпки</t>
    </r>
    <r>
      <rPr>
        <sz val="12"/>
        <rFont val="Times New Roman"/>
        <family val="1"/>
      </rPr>
      <t xml:space="preserve">) в транспортные средства для вывоза </t>
    </r>
    <r>
      <rPr>
        <b/>
        <sz val="12"/>
        <rFont val="Times New Roman"/>
        <family val="1"/>
        <charset val="204"/>
      </rPr>
      <t>на полигон (20 км)</t>
    </r>
  </si>
  <si>
    <r>
      <t xml:space="preserve">Перевозка неуплотненного грунта (непригодного для обратной засыпки) на </t>
    </r>
    <r>
      <rPr>
        <b/>
        <sz val="12"/>
        <rFont val="Times New Roman"/>
        <family val="1"/>
        <charset val="204"/>
      </rPr>
      <t>полигон (20 км)</t>
    </r>
  </si>
  <si>
    <r>
      <rPr>
        <sz val="12"/>
        <rFont val="Times New Roman"/>
        <family val="1"/>
      </rPr>
      <t>т</t>
    </r>
  </si>
  <si>
    <r>
      <t xml:space="preserve">Погрузка неуплотненного грунта (пригодного для обратной засыпки) в транспортные средства для вывоза </t>
    </r>
    <r>
      <rPr>
        <b/>
        <sz val="12"/>
        <rFont val="Times New Roman"/>
        <family val="1"/>
        <charset val="204"/>
      </rPr>
      <t>во временный отвал на площадке складирования (1 км)</t>
    </r>
    <r>
      <rPr>
        <sz val="12"/>
        <rFont val="Times New Roman"/>
        <family val="1"/>
      </rPr>
      <t>, группа грунтов: 2</t>
    </r>
  </si>
  <si>
    <r>
      <t>Перевозка неуплотненного грунта (пригодного для обратной засыпки)</t>
    </r>
    <r>
      <rPr>
        <b/>
        <sz val="12"/>
        <rFont val="Times New Roman"/>
        <family val="1"/>
        <charset val="204"/>
      </rPr>
      <t xml:space="preserve"> во временный отвал на площадке складирования (1 км)</t>
    </r>
  </si>
  <si>
    <t>Укладка трубопроводов из хризотилцементных безнапорных труб диаметром: 150 мм</t>
  </si>
  <si>
    <r>
      <rPr>
        <sz val="12"/>
        <rFont val="Times New Roman"/>
        <family val="1"/>
      </rPr>
      <t>м</t>
    </r>
  </si>
  <si>
    <t>Устройство трубопроводов из полиэтиленовых труб: до 2 отверстий</t>
  </si>
  <si>
    <t>Засыпка песка вручную под трубопроводы из полиэтиленовых труб, группа грунтов: 1</t>
  </si>
  <si>
    <t>Устройство трубопроводов из полиэтиленовых труб: более 2 отверстий</t>
  </si>
  <si>
    <t>Протаскивание в футляр полиэтиленовых труб диаметром: 40 мм</t>
  </si>
  <si>
    <r>
      <rPr>
        <sz val="12"/>
        <rFont val="Times New Roman"/>
        <family val="1"/>
      </rPr>
      <t>Протаскивание в футляр полиэтиленовых труб диаметром: 32 мм</t>
    </r>
  </si>
  <si>
    <r>
      <rPr>
        <sz val="12"/>
        <rFont val="Times New Roman"/>
        <family val="1"/>
      </rPr>
      <t>Установка заглушек диаметром трубопроводов: 50 мм</t>
    </r>
  </si>
  <si>
    <r>
      <rPr>
        <sz val="12"/>
        <rFont val="Times New Roman"/>
        <family val="1"/>
      </rPr>
      <t>шт.</t>
    </r>
  </si>
  <si>
    <r>
      <rPr>
        <sz val="12"/>
        <rFont val="Times New Roman"/>
        <family val="1"/>
      </rPr>
      <t>Монтаж соединительной муфты для трубопроводов из полиэтиленовых труб диаметром: до 50 мм</t>
    </r>
  </si>
  <si>
    <t>Засыпка вручную трубопроводов из полиэтиленовых труб песком (для кабельных линий)</t>
  </si>
  <si>
    <r>
      <t>Погрузка неуплотненного грунта (пригодного для обратной засыпки) в транспортные средства для вывоза</t>
    </r>
    <r>
      <rPr>
        <b/>
        <sz val="12"/>
        <rFont val="Times New Roman"/>
        <family val="1"/>
        <charset val="204"/>
      </rPr>
      <t xml:space="preserve"> из временного отвала площадки складирования на объект производства работ (1 км)</t>
    </r>
  </si>
  <si>
    <r>
      <rPr>
        <sz val="12"/>
        <rFont val="Times New Roman"/>
        <family val="1"/>
      </rPr>
      <t xml:space="preserve">Перевозка неуплотненного грунта (пригодного для обратной засыпки) в транспортных средствах </t>
    </r>
    <r>
      <rPr>
        <b/>
        <sz val="12"/>
        <rFont val="Times New Roman"/>
        <family val="1"/>
        <charset val="204"/>
      </rPr>
      <t>из временного отвала площадки складирования на объект производства работ (1 км)</t>
    </r>
  </si>
  <si>
    <r>
      <rPr>
        <sz val="12"/>
        <rFont val="Times New Roman"/>
        <family val="1"/>
      </rPr>
      <t>Засыпка вручную траншей, пазух котлованов и ям, группа грунтов: 2 (для кабельных линий)</t>
    </r>
  </si>
  <si>
    <r>
      <rPr>
        <sz val="12"/>
        <rFont val="Times New Roman"/>
        <family val="1"/>
      </rPr>
      <t>Уплотнение грунта пневматическими трамбовками, группа грунтов: 1-2 (для кабельных линий)</t>
    </r>
  </si>
  <si>
    <r>
      <t xml:space="preserve">Разработка грунта вручную в траншеях, гр. грунтов: 2 </t>
    </r>
    <r>
      <rPr>
        <b/>
        <sz val="12"/>
        <rFont val="Times New Roman"/>
        <family val="1"/>
        <charset val="204"/>
      </rPr>
      <t>(для горизонтального заземлителя)</t>
    </r>
  </si>
  <si>
    <r>
      <t>Погрузка неуплотненного грунта (пригодного для обратной засыпки) в транспортные средства</t>
    </r>
    <r>
      <rPr>
        <b/>
        <sz val="12"/>
        <rFont val="Times New Roman"/>
        <family val="1"/>
        <charset val="204"/>
      </rPr>
      <t xml:space="preserve"> для вывоза во временный отвал на площадке складирования (1 км)</t>
    </r>
  </si>
  <si>
    <r>
      <rPr>
        <sz val="12"/>
        <rFont val="Times New Roman"/>
        <family val="1"/>
      </rPr>
      <t xml:space="preserve">Перевозка неуплотненного грунта (пригодного для обратной засыпки) в транспортных средствах </t>
    </r>
    <r>
      <rPr>
        <b/>
        <sz val="12"/>
        <rFont val="Times New Roman"/>
        <family val="1"/>
        <charset val="204"/>
      </rPr>
      <t>во временный отвал на площадке складирования (1 км)</t>
    </r>
  </si>
  <si>
    <r>
      <rPr>
        <sz val="12"/>
        <rFont val="Times New Roman"/>
        <family val="1"/>
      </rPr>
      <t xml:space="preserve">Погрузка неуплотненного грунта (пригодного для обратной засыпки) в транспортные средства для вывоза </t>
    </r>
    <r>
      <rPr>
        <b/>
        <sz val="12"/>
        <rFont val="Times New Roman"/>
        <family val="1"/>
        <charset val="204"/>
      </rPr>
      <t>из временного отвала площадки складирования на объект производства работ (1 км</t>
    </r>
    <r>
      <rPr>
        <sz val="12"/>
        <rFont val="Times New Roman"/>
        <family val="1"/>
      </rPr>
      <t>)</t>
    </r>
  </si>
  <si>
    <t>Засыпка вручную траншей для горизонтального заземлителя</t>
  </si>
  <si>
    <t>Уплотнение грунта пневматическими трамбовками (для горизонтального заземлителя)</t>
  </si>
  <si>
    <t>Монтажные работы</t>
  </si>
  <si>
    <t>Монтаж на опоре контактной сети металлорукава диаметром 50 мм</t>
  </si>
  <si>
    <t>Прокладка кабеля в трубах ССД-Пайп, хризолитоцементных (КГ ХЛ 1х25-0,66 кВ -77м, КГ-ХЛ 2х4 -142м, ПвВГ 5х1.5-1 кВ - 43м, КВВГЭ-ХЛ 27х0,75 - 43м, F-CY-OZ (LiY-CY) 3x0,75 - 142м)</t>
  </si>
  <si>
    <t>Заземлитель вертикальный из круглой стали диам.: 16 мм (60 шт. по 3 м длина заземлителя * 3 к-та)</t>
  </si>
  <si>
    <r>
      <t>Заземлитель горизонтальный из стали: полосовой сечением 160 мм</t>
    </r>
    <r>
      <rPr>
        <vertAlign val="superscript"/>
        <sz val="12"/>
        <rFont val="Times New Roman"/>
        <family val="1"/>
        <charset val="204"/>
      </rPr>
      <t>2</t>
    </r>
  </si>
  <si>
    <t>Проводник заземляющий из провода ПуГВ 1х10-450 открыто по строительным основаниям</t>
  </si>
  <si>
    <r>
      <rPr>
        <sz val="12"/>
        <rFont val="Times New Roman"/>
        <family val="1"/>
      </rPr>
      <t>Электропривод на одну трамвайную стрелку</t>
    </r>
  </si>
  <si>
    <t>Монтаж датчика температуры рельса</t>
  </si>
  <si>
    <r>
      <rPr>
        <sz val="12"/>
        <rFont val="Times New Roman"/>
        <family val="1"/>
      </rPr>
      <t>Монтаж ТЭН электрообогрева 600 VDC</t>
    </r>
  </si>
  <si>
    <t>Монтаж хомута на опоре и анкерный</t>
  </si>
  <si>
    <r>
      <rPr>
        <sz val="12"/>
        <rFont val="Times New Roman"/>
        <family val="1"/>
      </rPr>
      <t>Изоляторы секционные для: трамвая</t>
    </r>
  </si>
  <si>
    <t>в ВОР 72шт.</t>
  </si>
  <si>
    <r>
      <t xml:space="preserve">Монтаж поперечины из тросса длиной до 30м </t>
    </r>
    <r>
      <rPr>
        <b/>
        <sz val="12"/>
        <rFont val="Times New Roman"/>
        <family val="1"/>
        <charset val="204"/>
      </rPr>
      <t xml:space="preserve">(23шт.) </t>
    </r>
    <r>
      <rPr>
        <sz val="12"/>
        <rFont val="Times New Roman"/>
        <family val="1"/>
        <charset val="204"/>
      </rPr>
      <t>и до 60м -</t>
    </r>
    <r>
      <rPr>
        <b/>
        <sz val="12"/>
        <rFont val="Times New Roman"/>
        <family val="1"/>
        <charset val="204"/>
      </rPr>
      <t xml:space="preserve"> (4шт.) </t>
    </r>
    <r>
      <rPr>
        <sz val="12"/>
        <rFont val="Times New Roman"/>
        <family val="1"/>
        <charset val="204"/>
      </rPr>
      <t xml:space="preserve">(канат ст. спиральный, 7-жил. типа ЛК-0, д. 6,8 мм) </t>
    </r>
  </si>
  <si>
    <t>Установка салазок сериесных для автоматической стрелки трамвая</t>
  </si>
  <si>
    <t>Монтаж контакта воздушного блокирующего</t>
  </si>
  <si>
    <t>Зажим наборный без кожуха (Зажим концевой клиновой - 64шт., Зажим ЗПО - 7шт.)</t>
  </si>
  <si>
    <t>Монтаж подвеса пластикового и подвешивание кабеля (ППРСВМ 1х6- 22м +  Кабель ППРСВМ 1х4  - 574м +  КИС-П 3х2х0,78 - 137м + КИС-П 5х2х0,78 - 664м)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</si>
  <si>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</si>
  <si>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Прокладка кабеля в проложенных трубах (спуски кабеля в гофрированной ПВХ, металлорукаве) (ППРСВМ 1х6 - 107м +  Кабель ППРСВМ 1х4  - 192м +  КИС-П 3х2х0,78 - 48м + КИС-П 5х2х0,78 - 372м + ПбПНГ(А)-HF 3х2,5 - 10м)</t>
  </si>
  <si>
    <t>Монтаж БРП-Т на тросе с настройкой приемо-передающего оборудования</t>
  </si>
  <si>
    <t>Монтаж БРП-М на опоре с настройкой приемо-передающего оборудования</t>
  </si>
  <si>
    <t>Вырезка отверстий размером 50 х 50 мм в опоре КС</t>
  </si>
  <si>
    <t>Монтаж МПУ</t>
  </si>
  <si>
    <t>Монтаж шкафа ШУО, разделка и  ввод кабеля (1 ввод/ 1шкаф)</t>
  </si>
  <si>
    <t>Монтаж шкафа ШУСП-М и  ввод кабеля (1 ввод/ 1шкаф)</t>
  </si>
  <si>
    <r>
      <t>Шкаф связи и контроля</t>
    </r>
    <r>
      <rPr>
        <sz val="12"/>
        <rFont val="Times New Roman"/>
        <family val="1"/>
        <charset val="204"/>
      </rPr>
      <t xml:space="preserve"> (ШС-01-1)</t>
    </r>
  </si>
  <si>
    <t>Разводка по устройствам и подключение жил кабелей по шкафам ШУСП-М</t>
  </si>
  <si>
    <t>Вырезка отверстий размером 150 х 200 мм в опоре контактной сети (прим. к шкафу ШУСП-М)</t>
  </si>
  <si>
    <t>Разводка по устройствам и подключение жил кабелей по шкафам ШУО</t>
  </si>
  <si>
    <r>
      <rPr>
        <sz val="12"/>
        <rFont val="Times New Roman"/>
        <family val="1"/>
      </rPr>
      <t>Вырезка отверстий размером 100 х 200 мм в опоре контактной сети (прим. к шкафу ШУО)</t>
    </r>
  </si>
  <si>
    <r>
      <t>Муфта соединительная эпоксидная для 3-4- жильного кабеля напряжением: до 10кВ, сеч. жил до 185мм</t>
    </r>
    <r>
      <rPr>
        <vertAlign val="superscript"/>
        <sz val="12"/>
        <color rgb="FFFF0000"/>
        <rFont val="Times New Roman"/>
        <family val="1"/>
      </rPr>
      <t>2</t>
    </r>
  </si>
  <si>
    <t>нет работ в смете (нет СО для проверки)</t>
  </si>
  <si>
    <t>Монтаж термоусаживаемой манжеты из трубки для кабеля (трубка ТТК)</t>
  </si>
  <si>
    <t>Установка защитных кожухов для герметизации проходов кабеля в ШУСП-М и ШУО</t>
  </si>
  <si>
    <t>Монтаж блока ПКС-600/220-3М к опоре КС</t>
  </si>
  <si>
    <t xml:space="preserve">Монтаж блока ШКС-1 к опоре КС </t>
  </si>
  <si>
    <t>Вырезка отверстий размером 100 х 100 мм в опоре КС (прим. к устройствам верхнего уровня)</t>
  </si>
  <si>
    <t xml:space="preserve">Пусконаладочные работы </t>
  </si>
  <si>
    <t>Агрегат, включающий в себя механизмы, связанные между собой блокировочными связями, смонтированные: на месте, в количестве до 2 шт. (прим. стрелочный привод)</t>
  </si>
  <si>
    <r>
      <rPr>
        <sz val="12"/>
        <rFont val="Times New Roman"/>
        <family val="1"/>
      </rPr>
      <t>комплект</t>
    </r>
  </si>
  <si>
    <t>Функциональная группа управления аналоговая бесконтактная с общим числом элементов и органов настройки: до 10 (прим. шкаф ШУО)</t>
  </si>
  <si>
    <t>Функциональная группа управления аналоговая бесконтактная с общим числом элементов и органов настройки: до 20 (прим. шкаф ШУСП-М)</t>
  </si>
  <si>
    <t>ИТОГО по разделу "Узел 1 (Проспект Октября - улица Чкалова)" (без НДС)</t>
  </si>
  <si>
    <t>Узел 2 (Разворотное кольцо ул. Чкалова)</t>
  </si>
  <si>
    <t>Прокладка кабеля в трубах ССД-Пайп, хризолитоцементных (КГ ХЛ 1х25-0,66 кВ -20м, КГ-ХЛ 2х4 -36м, ПвВГ 5х1.5-1 кВ - 12м, КВВГЭ-ХЛ 27х0,75 - 12м, F-CY-OZ (LiY-CY) 3x0,75 - 36м)</t>
  </si>
  <si>
    <t>Заземлитель вертикальный из круглой стали диам.: 16 мм (10 шт. по 3 м длина заземлителя * 2 к-та)</t>
  </si>
  <si>
    <r>
      <t>Монтаж поперечины из тросса длиной до 30м (канат ст. спиральный, 7-жил. типа ЛК-0, д. 6,8 мм)  -</t>
    </r>
    <r>
      <rPr>
        <b/>
        <sz val="12"/>
        <rFont val="Times New Roman"/>
        <family val="1"/>
        <charset val="204"/>
      </rPr>
      <t xml:space="preserve"> 174м</t>
    </r>
  </si>
  <si>
    <t>Зажим наборный без кожуха (Зажим концевой клиновой - 16шт., Зажим ЗПО - 3шт.)</t>
  </si>
  <si>
    <t>Монтаж подвеса пластикового и подвешивание кабеля (ППРСВМ 1х6- 9м +  Кабель ППРСВМ 1х4  - 166м +  КИС-П 3х2х0,78 - 43м + КИС-П 5х2х0,78 - 234м)</t>
  </si>
  <si>
    <t>Прокладка кабеля в проложенных трубах (спуски кабеля в гофрированной ПВХ, металлорукаве) (ППРСВМ 1х6 - 43м +  Кабель ППРСВМ 1х4  - 64м +  КИС-П 3х2х0,78 - 16м + КИС-П 5х2х0,78 - 148м + ПбПНГ(А)-HF 3х2,5 - 10м)</t>
  </si>
  <si>
    <t>Вырезка отверстий размером 150 х 200 мм в опоре контактной сети (к шкафу ШУСП-М)</t>
  </si>
  <si>
    <t>Вырезка отверстий размером 100 х 200 мм в опоре контактной сети (к шкафу ШУО)</t>
  </si>
  <si>
    <t>ИТОГО по разделу "Узел 2 (Разворотное кольцо ул. Чкалова)" (без НДС)</t>
  </si>
  <si>
    <t>Узел 3 Разворотное кольцо №1 проспект Октября</t>
  </si>
  <si>
    <t>Строительные работы</t>
  </si>
  <si>
    <t>Прокладка кабеля в трубах ССД-Пайп, хризолитоцементных (КГ ХЛ 1х25-0,66 кВ -26м, КГ-ХЛ 2х4 -48м, ПвВГ 5х1.5-1 кВ - 10м, КВВГЭ-ХЛ 27х0,75 - 10м, F-CY-OZ (LiY-CY) 3x0,75 - 48м)</t>
  </si>
  <si>
    <r>
      <t>Монтаж поперечины из тросса длиной 30м-60м (канат ст. спиральный, 7-жил. типа ЛК-0, д. 6,8 мм)  -</t>
    </r>
    <r>
      <rPr>
        <b/>
        <sz val="12"/>
        <rFont val="Times New Roman"/>
        <family val="1"/>
        <charset val="204"/>
      </rPr>
      <t xml:space="preserve"> 178м</t>
    </r>
  </si>
  <si>
    <t>Зажим наборный без кожуха (Зажим концевой клиновой - 24шт., Зажим ЗПО - 3шт.)</t>
  </si>
  <si>
    <t>Монтаж подвеса пластикового и подвешивание кабеля (ППРСВМ 1х6- 10м +  Кабель ППРСВМ 1х4  - 172м +  КИС-П 3х2х0,78 - 38м + КИС-П 5х2х0,78 - 117м)</t>
  </si>
  <si>
    <t>ИТОГО по разделу "Узел 3 (Разворотное кольцо №1 проспект Октября)" (без НДС)</t>
  </si>
  <si>
    <t>Узел 4 (Разворотное кольцо №2 проспект Октября)</t>
  </si>
  <si>
    <t>Прокладка кабеля в трубах ССД-Пайп, хризолитоцементных (КГ ХЛ 1х25-0,66 кВ -34м, КГ-ХЛ 2х4 -64м, ПвВГ 5х1.5-1 кВ - 18м, КВВГЭ-ХЛ 27х0,75 - 18м, F-CY-OZ (LiY-CY) 3x0,75 - 64м)</t>
  </si>
  <si>
    <r>
      <t>Монтаж поперечины из тросса длиной 30м-60м (канат ст. спиральный, 7-жил. типа ЛК-0, д. 6,8 мм)  -</t>
    </r>
    <r>
      <rPr>
        <b/>
        <sz val="12"/>
        <rFont val="Times New Roman"/>
        <family val="1"/>
        <charset val="204"/>
      </rPr>
      <t xml:space="preserve"> 224м</t>
    </r>
  </si>
  <si>
    <t>нет работ в смете</t>
  </si>
  <si>
    <t>ИТОГО по разделу "Узел 4 (Разворотное кольцо №2 проспект Октября)" (без НДС)</t>
  </si>
  <si>
    <t>ИТОГО КП Автоматизация и электрообогрев стрелочных переводов (без НДС),  в ом числе:</t>
  </si>
  <si>
    <t xml:space="preserve">                                                                                                                                                                    - СМР</t>
  </si>
  <si>
    <t xml:space="preserve">                                                                                                                                                                   - ПНР</t>
  </si>
  <si>
    <t>Трубы хризотилцементные безнапорные, номинальный диаметр 150 мм</t>
  </si>
  <si>
    <t>Муфта МПТ-3 для соединения хризотилцементных труб  d=150 мм ССД</t>
  </si>
  <si>
    <t>Труба ССД-Пайп OD - 50 мм, с протяжкой (ССД-Пайп OD=50 мм, 800N, SN22 (бухта 100 м))</t>
  </si>
  <si>
    <t>Муфта соединительная резьбовая ССД-Пайп 50 мм</t>
  </si>
  <si>
    <t>Труба напорная полиэтиленовая ПНД, среднего типа, диаметр 110 мм</t>
  </si>
  <si>
    <t>Песок природный II класс, средний, круглые сита</t>
  </si>
  <si>
    <t>Труба гофрированная ПНД, лёгкая, стойкая к ультрафиолету, д40</t>
  </si>
  <si>
    <t>Трубы из самозатухающего ПВХ гибкие гофрированные, легкие, с зондом, внутренний д.32 мм</t>
  </si>
  <si>
    <t>Заглушка из полиэтилена для двустенных гофрированных труб, внутренний диаметр 50 мм</t>
  </si>
  <si>
    <t>ш.</t>
  </si>
  <si>
    <t>Муфты полиэтиленовая прямая МПП 5/6</t>
  </si>
  <si>
    <t>Рукава металлические из стальной оц. ленты, РЗ-ЦХ, диаметр условный 50 мм</t>
  </si>
  <si>
    <t>Кабель медный гибкий КГ ХЛ 1х25-0,66 кВ</t>
  </si>
  <si>
    <t>Кабель медный КГ-ХЛ 2х4</t>
  </si>
  <si>
    <t>Кабель питания медный ПвВГ 5х1.5-1 кВ</t>
  </si>
  <si>
    <t>Кабель контрольный экранированный КВВГЭ-ХЛ 27х0,75</t>
  </si>
  <si>
    <t>Кабель контрольный F-CY-OZ (LiY-CY) 3x0,75</t>
  </si>
  <si>
    <t>Комплект модульного заземления омедненный D16 мм -30 метров (630112 )</t>
  </si>
  <si>
    <t>Стартовый наконечник М16 (630624)</t>
  </si>
  <si>
    <t>Болт удароприемный М16 (630602)</t>
  </si>
  <si>
    <t>Насадка на виброинструмент (SDS-max)</t>
  </si>
  <si>
    <t>Зажим универсальный нержавеющая сталь (631102)</t>
  </si>
  <si>
    <t>Соединитель полоса-полоса для заземления</t>
  </si>
  <si>
    <t>Наконечники кабельные медные луженые под опрессовку  ТМЛ  16-8-6</t>
  </si>
  <si>
    <t>Провод силовой установочный с медными жилами ПуГВ 1х10-450</t>
  </si>
  <si>
    <t>Электропривод стрелочный трамвайного типа СПТ ЮКЛЯ.303341.049-01</t>
  </si>
  <si>
    <t>Термодатчик рельсовый с термопреобразователем и обоймой, с  кабельным выводом ТДР-074  (ДЕЛА.405211.002 )</t>
  </si>
  <si>
    <t>ТЭН электрообогрева 600 VDC</t>
  </si>
  <si>
    <t>Хомут на 3 болта 10 дюймов стальной, оцинкованный</t>
  </si>
  <si>
    <t>Изолятор натяжной НСКр 36/800-200-А-VII</t>
  </si>
  <si>
    <t>Изолятор натяжной НСКр 36/800-200-Б-VII</t>
  </si>
  <si>
    <t>Канат стальной, семижильный типа ЛК-0, диаметром 6,8 (6,8-Г-С-Н-1370, гост 3062-80)</t>
  </si>
  <si>
    <t>Муфта натяжная закрытая МНЗ-100, И 151.00.000</t>
  </si>
  <si>
    <t>Тройник И 337.00.000</t>
  </si>
  <si>
    <t>Система контактная (ЖИПС.665213.003)</t>
  </si>
  <si>
    <t>Прокат полосовой горячекатаный перфорир., шир. 30-40 мм, марка стали Ст3, толщ. 2-6 мм (0,97*2,5*3)</t>
  </si>
  <si>
    <t>Болты анкерные с гайкой, размер 8,0х40 мм</t>
  </si>
  <si>
    <t>Гайки шестигранные из нержавеющей стали, диаметр 8 мм + шайбы (по 2шт.)</t>
  </si>
  <si>
    <t>Контакт воздушный блокирующий (ЖИПС.665213.002 )</t>
  </si>
  <si>
    <t>Зажим концевой клиновой для  троса, И 143.00.000</t>
  </si>
  <si>
    <t>Зажим ЗПО, И 89.00.000</t>
  </si>
  <si>
    <t>Подвес 15-0400 ПКТ-160 пластиковый для кабеля D троса=3-6мм D ка-беля=6-30мм (100 шт)</t>
  </si>
  <si>
    <t>уп</t>
  </si>
  <si>
    <t>Кабель питания медный ППРСВМ 1х6 (масса 1 м.п 0,205 кг)</t>
  </si>
  <si>
    <t>Кабель питания медный Кабель ППРСВМ 1х4 (масса 1 м.п. 0,13 кг)</t>
  </si>
  <si>
    <t>Кабель монтажный экранированный КИС-П 3х2х0,78</t>
  </si>
  <si>
    <t>Кабель информационный КИС-П 5х2х0,78</t>
  </si>
  <si>
    <t>Кабель питаний медный ПбПНГ(А)-HF 3х2,5</t>
  </si>
  <si>
    <t>Блок БРП-Т на тросе (ЖИПС.464411.013)</t>
  </si>
  <si>
    <t>Блок БРП-М на опоре  (ЖИПС.464411.003-01)</t>
  </si>
  <si>
    <t>Устройство МПУ  (ЖИПС.468262.005-01)</t>
  </si>
  <si>
    <t>Шкаф управления обогревом ШУО (ЖИПС.426469.019)</t>
  </si>
  <si>
    <t>Металлическая лента 20х0,7(0,8)х1000 мм F 20</t>
  </si>
  <si>
    <t>Скрепа С20</t>
  </si>
  <si>
    <t>Наконечники кабельные медные луженные ТМЛ-35 (ТМЛ 25-8-7)</t>
  </si>
  <si>
    <t>Шкаф управления стрелочным приводом ШУСП-М (ЖИПС.426469.017-02)</t>
  </si>
  <si>
    <t>Шкаф связи ШС-01-1 (ЖИПС.422412.312)</t>
  </si>
  <si>
    <t>Коробка распределительная герметичная 4-х вводная MG Box S-4 IP68</t>
  </si>
  <si>
    <t>Трубка термоусадочная ТТК -(3:1) - 25/8 черная (0,25*12)</t>
  </si>
  <si>
    <t>Кожух защитный (для ШУСП-М) (ЖИПС.301112.039)</t>
  </si>
  <si>
    <t>Кожух защитный (для ШУО)  (ЖИПС.301112.038 )</t>
  </si>
  <si>
    <t>Блок электропитания ПКС 600/220-3М ПКС 600/220-3М (АРБУ.436418.005)</t>
  </si>
  <si>
    <t>Шкаф коммутационных связей ШКС-1</t>
  </si>
  <si>
    <t>Комплект крепления блока электропитания к опоре контактной сети</t>
  </si>
  <si>
    <t>Комплект крепления шкафа коммутационных связей к опоре контактной сети</t>
  </si>
  <si>
    <t>Трубка термоусадочная ТТК -(3:1) - 25/8 черная (0,25*4)</t>
  </si>
  <si>
    <t>Узел 3  Разворотное кольцо №1 проспект Октября. Строительные работы</t>
  </si>
  <si>
    <t>Прокат полосовой горячекатаный перфорир., шир. 30-40 мм, марка стали Ст3, толщ. 2-6 мм (0,97*2,5*1)</t>
  </si>
  <si>
    <t>ИТОГО по разделу "Узел 3 Разворотное кольцо №1 проспект Октября. Строительные работы" (без НДС)</t>
  </si>
  <si>
    <t>Узел 4  Разворотное кольцо №2 проспект Октября. Строительные работы</t>
  </si>
  <si>
    <t>ИТОГО по разделу "Узел 4 Разворотное кольцо №2 проспект Октября. Строительные работы" (без НДС)</t>
  </si>
  <si>
    <t>ИТОГО КП Автоматизация и электрообогрев стрелочных переводов (без НДС)</t>
  </si>
  <si>
    <t>Контактная сеть</t>
  </si>
  <si>
    <t>Определение и закрепление мест установки опор по трассе</t>
  </si>
  <si>
    <t>Строительные работы 1 подэтап</t>
  </si>
  <si>
    <t>Разборка покрытий и оснований асфальтобетонных</t>
  </si>
  <si>
    <t>Погрузка а/б мусора экскаватором с ковшом 0,5 м3 на самосвалы (7,19*1,9)</t>
  </si>
  <si>
    <t>Транспорт грунта автосамосвалами грузоподъемностью до 10 т на расстояние 20 км</t>
  </si>
  <si>
    <r>
      <t xml:space="preserve"> Разработка грунта экскаваторами с ковшом 0,25 м3 в котлованах площадью до 5 м2 при глубине до 3 м, </t>
    </r>
    <r>
      <rPr>
        <b/>
        <sz val="12"/>
        <rFont val="Times New Roman"/>
        <family val="1"/>
        <charset val="204"/>
      </rPr>
      <t>группа грунтов 1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 погрузкой</t>
    </r>
    <r>
      <rPr>
        <sz val="12"/>
        <rFont val="Times New Roman"/>
        <family val="1"/>
        <charset val="204"/>
      </rPr>
      <t xml:space="preserve"> на самосвал</t>
    </r>
  </si>
  <si>
    <r>
      <t>Разработка грунта экскаваторами с ковшом 0,25 м3 в котлованах площадью до 5 м2 при глубине
до 3 м,</t>
    </r>
    <r>
      <rPr>
        <b/>
        <sz val="12"/>
        <rFont val="Times New Roman"/>
        <family val="1"/>
        <charset val="204"/>
      </rPr>
      <t xml:space="preserve"> группа грунтов 2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 погрузкой</t>
    </r>
    <r>
      <rPr>
        <sz val="12"/>
        <rFont val="Times New Roman"/>
        <family val="1"/>
        <charset val="204"/>
      </rPr>
      <t xml:space="preserve"> на самосвал</t>
    </r>
  </si>
  <si>
    <r>
      <t xml:space="preserve">Разработка грунта экскаваторами с ковшом 0,25 м3 в котлованах площадью до 5 м2 при глубине
до 3 м, </t>
    </r>
    <r>
      <rPr>
        <b/>
        <sz val="12"/>
        <rFont val="Times New Roman"/>
        <family val="1"/>
        <charset val="204"/>
      </rPr>
      <t>группа грунтов 3 с погрузко</t>
    </r>
    <r>
      <rPr>
        <sz val="12"/>
        <rFont val="Times New Roman"/>
        <family val="1"/>
        <charset val="204"/>
      </rPr>
      <t>й на самосвал</t>
    </r>
  </si>
  <si>
    <t>Доработка грунта вручную в котлованах площадью до 5 м2 при глубине до 3 м</t>
  </si>
  <si>
    <t>Погрузка грунта экскаватором с ковшом 0,25 м3 на самосвалы (96,34*2,03)</t>
  </si>
  <si>
    <r>
      <t xml:space="preserve">Транспорт грунта автосамосвалами грузоподъемностью до 10 т на расстояние </t>
    </r>
    <r>
      <rPr>
        <b/>
        <sz val="12"/>
        <rFont val="Times New Roman"/>
        <family val="1"/>
        <charset val="204"/>
      </rPr>
      <t>1 км во временный отвал</t>
    </r>
    <r>
      <rPr>
        <sz val="12"/>
        <rFont val="Times New Roman"/>
        <family val="1"/>
        <charset val="204"/>
      </rPr>
      <t xml:space="preserve"> (289,03*1,2+1310,27*2,03+231,22*2,03+96,34*2,03-414,58*2,03)</t>
    </r>
  </si>
  <si>
    <r>
      <t xml:space="preserve">Транспорт грунта автосамосвалами грузоподъемностью до 10 т на расстояние </t>
    </r>
    <r>
      <rPr>
        <b/>
        <sz val="12"/>
        <rFont val="Times New Roman"/>
        <family val="1"/>
        <charset val="204"/>
      </rPr>
      <t>1 км во временный отвал для обратной засыпки</t>
    </r>
    <r>
      <rPr>
        <sz val="12"/>
        <rFont val="Times New Roman"/>
        <family val="1"/>
        <charset val="204"/>
      </rPr>
      <t xml:space="preserve"> (289,03*1,2+1310,27*2,03+231,22*2,03+96,34*2,03-414,58*2,03)</t>
    </r>
  </si>
  <si>
    <r>
      <t xml:space="preserve">Погрузка грунта </t>
    </r>
    <r>
      <rPr>
        <b/>
        <sz val="12"/>
        <rFont val="Times New Roman"/>
        <family val="1"/>
        <charset val="204"/>
      </rPr>
      <t>с временного отвала для обратной засыпки</t>
    </r>
    <r>
      <rPr>
        <sz val="12"/>
        <rFont val="Times New Roman"/>
        <family val="1"/>
        <charset val="204"/>
      </rPr>
      <t xml:space="preserve">  экскаватором с ковшом 0,5 м3 на самосвалы (289,03+1310,27+231,22+96,34-414,58)</t>
    </r>
  </si>
  <si>
    <r>
      <t xml:space="preserve">Транспорт грунта автосамосвалами грузоподъемностью до 10 т на расстояние </t>
    </r>
    <r>
      <rPr>
        <b/>
        <sz val="12"/>
        <rFont val="Times New Roman"/>
        <family val="1"/>
        <charset val="204"/>
      </rPr>
      <t>2 км с временного отвала для обратной засыпки</t>
    </r>
    <r>
      <rPr>
        <sz val="12"/>
        <rFont val="Times New Roman"/>
        <family val="1"/>
        <charset val="204"/>
      </rPr>
      <t xml:space="preserve"> (289,03*1,2+1310,27*2,03+231,22*2,03+96,34*2,03-414,58*2,03)</t>
    </r>
  </si>
  <si>
    <r>
      <t>Крепление досками стенок котлованов шириной более 2 м при глубине до 3 м в устойчивых
грунтах</t>
    </r>
    <r>
      <rPr>
        <b/>
        <i/>
        <sz val="12"/>
        <rFont val="Times New Roman"/>
        <family val="1"/>
        <charset val="204"/>
      </rPr>
      <t xml:space="preserve"> (включая стоимость щитов деревянных)</t>
    </r>
  </si>
  <si>
    <t>Разбивка основных осей опор контактной сети</t>
  </si>
  <si>
    <t>опор.</t>
  </si>
  <si>
    <t>Установка стальных опор контактной сети до 9 м</t>
  </si>
  <si>
    <t>Установка стальных опор контактной сети до 11 м</t>
  </si>
  <si>
    <t>Устройство закладных деталей для опоры ОСф-0,8-9,0</t>
  </si>
  <si>
    <t>Устройство закладных деталей для опоры ОСф-0,8-9,0-2В</t>
  </si>
  <si>
    <t>Устройство закладных деталей для опоры ОСф-1,5-9,0</t>
  </si>
  <si>
    <t>Устройство закладных деталей для опоры ОСф-1,0-11,0</t>
  </si>
  <si>
    <t>Устройство монолитных бетонных фундаментов</t>
  </si>
  <si>
    <r>
      <rPr>
        <sz val="12"/>
        <rFont val="Times New Roman"/>
        <family val="1"/>
      </rPr>
      <t>Монтаж закладных гильз в фундаменте проектируемых опор контактной сети</t>
    </r>
  </si>
  <si>
    <r>
      <rPr>
        <sz val="12"/>
        <rFont val="Times New Roman"/>
        <family val="1"/>
      </rPr>
      <t>Установка заглушек диаметром трубопроводов: 110 мм</t>
    </r>
  </si>
  <si>
    <r>
      <rPr>
        <sz val="12"/>
        <rFont val="Times New Roman"/>
        <family val="1"/>
      </rPr>
      <t>Резка отверстий размером 115 х 230 мм в закладной детали фундамента</t>
    </r>
  </si>
  <si>
    <t>Устройство подстилающих и выравнивающих слоев оснований фундаментов из песка</t>
  </si>
  <si>
    <t>Устройство подстилающих слоев оснований фундаментов из щебня М800</t>
  </si>
  <si>
    <t>Засыпка пазуха фундамента песком</t>
  </si>
  <si>
    <t>Устройство покрытия толщ. 10см из горячих асфальтобетонных смесей (верхний слой). Тип Д (вручную)</t>
  </si>
  <si>
    <t>Погрузка при автомобильных перевозках мусора строительного с погрузкой экскаваторами
емкостью ковша до 0,5 м3</t>
  </si>
  <si>
    <t>Перевозка грузов I класса автомобилями-бортовыми грузоподъемностью 15 т на расстояние до 20 км</t>
  </si>
  <si>
    <t>Погрузка вытесненного грунта экскаватором с ковшом 0,25 м3 на самосвалы</t>
  </si>
  <si>
    <r>
      <t xml:space="preserve">Транспорт грунта автосамосвалами грузоподъемностью до 10 т на расстояние </t>
    </r>
    <r>
      <rPr>
        <b/>
        <sz val="12"/>
        <rFont val="Times New Roman"/>
        <family val="1"/>
        <charset val="204"/>
      </rPr>
      <t>20 км на полигон</t>
    </r>
  </si>
  <si>
    <t>Монтажные работы 1 подэтап</t>
  </si>
  <si>
    <t>Монтаж провода контактного трамвая: провод одиночный на прямой и кривой радиусом свыше 30 м</t>
  </si>
  <si>
    <t>Провод усиливающий</t>
  </si>
  <si>
    <t xml:space="preserve">Регулировка контактного провода трамвая </t>
  </si>
  <si>
    <t>Анкеровка контактного провода трамвая (зажимы, изоляторы натяжные, коромысло)</t>
  </si>
  <si>
    <t>Установка узла грузовой компенсации контактной сети трамвая (компенсатор пружинный, планки, ролики)</t>
  </si>
  <si>
    <r>
      <t>Монтаж поперечины из тросса длиной до 30м (канат ст. спиральный, 7-жил. типа ЛК-0, д. 6,8 мм) -</t>
    </r>
    <r>
      <rPr>
        <b/>
        <sz val="12"/>
        <rFont val="Times New Roman"/>
        <family val="1"/>
        <charset val="204"/>
      </rPr>
      <t xml:space="preserve"> 13шт</t>
    </r>
    <r>
      <rPr>
        <sz val="12"/>
        <rFont val="Times New Roman"/>
        <family val="1"/>
        <charset val="204"/>
      </rPr>
      <t>.</t>
    </r>
  </si>
  <si>
    <r>
      <t>Монтаж поперечины из тросса длиной до 60м (канат ст. оцинкованный 1-жил  диам. 4 мм) -</t>
    </r>
    <r>
      <rPr>
        <b/>
        <sz val="12"/>
        <rFont val="Times New Roman"/>
        <family val="1"/>
        <charset val="204"/>
      </rPr>
      <t>44шт</t>
    </r>
  </si>
  <si>
    <t>Установка элемента системы из троса с изоляцией длиной до 30 м (заготовка и подвешивание элементов подвесной системы, натяжка тросовых элементов, регулировка натяжения)</t>
  </si>
  <si>
    <t xml:space="preserve">Установка элемента системы из троса с изоляцией длиной до 60 м (заготовка и подвешивание элементов подвесной системы, натяжка тросовых элементов, регулировка натяжения) </t>
  </si>
  <si>
    <t>Монтаж кронштейнов на установленных опорах</t>
  </si>
  <si>
    <t>Монтаж изолятора секционного</t>
  </si>
  <si>
    <t>Монтаж знака секционного изолятора</t>
  </si>
  <si>
    <t>Монтаж хомута тяги фиксатора</t>
  </si>
  <si>
    <r>
      <t xml:space="preserve">Монтаж хомута для одиночной консоли </t>
    </r>
    <r>
      <rPr>
        <sz val="12"/>
        <color rgb="FFA20000"/>
        <rFont val="Times New Roman"/>
        <family val="1"/>
        <charset val="204"/>
      </rPr>
      <t>анкерный</t>
    </r>
  </si>
  <si>
    <t>Монтаж хомута тяги на опоре</t>
  </si>
  <si>
    <t>Монтаж дельта подвеса (дельта подвес, муфты натяжные)</t>
  </si>
  <si>
    <t>Перемычка трамвайная на кронштейнах</t>
  </si>
  <si>
    <t>Монтаж подвеса (без деревянной подшивки) (комплект подвешивая провода ТМ)</t>
  </si>
  <si>
    <t>Подвеска контактного провода: фиксаторная или жесткая ТМ в кривой на кронштейне</t>
  </si>
  <si>
    <t>Монтаж пересечения Трамвай-Троллейбус (установка стрелок с крестовинами, пересечений контактных проводов и сопряжений, установка стяжки, монтаж стыкового соединения на трамвайном проводе)</t>
  </si>
  <si>
    <t>Монтаж дужек дополнительных длиной 2,5 м (заделка контактного провода на зажиме, установка перемычки)</t>
  </si>
  <si>
    <t>Установка подвески контактного провода: фиксаторная или жесткая (узел крепления ППСРВМ-95 к кронштейну d68, узел крепления ППСРВМ-95 к тросу)</t>
  </si>
  <si>
    <t>Монтаж подвеса без деревянной подшивки (фиксатор трамвайный, бугель , крюки, хомуты)</t>
  </si>
  <si>
    <t>Монтаж подвеса без деревянной подшивки (изолированный подвес КСУ)</t>
  </si>
  <si>
    <t>Монтаж подвеса без деревянной подшивки (подвес секционного изолятора на кронштейне)</t>
  </si>
  <si>
    <t>Установка узла подвески продольно-несущего троса к гибкой поперечине (устройство противоизломное)</t>
  </si>
  <si>
    <t>ИТОГО Контактная сеть (без НДС), в том числе</t>
  </si>
  <si>
    <t>Щебень М 800, фракция 20-40 мм, группа 2</t>
  </si>
  <si>
    <t>Бетон, класс B15 (М200), F150 W4</t>
  </si>
  <si>
    <t>Закладной фланец для опоры ОСф-0,8-9,0</t>
  </si>
  <si>
    <t>Закладной фланец для опоры ОСф-0,8-9,0-2В с лючком для кабелей</t>
  </si>
  <si>
    <t>Закладной фланец для опоры ОСф-1,5-9,0</t>
  </si>
  <si>
    <t>Закладная деталь ЗДФ-325-3,5(9)</t>
  </si>
  <si>
    <t>Опора контактной сети оцинкованная ОСф-0,8-9,0</t>
  </si>
  <si>
    <t>Опора контактной сети оцинкованная ОСф-0,8-9,0-2В</t>
  </si>
  <si>
    <t>Опора контактной сети оцинкованная ОСф-1,5-9,0</t>
  </si>
  <si>
    <t>Опора контактной сети оцинкованная ОСф-1,0-11,0</t>
  </si>
  <si>
    <t>Смеси асфальтобетонные плотные тип Д марка II</t>
  </si>
  <si>
    <t>Провод медный контактный сечением 100 мм2 МФ-100 ГОСТ Р 55647-2018</t>
  </si>
  <si>
    <t>Провод медный неизолированный сечением 95 мм2, М95</t>
  </si>
  <si>
    <t>Зажим концевой клиновой  ЗКК И 143.00.000</t>
  </si>
  <si>
    <t>Зажим стыковой ЗСТБ И 91.00.000</t>
  </si>
  <si>
    <t>Зажим соединительный ЗС И 90.00.000</t>
  </si>
  <si>
    <t>Зажим подвесной трамвайный для одного провода ЗПО И 89.00.000</t>
  </si>
  <si>
    <t>Зажим троса И 117.00.000</t>
  </si>
  <si>
    <t>Знак секционного изолятора  И 127.00.000</t>
  </si>
  <si>
    <t>Изолятор натяжной подвесной НСКр-36/800-200-А-VII  И 95.00.000</t>
  </si>
  <si>
    <t>Изолятор натяжной НСКр-51/800-400-А-VII И 96.00.000</t>
  </si>
  <si>
    <t>Коромысло И 269.00.000</t>
  </si>
  <si>
    <r>
      <t xml:space="preserve">Скоба  И 429.00.000 </t>
    </r>
    <r>
      <rPr>
        <sz val="12"/>
        <rFont val="Times New Roman"/>
        <family val="1"/>
        <charset val="204"/>
      </rPr>
      <t>(Скоба П-обр. для опер. ответвит. зажимов SL 30, SL 36, марки PSS 924 (ENSTO) )</t>
    </r>
  </si>
  <si>
    <t>Компенсатор пружинный DFYCZZ-085 (в комплекте с креплениями) DFHTB</t>
  </si>
  <si>
    <t>Пружинный компенсатор КП-12 И 147.00.000</t>
  </si>
  <si>
    <t>Планка 12/16 И 479.00.000</t>
  </si>
  <si>
    <t>Ролик оттяжной И 125.00.000</t>
  </si>
  <si>
    <t>Канат стальной, оцинкованный, спиральный, семижильный типа ЛК-0, д. 6,8 мм 6,8-Г-В-Ж-Н-1370</t>
  </si>
  <si>
    <t>Канат стальной оцинкованный одножильный диаметром 4 мм</t>
  </si>
  <si>
    <t>Кронштейн полимерный D68 8-ми метровый И 92.00.000</t>
  </si>
  <si>
    <t>Кронштейн полимерный D68 7-и метровый, И 433.00.000</t>
  </si>
  <si>
    <t>Кронштейн полимерный D68 6-ти метровый И 93.00.000</t>
  </si>
  <si>
    <t>Кронштейн полимерный D68 5-ти метровый И 432.00.000</t>
  </si>
  <si>
    <t>Кронштейн полимерный D68 4-х метровый И 561.00.000</t>
  </si>
  <si>
    <t>Кронштейн полимерный D68 3-х метровый, И 568.00.000</t>
  </si>
  <si>
    <t>Изолятор секционный СИУ-ДУ И 97.00.000</t>
  </si>
  <si>
    <t>Хомут тяги фиксатора  И 441.00.000</t>
  </si>
  <si>
    <t>Хомут тяги И 246.00.000</t>
  </si>
  <si>
    <t>Хомут для одиночной консоли d68 И 135.00.000</t>
  </si>
  <si>
    <t>Дельта подвес ТМ И 171.00.000</t>
  </si>
  <si>
    <t>Муфта натяжная закрытая МНЗ-100  И 151.00.000</t>
  </si>
  <si>
    <t>Муфта натяжная закрытая МНЗ-300  И 103.00.000</t>
  </si>
  <si>
    <t>Комплект подвешивая провода ТМ на кривой, И 290.00.000</t>
  </si>
  <si>
    <t>Подвеска провода ТМ в кривой на кронштейне, И 476.00.000</t>
  </si>
  <si>
    <t>Пересечение ТМ – ТБ И 178.00.000</t>
  </si>
  <si>
    <t>Дужка питающая трамвайная 1,0 м И 197.00.000</t>
  </si>
  <si>
    <t>Дужка питающая трамвайная 5,0 м  И 197.00.000</t>
  </si>
  <si>
    <t>Узел крепления ППСРВМ-95 к кронштейну d68  И 667.00.000</t>
  </si>
  <si>
    <t>Узел крепления ППСРВМ-95 к тросу  И 382.00.000</t>
  </si>
  <si>
    <t>Фиксатор трамвайный ТМ И 161.00.000</t>
  </si>
  <si>
    <t>Бугель И 325.00.000</t>
  </si>
  <si>
    <t>Крюк одинарный И 438.00.000</t>
  </si>
  <si>
    <t>Крюк дввойной  И 437.00.000</t>
  </si>
  <si>
    <t>Хомут анкерный И 442.00.000</t>
  </si>
  <si>
    <t>Хомут крепления нижнего фиксирующего троса, оцинкованный</t>
  </si>
  <si>
    <t>Изолированный подвес КСУ для консоли d68 И465.00.000</t>
  </si>
  <si>
    <t>Подвес секционного изолятора на кронштейне И 427.00.000</t>
  </si>
  <si>
    <t>Устройство противоизломное И 128.00.000</t>
  </si>
  <si>
    <t>ИТОГО Контактная сеть (без НДС)</t>
  </si>
  <si>
    <t>Вынос осей. Контактная сеть</t>
  </si>
  <si>
    <t>Автоматизация и электрообогрев стрелочных переводов, вкл. ПНР</t>
  </si>
  <si>
    <t>ПНР системы автоматизации и электрообогрева стрелочных переводов</t>
  </si>
  <si>
    <t>Коэфф. на работу %</t>
  </si>
  <si>
    <t>Коэфф. на мат.%</t>
  </si>
  <si>
    <r>
      <t xml:space="preserve">Стоимость  </t>
    </r>
    <r>
      <rPr>
        <b/>
        <sz val="11"/>
        <color rgb="FFFF0000"/>
        <rFont val="Times New Roman"/>
        <family val="1"/>
        <charset val="204"/>
      </rPr>
      <t>Ген Подрядчика</t>
    </r>
    <r>
      <rPr>
        <b/>
        <sz val="11"/>
        <color theme="1"/>
        <rFont val="Times New Roman"/>
        <family val="1"/>
        <charset val="204"/>
      </rPr>
      <t xml:space="preserve">, руб.
(без НДС) </t>
    </r>
  </si>
  <si>
    <t xml:space="preserve">Сальдо, руб. смета-КП
(без НДС) </t>
  </si>
  <si>
    <t xml:space="preserve">Сальдо, руб. смета-ГП
(без НДС) </t>
  </si>
  <si>
    <t>Водоотведение от трамвайных путей</t>
  </si>
  <si>
    <t>Справочно: по смете    8306435,04р</t>
  </si>
  <si>
    <t>Канализация К2</t>
  </si>
  <si>
    <t>К2-81 - К2-82 - К2-83 - К2-84 - К2-41сущ, Д1 - К2-81, Д2 - К2-29сущ, Д10 -, К2-8 - К2-4сущ,К2-9 - К2-6сущ ,К2-89 - К2-4сущ, Д-11 - К2-89, Д3 - К2-30сущ, К2-20 - К2-12сущ, К2-25 - К2-15сущ, К2-28 - К2-29 - К2-17сущ, К2-26 - К2-16сущ, Д4 - К2-31сущ, Д5 - К2-15сущ, Д6 - К2-38сущ,Д7 - К2-17сущ, Д8 - К2-39сущ, К2-23сущ - К2-92 (тальвеж), К2-43 - К2-25сущ, К2-45 - К2-26сущ, К2-91 - К2-90 (тальвеж.), Д9 - К2-40сущ</t>
  </si>
  <si>
    <r>
      <t>Разработка грунта</t>
    </r>
    <r>
      <rPr>
        <b/>
        <sz val="12"/>
        <rFont val="Times New Roman"/>
        <family val="1"/>
        <charset val="204"/>
      </rPr>
      <t xml:space="preserve"> с погрузкой</t>
    </r>
    <r>
      <rPr>
        <sz val="12"/>
        <rFont val="Times New Roman"/>
        <family val="1"/>
        <charset val="204"/>
      </rPr>
      <t xml:space="preserve"> в траншеях экскаватором с ковшом вмест. 0,5м3, гр. грунтов 2
К2-81 - К2-82 - К2-83 - К2-84 - К2-41сущ - </t>
    </r>
    <r>
      <rPr>
        <b/>
        <sz val="12"/>
        <rFont val="Times New Roman"/>
        <family val="1"/>
        <charset val="204"/>
      </rPr>
      <t>156,96 м3</t>
    </r>
    <r>
      <rPr>
        <sz val="12"/>
        <rFont val="Times New Roman"/>
        <family val="1"/>
        <charset val="204"/>
      </rPr>
      <t>; Д1 - К2-81 - 156,95</t>
    </r>
    <r>
      <rPr>
        <b/>
        <sz val="12"/>
        <rFont val="Times New Roman"/>
        <family val="1"/>
        <charset val="204"/>
      </rPr>
      <t>м3</t>
    </r>
    <r>
      <rPr>
        <sz val="12"/>
        <rFont val="Times New Roman"/>
        <family val="1"/>
        <charset val="204"/>
      </rPr>
      <t xml:space="preserve">, Д2 - К2-29сущ - </t>
    </r>
    <r>
      <rPr>
        <b/>
        <sz val="12"/>
        <rFont val="Times New Roman"/>
        <family val="1"/>
        <charset val="204"/>
      </rPr>
      <t>112,22м3</t>
    </r>
    <r>
      <rPr>
        <sz val="12"/>
        <rFont val="Times New Roman"/>
        <family val="1"/>
        <charset val="204"/>
      </rPr>
      <t xml:space="preserve">, Д10 - </t>
    </r>
    <r>
      <rPr>
        <b/>
        <sz val="12"/>
        <rFont val="Times New Roman"/>
        <family val="1"/>
        <charset val="204"/>
      </rPr>
      <t>172,65м3</t>
    </r>
    <r>
      <rPr>
        <sz val="12"/>
        <rFont val="Times New Roman"/>
        <family val="1"/>
        <charset val="204"/>
      </rPr>
      <t xml:space="preserve">, К2-8 - К2-4сущ - </t>
    </r>
    <r>
      <rPr>
        <b/>
        <sz val="12"/>
        <rFont val="Times New Roman"/>
        <family val="1"/>
        <charset val="204"/>
      </rPr>
      <t>152,68м3</t>
    </r>
    <r>
      <rPr>
        <sz val="12"/>
        <rFont val="Times New Roman"/>
        <family val="1"/>
        <charset val="204"/>
      </rPr>
      <t>, К2-9 - К2-6сущ -</t>
    </r>
    <r>
      <rPr>
        <b/>
        <sz val="12"/>
        <rFont val="Times New Roman"/>
        <family val="1"/>
        <charset val="204"/>
      </rPr>
      <t xml:space="preserve"> 144,45м3</t>
    </r>
    <r>
      <rPr>
        <sz val="12"/>
        <rFont val="Times New Roman"/>
        <family val="1"/>
        <charset val="204"/>
      </rPr>
      <t xml:space="preserve">, К2-89 - К2-4сущ - </t>
    </r>
    <r>
      <rPr>
        <b/>
        <sz val="12"/>
        <rFont val="Times New Roman"/>
        <family val="1"/>
        <charset val="204"/>
      </rPr>
      <t>306,05м3</t>
    </r>
    <r>
      <rPr>
        <sz val="12"/>
        <rFont val="Times New Roman"/>
        <family val="1"/>
        <charset val="204"/>
      </rPr>
      <t xml:space="preserve">, Д-11 - К2-89 - </t>
    </r>
    <r>
      <rPr>
        <b/>
        <sz val="12"/>
        <rFont val="Times New Roman"/>
        <family val="1"/>
        <charset val="204"/>
      </rPr>
      <t>78,48м3</t>
    </r>
    <r>
      <rPr>
        <sz val="12"/>
        <rFont val="Times New Roman"/>
        <family val="1"/>
        <charset val="204"/>
      </rPr>
      <t xml:space="preserve">, Д3 - К2-30сущ - </t>
    </r>
    <r>
      <rPr>
        <b/>
        <sz val="12"/>
        <rFont val="Times New Roman"/>
        <family val="1"/>
        <charset val="204"/>
      </rPr>
      <t>74,55м3</t>
    </r>
    <r>
      <rPr>
        <sz val="12"/>
        <rFont val="Times New Roman"/>
        <family val="1"/>
        <charset val="204"/>
      </rPr>
      <t xml:space="preserve">, К2-20 - К2-12сущ - </t>
    </r>
    <r>
      <rPr>
        <b/>
        <sz val="12"/>
        <rFont val="Times New Roman"/>
        <family val="1"/>
        <charset val="204"/>
      </rPr>
      <t>370,27м3</t>
    </r>
    <r>
      <rPr>
        <sz val="12"/>
        <rFont val="Times New Roman"/>
        <family val="1"/>
        <charset val="204"/>
      </rPr>
      <t xml:space="preserve">, К2-25 - К2-15сущ - </t>
    </r>
    <r>
      <rPr>
        <b/>
        <sz val="12"/>
        <rFont val="Times New Roman"/>
        <family val="1"/>
        <charset val="204"/>
      </rPr>
      <t>114,28м3</t>
    </r>
    <r>
      <rPr>
        <sz val="12"/>
        <rFont val="Times New Roman"/>
        <family val="1"/>
        <charset val="204"/>
      </rPr>
      <t>, К2-28 - К2-29 - К2-17сущ -</t>
    </r>
    <r>
      <rPr>
        <b/>
        <sz val="12"/>
        <rFont val="Times New Roman"/>
        <family val="1"/>
        <charset val="204"/>
      </rPr>
      <t>228,5м3</t>
    </r>
    <r>
      <rPr>
        <sz val="12"/>
        <rFont val="Times New Roman"/>
        <family val="1"/>
        <charset val="204"/>
      </rPr>
      <t xml:space="preserve">, К2-26 - К2-16сущ - </t>
    </r>
    <r>
      <rPr>
        <b/>
        <sz val="12"/>
        <rFont val="Times New Roman"/>
        <family val="1"/>
        <charset val="204"/>
      </rPr>
      <t>212,11м3</t>
    </r>
    <r>
      <rPr>
        <sz val="12"/>
        <rFont val="Times New Roman"/>
        <family val="1"/>
        <charset val="204"/>
      </rPr>
      <t xml:space="preserve">, Д4 - К2-31сущ - </t>
    </r>
    <r>
      <rPr>
        <b/>
        <sz val="12"/>
        <rFont val="Times New Roman"/>
        <family val="1"/>
        <charset val="204"/>
      </rPr>
      <t>50,22м3</t>
    </r>
    <r>
      <rPr>
        <sz val="12"/>
        <rFont val="Times New Roman"/>
        <family val="1"/>
        <charset val="204"/>
      </rPr>
      <t>, Д5 - К2-15сущ -</t>
    </r>
    <r>
      <rPr>
        <b/>
        <sz val="12"/>
        <rFont val="Times New Roman"/>
        <family val="1"/>
        <charset val="204"/>
      </rPr>
      <t xml:space="preserve"> 61,21м3</t>
    </r>
    <r>
      <rPr>
        <sz val="12"/>
        <rFont val="Times New Roman"/>
        <family val="1"/>
        <charset val="204"/>
      </rPr>
      <t xml:space="preserve">, Д6 - К2-38сущ - </t>
    </r>
    <r>
      <rPr>
        <b/>
        <sz val="12"/>
        <rFont val="Times New Roman"/>
        <family val="1"/>
        <charset val="204"/>
      </rPr>
      <t>122,42м3</t>
    </r>
    <r>
      <rPr>
        <sz val="12"/>
        <rFont val="Times New Roman"/>
        <family val="1"/>
        <charset val="204"/>
      </rPr>
      <t>, Д7 - К2-17сущ-</t>
    </r>
    <r>
      <rPr>
        <b/>
        <sz val="12"/>
        <rFont val="Times New Roman"/>
        <family val="1"/>
        <charset val="204"/>
      </rPr>
      <t xml:space="preserve"> 144,39м3</t>
    </r>
    <r>
      <rPr>
        <sz val="12"/>
        <rFont val="Times New Roman"/>
        <family val="1"/>
        <charset val="204"/>
      </rPr>
      <t xml:space="preserve">, Д8 - К2-39сущ - </t>
    </r>
    <r>
      <rPr>
        <b/>
        <sz val="12"/>
        <rFont val="Times New Roman"/>
        <family val="1"/>
        <charset val="204"/>
      </rPr>
      <t>91,82м3</t>
    </r>
    <r>
      <rPr>
        <sz val="12"/>
        <rFont val="Times New Roman"/>
        <family val="1"/>
        <charset val="204"/>
      </rPr>
      <t xml:space="preserve">, К2-23сущ - К2-92 (тальвеж) - </t>
    </r>
    <r>
      <rPr>
        <b/>
        <sz val="12"/>
        <rFont val="Times New Roman"/>
        <family val="1"/>
        <charset val="204"/>
      </rPr>
      <t>141,26м3</t>
    </r>
    <r>
      <rPr>
        <sz val="12"/>
        <rFont val="Times New Roman"/>
        <family val="1"/>
        <charset val="204"/>
      </rPr>
      <t xml:space="preserve">, К2-43 - К2-25сущ - </t>
    </r>
    <r>
      <rPr>
        <b/>
        <sz val="12"/>
        <rFont val="Times New Roman"/>
        <family val="1"/>
        <charset val="204"/>
      </rPr>
      <t>159,08м3</t>
    </r>
    <r>
      <rPr>
        <sz val="12"/>
        <rFont val="Times New Roman"/>
        <family val="1"/>
        <charset val="204"/>
      </rPr>
      <t xml:space="preserve">, К2-45 - К2-26сущ - </t>
    </r>
    <r>
      <rPr>
        <b/>
        <sz val="12"/>
        <rFont val="Times New Roman"/>
        <family val="1"/>
        <charset val="204"/>
      </rPr>
      <t>152,68м3</t>
    </r>
    <r>
      <rPr>
        <sz val="12"/>
        <rFont val="Times New Roman"/>
        <family val="1"/>
        <charset val="204"/>
      </rPr>
      <t xml:space="preserve">, К2-91 - К2-90 (тальвеж.) - </t>
    </r>
    <r>
      <rPr>
        <b/>
        <sz val="12"/>
        <rFont val="Times New Roman"/>
        <family val="1"/>
        <charset val="204"/>
      </rPr>
      <t>43,16м3</t>
    </r>
    <r>
      <rPr>
        <sz val="12"/>
        <rFont val="Times New Roman"/>
        <family val="1"/>
        <charset val="204"/>
      </rPr>
      <t xml:space="preserve">, Д9 - К2-40сущ - </t>
    </r>
    <r>
      <rPr>
        <b/>
        <sz val="12"/>
        <rFont val="Times New Roman"/>
        <family val="1"/>
        <charset val="204"/>
      </rPr>
      <t>51,01м3</t>
    </r>
  </si>
  <si>
    <t>в смете гр грунтов 2 ковшом 0,5, в ВОР- гр 3 ковшом 0,25</t>
  </si>
  <si>
    <r>
      <t xml:space="preserve">Разработка грунта вручную в траншеях глубиной до 2 м без креплений с откосами, группа грунтов: 2                    К2-81 - К2-82 - К2-83 - К2-84 - К2-41сущ - </t>
    </r>
    <r>
      <rPr>
        <b/>
        <sz val="12"/>
        <rFont val="Times New Roman"/>
        <family val="1"/>
        <charset val="204"/>
      </rPr>
      <t>4,05м3</t>
    </r>
    <r>
      <rPr>
        <sz val="12"/>
        <rFont val="Times New Roman"/>
        <family val="1"/>
        <charset val="204"/>
      </rPr>
      <t xml:space="preserve">; Д1 - К2-81 - </t>
    </r>
    <r>
      <rPr>
        <b/>
        <sz val="12"/>
        <rFont val="Times New Roman"/>
        <family val="1"/>
        <charset val="204"/>
      </rPr>
      <t>4,053м3</t>
    </r>
    <r>
      <rPr>
        <sz val="12"/>
        <rFont val="Times New Roman"/>
        <family val="1"/>
        <charset val="204"/>
      </rPr>
      <t xml:space="preserve">, Д2 - К2-29сущ - </t>
    </r>
    <r>
      <rPr>
        <b/>
        <sz val="12"/>
        <rFont val="Times New Roman"/>
        <family val="1"/>
        <charset val="204"/>
      </rPr>
      <t>2,90м3</t>
    </r>
    <r>
      <rPr>
        <sz val="12"/>
        <rFont val="Times New Roman"/>
        <family val="1"/>
        <charset val="204"/>
      </rPr>
      <t xml:space="preserve">, Д10 - </t>
    </r>
    <r>
      <rPr>
        <b/>
        <sz val="12"/>
        <rFont val="Times New Roman"/>
        <family val="1"/>
        <charset val="204"/>
      </rPr>
      <t>4,46м3</t>
    </r>
    <r>
      <rPr>
        <sz val="12"/>
        <rFont val="Times New Roman"/>
        <family val="1"/>
        <charset val="204"/>
      </rPr>
      <t xml:space="preserve">, К2-8 - К2-4сущ - </t>
    </r>
    <r>
      <rPr>
        <b/>
        <sz val="12"/>
        <rFont val="Times New Roman"/>
        <family val="1"/>
        <charset val="204"/>
      </rPr>
      <t>10,15м3</t>
    </r>
    <r>
      <rPr>
        <sz val="12"/>
        <rFont val="Times New Roman"/>
        <family val="1"/>
        <charset val="204"/>
      </rPr>
      <t xml:space="preserve">, К2-9 - К2-6сущ - </t>
    </r>
    <r>
      <rPr>
        <b/>
        <sz val="12"/>
        <rFont val="Times New Roman"/>
        <family val="1"/>
        <charset val="204"/>
      </rPr>
      <t>9,60м3</t>
    </r>
    <r>
      <rPr>
        <sz val="12"/>
        <rFont val="Times New Roman"/>
        <family val="1"/>
        <charset val="204"/>
      </rPr>
      <t xml:space="preserve">, К2-89 - К2-4сущ - </t>
    </r>
    <r>
      <rPr>
        <b/>
        <sz val="12"/>
        <rFont val="Times New Roman"/>
        <family val="1"/>
        <charset val="204"/>
      </rPr>
      <t>7,90м3</t>
    </r>
    <r>
      <rPr>
        <sz val="12"/>
        <rFont val="Times New Roman"/>
        <family val="1"/>
        <charset val="204"/>
      </rPr>
      <t xml:space="preserve">, Д-11 - К2-89 - </t>
    </r>
    <r>
      <rPr>
        <b/>
        <sz val="12"/>
        <rFont val="Times New Roman"/>
        <family val="1"/>
        <charset val="204"/>
      </rPr>
      <t>2,03м3</t>
    </r>
    <r>
      <rPr>
        <sz val="12"/>
        <rFont val="Times New Roman"/>
        <family val="1"/>
        <charset val="204"/>
      </rPr>
      <t xml:space="preserve">, Д3 - К2-30сущ - </t>
    </r>
    <r>
      <rPr>
        <b/>
        <sz val="12"/>
        <rFont val="Times New Roman"/>
        <family val="1"/>
        <charset val="204"/>
      </rPr>
      <t>1,92м3</t>
    </r>
    <r>
      <rPr>
        <sz val="12"/>
        <rFont val="Times New Roman"/>
        <family val="1"/>
        <charset val="204"/>
      </rPr>
      <t xml:space="preserve">, К2-20 - К2-12сущ - </t>
    </r>
    <r>
      <rPr>
        <b/>
        <sz val="12"/>
        <rFont val="Times New Roman"/>
        <family val="1"/>
        <charset val="204"/>
      </rPr>
      <t>24,60м3</t>
    </r>
    <r>
      <rPr>
        <sz val="12"/>
        <rFont val="Times New Roman"/>
        <family val="1"/>
        <charset val="204"/>
      </rPr>
      <t xml:space="preserve">, К2-25 - К2-15сущ - </t>
    </r>
    <r>
      <rPr>
        <b/>
        <sz val="12"/>
        <rFont val="Times New Roman"/>
        <family val="1"/>
        <charset val="204"/>
      </rPr>
      <t>7,59м3</t>
    </r>
    <r>
      <rPr>
        <sz val="12"/>
        <rFont val="Times New Roman"/>
        <family val="1"/>
        <charset val="204"/>
      </rPr>
      <t>, К2-28 - К2-29 - К2-17сущ -</t>
    </r>
    <r>
      <rPr>
        <b/>
        <sz val="12"/>
        <rFont val="Times New Roman"/>
        <family val="1"/>
        <charset val="204"/>
      </rPr>
      <t>18,77м3</t>
    </r>
    <r>
      <rPr>
        <sz val="12"/>
        <rFont val="Times New Roman"/>
        <family val="1"/>
        <charset val="204"/>
      </rPr>
      <t xml:space="preserve">, К2-26 - К2-16сущ - </t>
    </r>
    <r>
      <rPr>
        <b/>
        <sz val="12"/>
        <rFont val="Times New Roman"/>
        <family val="1"/>
        <charset val="204"/>
      </rPr>
      <t>14,09м3</t>
    </r>
    <r>
      <rPr>
        <sz val="12"/>
        <rFont val="Times New Roman"/>
        <family val="1"/>
        <charset val="204"/>
      </rPr>
      <t xml:space="preserve">, Д4 - К2-31сущ - </t>
    </r>
    <r>
      <rPr>
        <b/>
        <sz val="12"/>
        <rFont val="Times New Roman"/>
        <family val="1"/>
        <charset val="204"/>
      </rPr>
      <t>1,30м3</t>
    </r>
    <r>
      <rPr>
        <sz val="12"/>
        <rFont val="Times New Roman"/>
        <family val="1"/>
        <charset val="204"/>
      </rPr>
      <t xml:space="preserve">, Д5 - К2-15сущ - </t>
    </r>
    <r>
      <rPr>
        <b/>
        <sz val="12"/>
        <rFont val="Times New Roman"/>
        <family val="1"/>
        <charset val="204"/>
      </rPr>
      <t>1,58м3</t>
    </r>
    <r>
      <rPr>
        <sz val="12"/>
        <rFont val="Times New Roman"/>
        <family val="1"/>
        <charset val="204"/>
      </rPr>
      <t xml:space="preserve">, Д6 - К2-38сущ - </t>
    </r>
    <r>
      <rPr>
        <b/>
        <sz val="12"/>
        <rFont val="Times New Roman"/>
        <family val="1"/>
        <charset val="204"/>
      </rPr>
      <t>3,16м3,</t>
    </r>
    <r>
      <rPr>
        <sz val="12"/>
        <rFont val="Times New Roman"/>
        <family val="1"/>
        <charset val="204"/>
      </rPr>
      <t xml:space="preserve"> Д7 - К2-17сущ- </t>
    </r>
    <r>
      <rPr>
        <b/>
        <sz val="12"/>
        <rFont val="Times New Roman"/>
        <family val="1"/>
        <charset val="204"/>
      </rPr>
      <t>3,73м3</t>
    </r>
    <r>
      <rPr>
        <sz val="12"/>
        <rFont val="Times New Roman"/>
        <family val="1"/>
        <charset val="204"/>
      </rPr>
      <t>, Д8 - К2-39сущ -</t>
    </r>
    <r>
      <rPr>
        <b/>
        <sz val="12"/>
        <rFont val="Times New Roman"/>
        <family val="1"/>
        <charset val="204"/>
      </rPr>
      <t xml:space="preserve"> 2,37м3</t>
    </r>
    <r>
      <rPr>
        <sz val="12"/>
        <rFont val="Times New Roman"/>
        <family val="1"/>
        <charset val="204"/>
      </rPr>
      <t xml:space="preserve">, К2-23сущ - К2-92 (тальвеж) - </t>
    </r>
    <r>
      <rPr>
        <b/>
        <sz val="12"/>
        <rFont val="Times New Roman"/>
        <family val="1"/>
        <charset val="204"/>
      </rPr>
      <t>3,65м3</t>
    </r>
    <r>
      <rPr>
        <sz val="12"/>
        <rFont val="Times New Roman"/>
        <family val="1"/>
        <charset val="204"/>
      </rPr>
      <t xml:space="preserve">, К2-43 - К2-25сущ - </t>
    </r>
    <r>
      <rPr>
        <b/>
        <sz val="12"/>
        <rFont val="Times New Roman"/>
        <family val="1"/>
        <charset val="204"/>
      </rPr>
      <t>10,57м3</t>
    </r>
    <r>
      <rPr>
        <sz val="12"/>
        <rFont val="Times New Roman"/>
        <family val="1"/>
        <charset val="204"/>
      </rPr>
      <t xml:space="preserve">, К2-45 - К2-26сущ - </t>
    </r>
    <r>
      <rPr>
        <b/>
        <sz val="12"/>
        <rFont val="Times New Roman"/>
        <family val="1"/>
        <charset val="204"/>
      </rPr>
      <t>10,15м3</t>
    </r>
    <r>
      <rPr>
        <sz val="12"/>
        <rFont val="Times New Roman"/>
        <family val="1"/>
        <charset val="204"/>
      </rPr>
      <t xml:space="preserve">, К2-91 - К2-90 (тальвеж.) - </t>
    </r>
    <r>
      <rPr>
        <b/>
        <sz val="12"/>
        <rFont val="Times New Roman"/>
        <family val="1"/>
        <charset val="204"/>
      </rPr>
      <t>1,11м3</t>
    </r>
    <r>
      <rPr>
        <sz val="12"/>
        <rFont val="Times New Roman"/>
        <family val="1"/>
        <charset val="204"/>
      </rPr>
      <t xml:space="preserve">, Д9 - К2-40сущ - </t>
    </r>
    <r>
      <rPr>
        <b/>
        <sz val="12"/>
        <rFont val="Times New Roman"/>
        <family val="1"/>
        <charset val="204"/>
      </rPr>
      <t>1,32м3</t>
    </r>
  </si>
  <si>
    <t xml:space="preserve">в ВОР гр.грунтов 3 с креплениями,в смете гр.2 без </t>
  </si>
  <si>
    <t>Крепление инвентарными щитами стенок траншей, включая щиты из досок, толщина 40 мм - 24,152м2 с оборач.</t>
  </si>
  <si>
    <r>
      <t xml:space="preserve">Устройство песчаного основания под трубопроводы                                                                                                К2-81 - К2-82 - К2-83 - К2-84 - К2-41сущ - </t>
    </r>
    <r>
      <rPr>
        <b/>
        <sz val="12"/>
        <rFont val="Times New Roman"/>
        <family val="1"/>
        <charset val="204"/>
      </rPr>
      <t>2,60м3</t>
    </r>
    <r>
      <rPr>
        <sz val="12"/>
        <rFont val="Times New Roman"/>
        <family val="1"/>
        <charset val="204"/>
      </rPr>
      <t>; Д1 - К2-81 -</t>
    </r>
    <r>
      <rPr>
        <b/>
        <sz val="12"/>
        <rFont val="Times New Roman"/>
        <family val="1"/>
        <charset val="204"/>
      </rPr>
      <t xml:space="preserve"> 2,60м3</t>
    </r>
    <r>
      <rPr>
        <sz val="12"/>
        <rFont val="Times New Roman"/>
        <family val="1"/>
        <charset val="204"/>
      </rPr>
      <t xml:space="preserve">, Д2 - К2-29сущ - </t>
    </r>
    <r>
      <rPr>
        <b/>
        <sz val="12"/>
        <rFont val="Times New Roman"/>
        <family val="1"/>
        <charset val="204"/>
      </rPr>
      <t>1,86м3</t>
    </r>
    <r>
      <rPr>
        <sz val="12"/>
        <rFont val="Times New Roman"/>
        <family val="1"/>
        <charset val="204"/>
      </rPr>
      <t xml:space="preserve">, Д10 - </t>
    </r>
    <r>
      <rPr>
        <b/>
        <sz val="12"/>
        <rFont val="Times New Roman"/>
        <family val="1"/>
        <charset val="204"/>
      </rPr>
      <t>2,86м3</t>
    </r>
    <r>
      <rPr>
        <sz val="12"/>
        <rFont val="Times New Roman"/>
        <family val="1"/>
        <charset val="204"/>
      </rPr>
      <t xml:space="preserve">, К2-8 - К2-4сущ - </t>
    </r>
    <r>
      <rPr>
        <b/>
        <sz val="12"/>
        <rFont val="Times New Roman"/>
        <family val="1"/>
        <charset val="204"/>
      </rPr>
      <t>6,51м3</t>
    </r>
    <r>
      <rPr>
        <sz val="12"/>
        <rFont val="Times New Roman"/>
        <family val="1"/>
        <charset val="204"/>
      </rPr>
      <t xml:space="preserve">, К2-9 - К2-6сущ - </t>
    </r>
    <r>
      <rPr>
        <b/>
        <sz val="12"/>
        <rFont val="Times New Roman"/>
        <family val="1"/>
        <charset val="204"/>
      </rPr>
      <t>6,16м3</t>
    </r>
    <r>
      <rPr>
        <sz val="12"/>
        <rFont val="Times New Roman"/>
        <family val="1"/>
        <charset val="204"/>
      </rPr>
      <t xml:space="preserve">, К2-89 - К2-4сущ - </t>
    </r>
    <r>
      <rPr>
        <b/>
        <sz val="12"/>
        <rFont val="Times New Roman"/>
        <family val="1"/>
        <charset val="204"/>
      </rPr>
      <t>5,07м3</t>
    </r>
    <r>
      <rPr>
        <sz val="12"/>
        <rFont val="Times New Roman"/>
        <family val="1"/>
        <charset val="204"/>
      </rPr>
      <t xml:space="preserve">, Д-11 - К2-89 - </t>
    </r>
    <r>
      <rPr>
        <b/>
        <sz val="12"/>
        <rFont val="Times New Roman"/>
        <family val="1"/>
        <charset val="204"/>
      </rPr>
      <t>1,30м3</t>
    </r>
    <r>
      <rPr>
        <sz val="12"/>
        <rFont val="Times New Roman"/>
        <family val="1"/>
        <charset val="204"/>
      </rPr>
      <t xml:space="preserve">, Д3 - К2-30сущ - </t>
    </r>
    <r>
      <rPr>
        <b/>
        <sz val="12"/>
        <rFont val="Times New Roman"/>
        <family val="1"/>
        <charset val="204"/>
      </rPr>
      <t>1,24м3</t>
    </r>
    <r>
      <rPr>
        <sz val="12"/>
        <rFont val="Times New Roman"/>
        <family val="1"/>
        <charset val="204"/>
      </rPr>
      <t xml:space="preserve">, К2-20 - К2-12сущ - </t>
    </r>
    <r>
      <rPr>
        <b/>
        <sz val="12"/>
        <rFont val="Times New Roman"/>
        <family val="1"/>
        <charset val="204"/>
      </rPr>
      <t>15,80м3</t>
    </r>
    <r>
      <rPr>
        <sz val="12"/>
        <rFont val="Times New Roman"/>
        <family val="1"/>
        <charset val="204"/>
      </rPr>
      <t xml:space="preserve">, К2-25 - К2-15сущ - </t>
    </r>
    <r>
      <rPr>
        <b/>
        <sz val="12"/>
        <rFont val="Times New Roman"/>
        <family val="1"/>
        <charset val="204"/>
      </rPr>
      <t>4,88м3</t>
    </r>
    <r>
      <rPr>
        <sz val="12"/>
        <rFont val="Times New Roman"/>
        <family val="1"/>
        <charset val="204"/>
      </rPr>
      <t>, К2-28 - К2-29 - К2-17сущ -</t>
    </r>
    <r>
      <rPr>
        <b/>
        <sz val="12"/>
        <rFont val="Times New Roman"/>
        <family val="1"/>
        <charset val="204"/>
      </rPr>
      <t>12,05м3</t>
    </r>
    <r>
      <rPr>
        <sz val="12"/>
        <rFont val="Times New Roman"/>
        <family val="1"/>
        <charset val="204"/>
      </rPr>
      <t>, К2-26 - К2-16сущ -</t>
    </r>
    <r>
      <rPr>
        <b/>
        <sz val="12"/>
        <rFont val="Times New Roman"/>
        <family val="1"/>
        <charset val="204"/>
      </rPr>
      <t xml:space="preserve"> 9,05м3</t>
    </r>
    <r>
      <rPr>
        <sz val="12"/>
        <rFont val="Times New Roman"/>
        <family val="1"/>
        <charset val="204"/>
      </rPr>
      <t xml:space="preserve">, Д4 - К2-31сущ - </t>
    </r>
    <r>
      <rPr>
        <b/>
        <sz val="12"/>
        <rFont val="Times New Roman"/>
        <family val="1"/>
        <charset val="204"/>
      </rPr>
      <t>0,83м3</t>
    </r>
    <r>
      <rPr>
        <sz val="12"/>
        <rFont val="Times New Roman"/>
        <family val="1"/>
        <charset val="204"/>
      </rPr>
      <t xml:space="preserve">, Д5 - К2-15сущ - </t>
    </r>
    <r>
      <rPr>
        <b/>
        <sz val="12"/>
        <rFont val="Times New Roman"/>
        <family val="1"/>
        <charset val="204"/>
      </rPr>
      <t>1,01м3</t>
    </r>
    <r>
      <rPr>
        <sz val="12"/>
        <rFont val="Times New Roman"/>
        <family val="1"/>
        <charset val="204"/>
      </rPr>
      <t xml:space="preserve">, Д6 - К2-38сущ - </t>
    </r>
    <r>
      <rPr>
        <b/>
        <sz val="12"/>
        <rFont val="Times New Roman"/>
        <family val="1"/>
        <charset val="204"/>
      </rPr>
      <t>2,03м3</t>
    </r>
    <r>
      <rPr>
        <sz val="12"/>
        <rFont val="Times New Roman"/>
        <family val="1"/>
        <charset val="204"/>
      </rPr>
      <t xml:space="preserve">, Д7 - К2-17сущ- </t>
    </r>
    <r>
      <rPr>
        <b/>
        <sz val="12"/>
        <rFont val="Times New Roman"/>
        <family val="1"/>
        <charset val="204"/>
      </rPr>
      <t>2,39м3</t>
    </r>
    <r>
      <rPr>
        <sz val="12"/>
        <rFont val="Times New Roman"/>
        <family val="1"/>
        <charset val="204"/>
      </rPr>
      <t>, Д8 - К2-39сущ -</t>
    </r>
    <r>
      <rPr>
        <b/>
        <sz val="12"/>
        <rFont val="Times New Roman"/>
        <family val="1"/>
        <charset val="204"/>
      </rPr>
      <t xml:space="preserve"> 1,52м3,</t>
    </r>
    <r>
      <rPr>
        <sz val="12"/>
        <rFont val="Times New Roman"/>
        <family val="1"/>
        <charset val="204"/>
      </rPr>
      <t xml:space="preserve"> К2-23сущ - К2-92 (тальвеж) - </t>
    </r>
    <r>
      <rPr>
        <b/>
        <sz val="12"/>
        <rFont val="Times New Roman"/>
        <family val="1"/>
        <charset val="204"/>
      </rPr>
      <t>2,34м3</t>
    </r>
    <r>
      <rPr>
        <sz val="12"/>
        <rFont val="Times New Roman"/>
        <family val="1"/>
        <charset val="204"/>
      </rPr>
      <t>, К2-43 - К2-25сущ -</t>
    </r>
    <r>
      <rPr>
        <b/>
        <sz val="12"/>
        <rFont val="Times New Roman"/>
        <family val="1"/>
        <charset val="204"/>
      </rPr>
      <t xml:space="preserve"> 6,79м3</t>
    </r>
    <r>
      <rPr>
        <sz val="12"/>
        <rFont val="Times New Roman"/>
        <family val="1"/>
        <charset val="204"/>
      </rPr>
      <t xml:space="preserve">, К2-45 - К2-26сущ - </t>
    </r>
    <r>
      <rPr>
        <b/>
        <sz val="12"/>
        <rFont val="Times New Roman"/>
        <family val="1"/>
        <charset val="204"/>
      </rPr>
      <t>6,51м3</t>
    </r>
    <r>
      <rPr>
        <sz val="12"/>
        <rFont val="Times New Roman"/>
        <family val="1"/>
        <charset val="204"/>
      </rPr>
      <t xml:space="preserve">, К2-91 - К2-90 (тальвеж.) - </t>
    </r>
    <r>
      <rPr>
        <b/>
        <sz val="12"/>
        <rFont val="Times New Roman"/>
        <family val="1"/>
        <charset val="204"/>
      </rPr>
      <t>0,72м3</t>
    </r>
    <r>
      <rPr>
        <sz val="12"/>
        <rFont val="Times New Roman"/>
        <family val="1"/>
        <charset val="204"/>
      </rPr>
      <t>, Д9 - К2-40сущ -</t>
    </r>
    <r>
      <rPr>
        <b/>
        <sz val="12"/>
        <rFont val="Times New Roman"/>
        <family val="1"/>
        <charset val="204"/>
      </rPr>
      <t xml:space="preserve"> 0,85м3</t>
    </r>
  </si>
  <si>
    <r>
      <t xml:space="preserve">Засыпка </t>
    </r>
    <r>
      <rPr>
        <b/>
        <sz val="12"/>
        <rFont val="Times New Roman"/>
        <family val="1"/>
        <charset val="204"/>
      </rPr>
      <t>вручную</t>
    </r>
    <r>
      <rPr>
        <sz val="12"/>
        <rFont val="Times New Roman"/>
        <family val="1"/>
        <charset val="204"/>
      </rPr>
      <t xml:space="preserve"> траншей, пазух котлованов и ям, группа грунтов: 1                                                                                К2-81 - К2-82 - К2-83 - К2-84 - К2-41сущ - </t>
    </r>
    <r>
      <rPr>
        <b/>
        <sz val="12"/>
        <rFont val="Times New Roman"/>
        <family val="1"/>
        <charset val="204"/>
      </rPr>
      <t>31,28м3;</t>
    </r>
    <r>
      <rPr>
        <sz val="12"/>
        <rFont val="Times New Roman"/>
        <family val="1"/>
        <charset val="204"/>
      </rPr>
      <t xml:space="preserve"> Д1 - К2-81 - </t>
    </r>
    <r>
      <rPr>
        <b/>
        <sz val="12"/>
        <rFont val="Times New Roman"/>
        <family val="1"/>
        <charset val="204"/>
      </rPr>
      <t>31,28м3</t>
    </r>
    <r>
      <rPr>
        <sz val="12"/>
        <rFont val="Times New Roman"/>
        <family val="1"/>
        <charset val="204"/>
      </rPr>
      <t xml:space="preserve">, Д2 - К2-29сущ - </t>
    </r>
    <r>
      <rPr>
        <b/>
        <sz val="12"/>
        <rFont val="Times New Roman"/>
        <family val="1"/>
        <charset val="204"/>
      </rPr>
      <t>22,36м3</t>
    </r>
    <r>
      <rPr>
        <sz val="12"/>
        <rFont val="Times New Roman"/>
        <family val="1"/>
        <charset val="204"/>
      </rPr>
      <t xml:space="preserve">, Д10 - </t>
    </r>
    <r>
      <rPr>
        <b/>
        <sz val="12"/>
        <rFont val="Times New Roman"/>
        <family val="1"/>
        <charset val="204"/>
      </rPr>
      <t>34,40м3</t>
    </r>
    <r>
      <rPr>
        <sz val="12"/>
        <rFont val="Times New Roman"/>
        <family val="1"/>
        <charset val="204"/>
      </rPr>
      <t>, К2-8 - К2-4сущ -</t>
    </r>
    <r>
      <rPr>
        <b/>
        <sz val="12"/>
        <rFont val="Times New Roman"/>
        <family val="1"/>
        <charset val="204"/>
      </rPr>
      <t xml:space="preserve"> 78,34м3</t>
    </r>
    <r>
      <rPr>
        <sz val="12"/>
        <rFont val="Times New Roman"/>
        <family val="1"/>
        <charset val="204"/>
      </rPr>
      <t xml:space="preserve">, К2-9 - К2-6сущ - </t>
    </r>
    <r>
      <rPr>
        <b/>
        <sz val="12"/>
        <rFont val="Times New Roman"/>
        <family val="1"/>
        <charset val="204"/>
      </rPr>
      <t>74,12м3</t>
    </r>
    <r>
      <rPr>
        <sz val="12"/>
        <rFont val="Times New Roman"/>
        <family val="1"/>
        <charset val="204"/>
      </rPr>
      <t xml:space="preserve">, К2-89 - К2-4сущ - </t>
    </r>
    <r>
      <rPr>
        <b/>
        <sz val="12"/>
        <rFont val="Times New Roman"/>
        <family val="1"/>
        <charset val="204"/>
      </rPr>
      <t>60,99м3</t>
    </r>
    <r>
      <rPr>
        <sz val="12"/>
        <rFont val="Times New Roman"/>
        <family val="1"/>
        <charset val="204"/>
      </rPr>
      <t xml:space="preserve">, Д-11 - К2-89 - </t>
    </r>
    <r>
      <rPr>
        <b/>
        <sz val="12"/>
        <rFont val="Times New Roman"/>
        <family val="1"/>
        <charset val="204"/>
      </rPr>
      <t>15,64м3</t>
    </r>
    <r>
      <rPr>
        <sz val="12"/>
        <rFont val="Times New Roman"/>
        <family val="1"/>
        <charset val="204"/>
      </rPr>
      <t xml:space="preserve">, Д3 - К2-30сущ - </t>
    </r>
    <r>
      <rPr>
        <b/>
        <sz val="12"/>
        <rFont val="Times New Roman"/>
        <family val="1"/>
        <charset val="204"/>
      </rPr>
      <t>14,86м3</t>
    </r>
    <r>
      <rPr>
        <sz val="12"/>
        <rFont val="Times New Roman"/>
        <family val="1"/>
        <charset val="204"/>
      </rPr>
      <t xml:space="preserve">, К2-20 - К2-12сущ - </t>
    </r>
    <r>
      <rPr>
        <b/>
        <sz val="12"/>
        <rFont val="Times New Roman"/>
        <family val="1"/>
        <charset val="204"/>
      </rPr>
      <t>190,00м3</t>
    </r>
    <r>
      <rPr>
        <sz val="12"/>
        <rFont val="Times New Roman"/>
        <family val="1"/>
        <charset val="204"/>
      </rPr>
      <t xml:space="preserve">, К2-25 - К2-15сущ - </t>
    </r>
    <r>
      <rPr>
        <b/>
        <sz val="12"/>
        <rFont val="Times New Roman"/>
        <family val="1"/>
        <charset val="204"/>
      </rPr>
      <t>58,64м3</t>
    </r>
    <r>
      <rPr>
        <sz val="12"/>
        <rFont val="Times New Roman"/>
        <family val="1"/>
        <charset val="204"/>
      </rPr>
      <t>, К2-28 - К2-29 - К2-17сущ -</t>
    </r>
    <r>
      <rPr>
        <b/>
        <sz val="12"/>
        <rFont val="Times New Roman"/>
        <family val="1"/>
        <charset val="204"/>
      </rPr>
      <t>144,96м3</t>
    </r>
    <r>
      <rPr>
        <sz val="12"/>
        <rFont val="Times New Roman"/>
        <family val="1"/>
        <charset val="204"/>
      </rPr>
      <t xml:space="preserve">, К2-26 - К2-16сущ - </t>
    </r>
    <r>
      <rPr>
        <b/>
        <sz val="12"/>
        <rFont val="Times New Roman"/>
        <family val="1"/>
        <charset val="204"/>
      </rPr>
      <t>108,84м3</t>
    </r>
    <r>
      <rPr>
        <sz val="12"/>
        <rFont val="Times New Roman"/>
        <family val="1"/>
        <charset val="204"/>
      </rPr>
      <t xml:space="preserve">, Д4 - К2-31сущ - </t>
    </r>
    <r>
      <rPr>
        <b/>
        <sz val="12"/>
        <rFont val="Times New Roman"/>
        <family val="1"/>
        <charset val="204"/>
      </rPr>
      <t>10,01м3</t>
    </r>
    <r>
      <rPr>
        <sz val="12"/>
        <rFont val="Times New Roman"/>
        <family val="1"/>
        <charset val="204"/>
      </rPr>
      <t>, Д5 - К2-15сущ -</t>
    </r>
    <r>
      <rPr>
        <b/>
        <sz val="12"/>
        <rFont val="Times New Roman"/>
        <family val="1"/>
        <charset val="204"/>
      </rPr>
      <t xml:space="preserve"> 12,20м3</t>
    </r>
    <r>
      <rPr>
        <sz val="12"/>
        <rFont val="Times New Roman"/>
        <family val="1"/>
        <charset val="204"/>
      </rPr>
      <t xml:space="preserve">, Д6 - К2-38сущ - </t>
    </r>
    <r>
      <rPr>
        <b/>
        <sz val="12"/>
        <rFont val="Times New Roman"/>
        <family val="1"/>
        <charset val="204"/>
      </rPr>
      <t>24,39м3</t>
    </r>
    <r>
      <rPr>
        <sz val="12"/>
        <rFont val="Times New Roman"/>
        <family val="1"/>
        <charset val="204"/>
      </rPr>
      <t xml:space="preserve">, Д7 - К2-17сущ- </t>
    </r>
    <r>
      <rPr>
        <b/>
        <sz val="12"/>
        <rFont val="Times New Roman"/>
        <family val="1"/>
        <charset val="204"/>
      </rPr>
      <t>28,77м3</t>
    </r>
    <r>
      <rPr>
        <sz val="12"/>
        <rFont val="Times New Roman"/>
        <family val="1"/>
        <charset val="204"/>
      </rPr>
      <t xml:space="preserve">, Д8 - К2-39сущ - </t>
    </r>
    <r>
      <rPr>
        <b/>
        <sz val="12"/>
        <rFont val="Times New Roman"/>
        <family val="1"/>
        <charset val="204"/>
      </rPr>
      <t>18,30м3</t>
    </r>
    <r>
      <rPr>
        <sz val="12"/>
        <rFont val="Times New Roman"/>
        <family val="1"/>
        <charset val="204"/>
      </rPr>
      <t xml:space="preserve">, К2-23сущ - К2-92 (тальвеж) - </t>
    </r>
    <r>
      <rPr>
        <b/>
        <sz val="12"/>
        <rFont val="Times New Roman"/>
        <family val="1"/>
        <charset val="204"/>
      </rPr>
      <t>28,15м3</t>
    </r>
    <r>
      <rPr>
        <sz val="12"/>
        <rFont val="Times New Roman"/>
        <family val="1"/>
        <charset val="204"/>
      </rPr>
      <t>, К2-43 - К2-25сущ -</t>
    </r>
    <r>
      <rPr>
        <b/>
        <sz val="12"/>
        <rFont val="Times New Roman"/>
        <family val="1"/>
        <charset val="204"/>
      </rPr>
      <t xml:space="preserve"> 81,63м3</t>
    </r>
    <r>
      <rPr>
        <sz val="12"/>
        <rFont val="Times New Roman"/>
        <family val="1"/>
        <charset val="204"/>
      </rPr>
      <t>, К2-45 - К2-26сущ -</t>
    </r>
    <r>
      <rPr>
        <b/>
        <sz val="12"/>
        <rFont val="Times New Roman"/>
        <family val="1"/>
        <charset val="204"/>
      </rPr>
      <t xml:space="preserve"> 78,34м3</t>
    </r>
    <r>
      <rPr>
        <sz val="12"/>
        <rFont val="Times New Roman"/>
        <family val="1"/>
        <charset val="204"/>
      </rPr>
      <t xml:space="preserve">, К2-91 - К2-90 (тальвеж.) - </t>
    </r>
    <r>
      <rPr>
        <b/>
        <sz val="12"/>
        <rFont val="Times New Roman"/>
        <family val="1"/>
        <charset val="204"/>
      </rPr>
      <t>8,60м3</t>
    </r>
    <r>
      <rPr>
        <sz val="12"/>
        <rFont val="Times New Roman"/>
        <family val="1"/>
        <charset val="204"/>
      </rPr>
      <t xml:space="preserve">, Д9 - К2-40сущ - </t>
    </r>
    <r>
      <rPr>
        <b/>
        <sz val="12"/>
        <rFont val="Times New Roman"/>
        <family val="1"/>
        <charset val="204"/>
      </rPr>
      <t xml:space="preserve">10,16м3 </t>
    </r>
    <r>
      <rPr>
        <sz val="12"/>
        <rFont val="Times New Roman"/>
        <family val="1"/>
        <charset val="204"/>
      </rPr>
      <t xml:space="preserve">    </t>
    </r>
  </si>
  <si>
    <r>
      <t xml:space="preserve">Засыпка траншей и котлованов с перемещением грунта до 5 м бульдозерами: группа грунтов 2                           К2-81 - К2-82 - К2-83 - К2-84 - К2-41сущ - </t>
    </r>
    <r>
      <rPr>
        <b/>
        <sz val="12"/>
        <rFont val="Times New Roman"/>
        <family val="1"/>
        <charset val="204"/>
      </rPr>
      <t>123,20м3</t>
    </r>
    <r>
      <rPr>
        <sz val="12"/>
        <rFont val="Times New Roman"/>
        <family val="1"/>
        <charset val="204"/>
      </rPr>
      <t xml:space="preserve">; Д1 - К2-81 - </t>
    </r>
    <r>
      <rPr>
        <b/>
        <sz val="12"/>
        <rFont val="Times New Roman"/>
        <family val="1"/>
        <charset val="204"/>
      </rPr>
      <t>123,20м3</t>
    </r>
    <r>
      <rPr>
        <sz val="12"/>
        <rFont val="Times New Roman"/>
        <family val="1"/>
        <charset val="204"/>
      </rPr>
      <t xml:space="preserve">, Д2 - К2-29сущ - </t>
    </r>
    <r>
      <rPr>
        <b/>
        <sz val="12"/>
        <rFont val="Times New Roman"/>
        <family val="1"/>
        <charset val="204"/>
      </rPr>
      <t>88,09м3</t>
    </r>
    <r>
      <rPr>
        <sz val="12"/>
        <rFont val="Times New Roman"/>
        <family val="1"/>
        <charset val="204"/>
      </rPr>
      <t xml:space="preserve">, Д10 - </t>
    </r>
    <r>
      <rPr>
        <b/>
        <sz val="12"/>
        <rFont val="Times New Roman"/>
        <family val="1"/>
        <charset val="204"/>
      </rPr>
      <t>135,52м3</t>
    </r>
    <r>
      <rPr>
        <sz val="12"/>
        <rFont val="Times New Roman"/>
        <family val="1"/>
        <charset val="204"/>
      </rPr>
      <t xml:space="preserve">, К2-8 - К2-4сущ - </t>
    </r>
    <r>
      <rPr>
        <b/>
        <sz val="12"/>
        <rFont val="Times New Roman"/>
        <family val="1"/>
        <charset val="204"/>
      </rPr>
      <t>68,14м3</t>
    </r>
    <r>
      <rPr>
        <sz val="12"/>
        <rFont val="Times New Roman"/>
        <family val="1"/>
        <charset val="204"/>
      </rPr>
      <t xml:space="preserve">, К2-9 - К2-6сущ - </t>
    </r>
    <r>
      <rPr>
        <b/>
        <sz val="12"/>
        <rFont val="Times New Roman"/>
        <family val="1"/>
        <charset val="204"/>
      </rPr>
      <t>64,46м3</t>
    </r>
    <r>
      <rPr>
        <sz val="12"/>
        <rFont val="Times New Roman"/>
        <family val="1"/>
        <charset val="204"/>
      </rPr>
      <t>, К2-89 - К2-4сущ -</t>
    </r>
    <r>
      <rPr>
        <b/>
        <sz val="12"/>
        <rFont val="Times New Roman"/>
        <family val="1"/>
        <charset val="204"/>
      </rPr>
      <t xml:space="preserve"> 240,24м3</t>
    </r>
    <r>
      <rPr>
        <sz val="12"/>
        <rFont val="Times New Roman"/>
        <family val="1"/>
        <charset val="204"/>
      </rPr>
      <t xml:space="preserve">, Д-11 - К2-89 - </t>
    </r>
    <r>
      <rPr>
        <b/>
        <sz val="12"/>
        <rFont val="Times New Roman"/>
        <family val="1"/>
        <charset val="204"/>
      </rPr>
      <t>61,60м3</t>
    </r>
    <r>
      <rPr>
        <sz val="12"/>
        <rFont val="Times New Roman"/>
        <family val="1"/>
        <charset val="204"/>
      </rPr>
      <t xml:space="preserve">, Д3 - К2-30сущ - </t>
    </r>
    <r>
      <rPr>
        <b/>
        <sz val="12"/>
        <rFont val="Times New Roman"/>
        <family val="1"/>
        <charset val="204"/>
      </rPr>
      <t>58,52м3</t>
    </r>
    <r>
      <rPr>
        <sz val="12"/>
        <rFont val="Times New Roman"/>
        <family val="1"/>
        <charset val="204"/>
      </rPr>
      <t xml:space="preserve">, К2-20 - К2-12сущ - </t>
    </r>
    <r>
      <rPr>
        <b/>
        <sz val="12"/>
        <rFont val="Times New Roman"/>
        <family val="1"/>
        <charset val="204"/>
      </rPr>
      <t>165,24м3</t>
    </r>
    <r>
      <rPr>
        <sz val="12"/>
        <rFont val="Times New Roman"/>
        <family val="1"/>
        <charset val="204"/>
      </rPr>
      <t xml:space="preserve">, К2-25 - К2-15сущ - </t>
    </r>
    <r>
      <rPr>
        <b/>
        <sz val="12"/>
        <rFont val="Times New Roman"/>
        <family val="1"/>
        <charset val="204"/>
      </rPr>
      <t>51,00м3</t>
    </r>
    <r>
      <rPr>
        <sz val="12"/>
        <rFont val="Times New Roman"/>
        <family val="1"/>
        <charset val="204"/>
      </rPr>
      <t>, К2-28 - К2-29 - К2-17сущ -</t>
    </r>
    <r>
      <rPr>
        <b/>
        <sz val="12"/>
        <rFont val="Times New Roman"/>
        <family val="1"/>
        <charset val="204"/>
      </rPr>
      <t>126,07м3</t>
    </r>
    <r>
      <rPr>
        <sz val="12"/>
        <rFont val="Times New Roman"/>
        <family val="1"/>
        <charset val="204"/>
      </rPr>
      <t>, К2-26 - К2-16сущ -</t>
    </r>
    <r>
      <rPr>
        <b/>
        <sz val="12"/>
        <rFont val="Times New Roman"/>
        <family val="1"/>
        <charset val="204"/>
      </rPr>
      <t xml:space="preserve"> 94,66м3</t>
    </r>
    <r>
      <rPr>
        <sz val="12"/>
        <rFont val="Times New Roman"/>
        <family val="1"/>
        <charset val="204"/>
      </rPr>
      <t xml:space="preserve">, Д4 - К2-31сущ - </t>
    </r>
    <r>
      <rPr>
        <b/>
        <sz val="12"/>
        <rFont val="Times New Roman"/>
        <family val="1"/>
        <charset val="204"/>
      </rPr>
      <t>39,42м3</t>
    </r>
    <r>
      <rPr>
        <sz val="12"/>
        <rFont val="Times New Roman"/>
        <family val="1"/>
        <charset val="204"/>
      </rPr>
      <t xml:space="preserve">, Д5 - К2-15сущ - </t>
    </r>
    <r>
      <rPr>
        <b/>
        <sz val="12"/>
        <rFont val="Times New Roman"/>
        <family val="1"/>
        <charset val="204"/>
      </rPr>
      <t>48,05м3</t>
    </r>
    <r>
      <rPr>
        <sz val="12"/>
        <rFont val="Times New Roman"/>
        <family val="1"/>
        <charset val="204"/>
      </rPr>
      <t>, Д6 - К2-38сущ -</t>
    </r>
    <r>
      <rPr>
        <b/>
        <sz val="12"/>
        <rFont val="Times New Roman"/>
        <family val="1"/>
        <charset val="204"/>
      </rPr>
      <t xml:space="preserve"> 96,10м3</t>
    </r>
    <r>
      <rPr>
        <sz val="12"/>
        <rFont val="Times New Roman"/>
        <family val="1"/>
        <charset val="204"/>
      </rPr>
      <t xml:space="preserve">, Д7 - К2-17сущ- </t>
    </r>
    <r>
      <rPr>
        <b/>
        <sz val="12"/>
        <rFont val="Times New Roman"/>
        <family val="1"/>
        <charset val="204"/>
      </rPr>
      <t>113,34м3</t>
    </r>
    <r>
      <rPr>
        <sz val="12"/>
        <rFont val="Times New Roman"/>
        <family val="1"/>
        <charset val="204"/>
      </rPr>
      <t xml:space="preserve">, Д8 - К2-39сущ - </t>
    </r>
    <r>
      <rPr>
        <b/>
        <sz val="12"/>
        <rFont val="Times New Roman"/>
        <family val="1"/>
        <charset val="204"/>
      </rPr>
      <t>72,07м3</t>
    </r>
    <r>
      <rPr>
        <sz val="12"/>
        <rFont val="Times New Roman"/>
        <family val="1"/>
        <charset val="204"/>
      </rPr>
      <t xml:space="preserve">, К2-23сущ - К2-92 (тальвеж) - </t>
    </r>
    <r>
      <rPr>
        <b/>
        <sz val="12"/>
        <rFont val="Times New Roman"/>
        <family val="1"/>
        <charset val="204"/>
      </rPr>
      <t>110,88м3</t>
    </r>
    <r>
      <rPr>
        <sz val="12"/>
        <rFont val="Times New Roman"/>
        <family val="1"/>
        <charset val="204"/>
      </rPr>
      <t>, К2-43 - К2-25сущ -</t>
    </r>
    <r>
      <rPr>
        <b/>
        <sz val="12"/>
        <rFont val="Times New Roman"/>
        <family val="1"/>
        <charset val="204"/>
      </rPr>
      <t xml:space="preserve"> 70,99м3</t>
    </r>
    <r>
      <rPr>
        <sz val="12"/>
        <rFont val="Times New Roman"/>
        <family val="1"/>
        <charset val="204"/>
      </rPr>
      <t xml:space="preserve">, К2-45 - К2-26сущ - </t>
    </r>
    <r>
      <rPr>
        <b/>
        <sz val="12"/>
        <rFont val="Times New Roman"/>
        <family val="1"/>
        <charset val="204"/>
      </rPr>
      <t>68,14м3</t>
    </r>
    <r>
      <rPr>
        <sz val="12"/>
        <rFont val="Times New Roman"/>
        <family val="1"/>
        <charset val="204"/>
      </rPr>
      <t xml:space="preserve">, К2-91 - К2-90 (тальвеж.) - </t>
    </r>
    <r>
      <rPr>
        <b/>
        <sz val="12"/>
        <rFont val="Times New Roman"/>
        <family val="1"/>
        <charset val="204"/>
      </rPr>
      <t>33,88м3</t>
    </r>
    <r>
      <rPr>
        <sz val="12"/>
        <rFont val="Times New Roman"/>
        <family val="1"/>
        <charset val="204"/>
      </rPr>
      <t xml:space="preserve">, Д9 - К2-40сущ - </t>
    </r>
    <r>
      <rPr>
        <b/>
        <sz val="12"/>
        <rFont val="Times New Roman"/>
        <family val="1"/>
        <charset val="204"/>
      </rPr>
      <t xml:space="preserve">40,04м3  </t>
    </r>
    <r>
      <rPr>
        <sz val="12"/>
        <rFont val="Times New Roman"/>
        <family val="1"/>
        <charset val="204"/>
      </rPr>
      <t xml:space="preserve">   </t>
    </r>
  </si>
  <si>
    <t>в ВОР указ. без перемещения, указана гр.3 (местный)</t>
  </si>
  <si>
    <t>Уплотнение грунта пневматическими трамбовками, группа грунтов: 1-2</t>
  </si>
  <si>
    <r>
      <t xml:space="preserve">Перевозка грузов I класса автомобилями-самосвалами на расстояние до 20 км (прим. Вывоз излишков грунта,  не используемых для обратной засыпки)                                                                                                                     К2-81 - К2-82 - К2-83 - К2-84 - К2-41сущ - </t>
    </r>
    <r>
      <rPr>
        <b/>
        <sz val="12"/>
        <rFont val="Times New Roman"/>
        <family val="1"/>
        <charset val="204"/>
      </rPr>
      <t>76,73т</t>
    </r>
    <r>
      <rPr>
        <sz val="12"/>
        <rFont val="Times New Roman"/>
        <family val="1"/>
        <charset val="204"/>
      </rPr>
      <t>; Д1 - К2-81 -</t>
    </r>
    <r>
      <rPr>
        <b/>
        <sz val="12"/>
        <rFont val="Times New Roman"/>
        <family val="1"/>
        <charset val="204"/>
      </rPr>
      <t xml:space="preserve"> 76,73т</t>
    </r>
    <r>
      <rPr>
        <sz val="12"/>
        <rFont val="Times New Roman"/>
        <family val="1"/>
        <charset val="204"/>
      </rPr>
      <t xml:space="preserve">, Д2 - К2-29сущ - </t>
    </r>
    <r>
      <rPr>
        <b/>
        <sz val="12"/>
        <rFont val="Times New Roman"/>
        <family val="1"/>
        <charset val="204"/>
      </rPr>
      <t>54,86т</t>
    </r>
    <r>
      <rPr>
        <sz val="12"/>
        <rFont val="Times New Roman"/>
        <family val="1"/>
        <charset val="204"/>
      </rPr>
      <t xml:space="preserve">, Д10 - </t>
    </r>
    <r>
      <rPr>
        <b/>
        <sz val="12"/>
        <rFont val="Times New Roman"/>
        <family val="1"/>
        <charset val="204"/>
      </rPr>
      <t>84,41т</t>
    </r>
    <r>
      <rPr>
        <sz val="12"/>
        <rFont val="Times New Roman"/>
        <family val="1"/>
        <charset val="204"/>
      </rPr>
      <t xml:space="preserve">, К2-8 - К2-4сущ - </t>
    </r>
    <r>
      <rPr>
        <b/>
        <sz val="12"/>
        <rFont val="Times New Roman"/>
        <family val="1"/>
        <charset val="204"/>
      </rPr>
      <t>192,22т</t>
    </r>
    <r>
      <rPr>
        <sz val="12"/>
        <rFont val="Times New Roman"/>
        <family val="1"/>
        <charset val="204"/>
      </rPr>
      <t>, К2-9 - К2-6сущ -</t>
    </r>
    <r>
      <rPr>
        <b/>
        <sz val="12"/>
        <rFont val="Times New Roman"/>
        <family val="1"/>
        <charset val="204"/>
      </rPr>
      <t xml:space="preserve"> 181,86т</t>
    </r>
    <r>
      <rPr>
        <sz val="12"/>
        <rFont val="Times New Roman"/>
        <family val="1"/>
        <charset val="204"/>
      </rPr>
      <t xml:space="preserve">, К2-89 - К2-4сущ - </t>
    </r>
    <r>
      <rPr>
        <b/>
        <sz val="12"/>
        <rFont val="Times New Roman"/>
        <family val="1"/>
        <charset val="204"/>
      </rPr>
      <t>149,63т</t>
    </r>
    <r>
      <rPr>
        <sz val="12"/>
        <rFont val="Times New Roman"/>
        <family val="1"/>
        <charset val="204"/>
      </rPr>
      <t>, Д-11 - К2-89</t>
    </r>
    <r>
      <rPr>
        <b/>
        <sz val="12"/>
        <rFont val="Times New Roman"/>
        <family val="1"/>
        <charset val="204"/>
      </rPr>
      <t xml:space="preserve"> - 38,37т</t>
    </r>
    <r>
      <rPr>
        <sz val="12"/>
        <rFont val="Times New Roman"/>
        <family val="1"/>
        <charset val="204"/>
      </rPr>
      <t xml:space="preserve">, Д3 - К2-30сущ - </t>
    </r>
    <r>
      <rPr>
        <b/>
        <sz val="12"/>
        <rFont val="Times New Roman"/>
        <family val="1"/>
        <charset val="204"/>
      </rPr>
      <t>36,45т</t>
    </r>
    <r>
      <rPr>
        <sz val="12"/>
        <rFont val="Times New Roman"/>
        <family val="1"/>
        <charset val="204"/>
      </rPr>
      <t xml:space="preserve">, К2-20 - К2-12сущ </t>
    </r>
    <r>
      <rPr>
        <b/>
        <sz val="12"/>
        <rFont val="Times New Roman"/>
        <family val="1"/>
        <charset val="204"/>
      </rPr>
      <t>- 466,16т</t>
    </r>
    <r>
      <rPr>
        <sz val="12"/>
        <rFont val="Times New Roman"/>
        <family val="1"/>
        <charset val="204"/>
      </rPr>
      <t xml:space="preserve">, К2-25 - К2-15сущ - </t>
    </r>
    <r>
      <rPr>
        <b/>
        <sz val="12"/>
        <rFont val="Times New Roman"/>
        <family val="1"/>
        <charset val="204"/>
      </rPr>
      <t>143,88т</t>
    </r>
    <r>
      <rPr>
        <sz val="12"/>
        <rFont val="Times New Roman"/>
        <family val="1"/>
        <charset val="204"/>
      </rPr>
      <t>, К2-28 - К2-29 - К2-17сущ -</t>
    </r>
    <r>
      <rPr>
        <b/>
        <sz val="12"/>
        <rFont val="Times New Roman"/>
        <family val="1"/>
        <charset val="204"/>
      </rPr>
      <t>355,66т</t>
    </r>
    <r>
      <rPr>
        <sz val="12"/>
        <rFont val="Times New Roman"/>
        <family val="1"/>
        <charset val="204"/>
      </rPr>
      <t>, К2-26 - К2-16сущ -</t>
    </r>
    <r>
      <rPr>
        <b/>
        <sz val="12"/>
        <rFont val="Times New Roman"/>
        <family val="1"/>
        <charset val="204"/>
      </rPr>
      <t>267,08т</t>
    </r>
    <r>
      <rPr>
        <sz val="12"/>
        <rFont val="Times New Roman"/>
        <family val="1"/>
        <charset val="204"/>
      </rPr>
      <t>, Д4 - К2-31сущ -</t>
    </r>
    <r>
      <rPr>
        <b/>
        <sz val="12"/>
        <rFont val="Times New Roman"/>
        <family val="1"/>
        <charset val="204"/>
      </rPr>
      <t xml:space="preserve"> 24,55т</t>
    </r>
    <r>
      <rPr>
        <sz val="12"/>
        <rFont val="Times New Roman"/>
        <family val="1"/>
        <charset val="204"/>
      </rPr>
      <t>, Д5 - К2-15сущ -</t>
    </r>
    <r>
      <rPr>
        <b/>
        <sz val="12"/>
        <rFont val="Times New Roman"/>
        <family val="1"/>
        <charset val="204"/>
      </rPr>
      <t>29,93т</t>
    </r>
    <r>
      <rPr>
        <sz val="12"/>
        <rFont val="Times New Roman"/>
        <family val="1"/>
        <charset val="204"/>
      </rPr>
      <t>, Д6 - К2-38сущ -</t>
    </r>
    <r>
      <rPr>
        <b/>
        <sz val="12"/>
        <rFont val="Times New Roman"/>
        <family val="1"/>
        <charset val="204"/>
      </rPr>
      <t xml:space="preserve"> 59,85т</t>
    </r>
    <r>
      <rPr>
        <sz val="12"/>
        <rFont val="Times New Roman"/>
        <family val="1"/>
        <charset val="204"/>
      </rPr>
      <t xml:space="preserve">, Д7 - К2-17сущ- </t>
    </r>
    <r>
      <rPr>
        <b/>
        <sz val="12"/>
        <rFont val="Times New Roman"/>
        <family val="1"/>
        <charset val="204"/>
      </rPr>
      <t>70,60т,</t>
    </r>
    <r>
      <rPr>
        <sz val="12"/>
        <rFont val="Times New Roman"/>
        <family val="1"/>
        <charset val="204"/>
      </rPr>
      <t xml:space="preserve"> Д8 - К2-39сущ</t>
    </r>
    <r>
      <rPr>
        <b/>
        <sz val="12"/>
        <rFont val="Times New Roman"/>
        <family val="1"/>
        <charset val="204"/>
      </rPr>
      <t xml:space="preserve"> - 44,89т</t>
    </r>
    <r>
      <rPr>
        <sz val="12"/>
        <rFont val="Times New Roman"/>
        <family val="1"/>
        <charset val="204"/>
      </rPr>
      <t xml:space="preserve">, К2-23сущ - К2-92 (тальвеж) - </t>
    </r>
    <r>
      <rPr>
        <b/>
        <sz val="12"/>
        <rFont val="Times New Roman"/>
        <family val="1"/>
        <charset val="204"/>
      </rPr>
      <t>69,06т</t>
    </r>
    <r>
      <rPr>
        <sz val="12"/>
        <rFont val="Times New Roman"/>
        <family val="1"/>
        <charset val="204"/>
      </rPr>
      <t xml:space="preserve">, К2-43 - К2-25сущ - </t>
    </r>
    <r>
      <rPr>
        <b/>
        <sz val="12"/>
        <rFont val="Times New Roman"/>
        <family val="1"/>
        <charset val="204"/>
      </rPr>
      <t>200,28т</t>
    </r>
    <r>
      <rPr>
        <sz val="12"/>
        <rFont val="Times New Roman"/>
        <family val="1"/>
        <charset val="204"/>
      </rPr>
      <t xml:space="preserve">, К2-45 - К2-26сущ - </t>
    </r>
    <r>
      <rPr>
        <b/>
        <sz val="12"/>
        <rFont val="Times New Roman"/>
        <family val="1"/>
        <charset val="204"/>
      </rPr>
      <t>192,22т</t>
    </r>
    <r>
      <rPr>
        <sz val="12"/>
        <rFont val="Times New Roman"/>
        <family val="1"/>
        <charset val="204"/>
      </rPr>
      <t>, К2-91 - К2-90 (тальвеж.) -</t>
    </r>
    <r>
      <rPr>
        <b/>
        <sz val="12"/>
        <rFont val="Times New Roman"/>
        <family val="1"/>
        <charset val="204"/>
      </rPr>
      <t xml:space="preserve"> 21,10т</t>
    </r>
    <r>
      <rPr>
        <sz val="12"/>
        <rFont val="Times New Roman"/>
        <family val="1"/>
        <charset val="204"/>
      </rPr>
      <t xml:space="preserve">, Д9 - К2-40сущ - </t>
    </r>
    <r>
      <rPr>
        <b/>
        <sz val="12"/>
        <rFont val="Times New Roman"/>
        <family val="1"/>
        <charset val="204"/>
      </rPr>
      <t xml:space="preserve">24,94т  </t>
    </r>
    <r>
      <rPr>
        <sz val="12"/>
        <rFont val="Times New Roman"/>
        <family val="1"/>
        <charset val="204"/>
      </rPr>
      <t xml:space="preserve"> </t>
    </r>
  </si>
  <si>
    <t>в ВОР предусмотр.вывоз на времен. полигон, погрузка и возвращ. на место работ, в смете этих работ нет</t>
  </si>
  <si>
    <r>
      <t xml:space="preserve">Укладка канализационных безнапорных раструбных труб из поливинилхлорида (ПВХ) диаметром: 200 мм            К2-81 - К2-82 - К2-83 - К2-84 - К2-41сущ - </t>
    </r>
    <r>
      <rPr>
        <b/>
        <sz val="12"/>
        <rFont val="Times New Roman"/>
        <family val="1"/>
        <charset val="204"/>
      </rPr>
      <t>20,0м</t>
    </r>
    <r>
      <rPr>
        <sz val="12"/>
        <rFont val="Times New Roman"/>
        <family val="1"/>
        <charset val="204"/>
      </rPr>
      <t xml:space="preserve">; Д1 - К2-81 - </t>
    </r>
    <r>
      <rPr>
        <b/>
        <sz val="12"/>
        <rFont val="Times New Roman"/>
        <family val="1"/>
        <charset val="204"/>
      </rPr>
      <t>10,5м</t>
    </r>
    <r>
      <rPr>
        <sz val="12"/>
        <rFont val="Times New Roman"/>
        <family val="1"/>
        <charset val="204"/>
      </rPr>
      <t xml:space="preserve">, Д2 - К2-29сущ - </t>
    </r>
    <r>
      <rPr>
        <b/>
        <sz val="12"/>
        <rFont val="Times New Roman"/>
        <family val="1"/>
        <charset val="204"/>
      </rPr>
      <t>4,8м</t>
    </r>
    <r>
      <rPr>
        <sz val="12"/>
        <rFont val="Times New Roman"/>
        <family val="1"/>
        <charset val="204"/>
      </rPr>
      <t xml:space="preserve">, Д10 - </t>
    </r>
    <r>
      <rPr>
        <b/>
        <sz val="12"/>
        <rFont val="Times New Roman"/>
        <family val="1"/>
        <charset val="204"/>
      </rPr>
      <t>10,5м</t>
    </r>
    <r>
      <rPr>
        <sz val="12"/>
        <rFont val="Times New Roman"/>
        <family val="1"/>
        <charset val="204"/>
      </rPr>
      <t xml:space="preserve">, К2-8 - К2-4сущ - </t>
    </r>
    <r>
      <rPr>
        <b/>
        <sz val="12"/>
        <rFont val="Times New Roman"/>
        <family val="1"/>
        <charset val="204"/>
      </rPr>
      <t>4,5м</t>
    </r>
    <r>
      <rPr>
        <sz val="12"/>
        <rFont val="Times New Roman"/>
        <family val="1"/>
        <charset val="204"/>
      </rPr>
      <t xml:space="preserve">, К2-9 - К2-6сущ - </t>
    </r>
    <r>
      <rPr>
        <b/>
        <sz val="12"/>
        <rFont val="Times New Roman"/>
        <family val="1"/>
        <charset val="204"/>
      </rPr>
      <t>4,5м</t>
    </r>
    <r>
      <rPr>
        <sz val="12"/>
        <rFont val="Times New Roman"/>
        <family val="1"/>
        <charset val="204"/>
      </rPr>
      <t xml:space="preserve">, К2-89 - К2-4сущ - </t>
    </r>
    <r>
      <rPr>
        <b/>
        <sz val="12"/>
        <rFont val="Times New Roman"/>
        <family val="1"/>
        <charset val="204"/>
      </rPr>
      <t>39,0м</t>
    </r>
    <r>
      <rPr>
        <sz val="12"/>
        <rFont val="Times New Roman"/>
        <family val="1"/>
        <charset val="204"/>
      </rPr>
      <t xml:space="preserve">, Д-11 - К2-89 - </t>
    </r>
    <r>
      <rPr>
        <b/>
        <sz val="12"/>
        <rFont val="Times New Roman"/>
        <family val="1"/>
        <charset val="204"/>
      </rPr>
      <t>1,0м</t>
    </r>
    <r>
      <rPr>
        <sz val="12"/>
        <rFont val="Times New Roman"/>
        <family val="1"/>
        <charset val="204"/>
      </rPr>
      <t xml:space="preserve">, Д3 - К2-30сущ - </t>
    </r>
    <r>
      <rPr>
        <b/>
        <sz val="12"/>
        <rFont val="Times New Roman"/>
        <family val="1"/>
        <charset val="204"/>
      </rPr>
      <t>3,0м</t>
    </r>
    <r>
      <rPr>
        <sz val="12"/>
        <rFont val="Times New Roman"/>
        <family val="1"/>
        <charset val="204"/>
      </rPr>
      <t xml:space="preserve">, К2-20 - К2-12сущ - </t>
    </r>
    <r>
      <rPr>
        <b/>
        <sz val="12"/>
        <rFont val="Times New Roman"/>
        <family val="1"/>
        <charset val="204"/>
      </rPr>
      <t>66,00м</t>
    </r>
    <r>
      <rPr>
        <sz val="12"/>
        <rFont val="Times New Roman"/>
        <family val="1"/>
        <charset val="204"/>
      </rPr>
      <t xml:space="preserve">, К2-25 - К2-15сущ - </t>
    </r>
    <r>
      <rPr>
        <b/>
        <sz val="12"/>
        <rFont val="Times New Roman"/>
        <family val="1"/>
        <charset val="204"/>
      </rPr>
      <t>6,0м</t>
    </r>
    <r>
      <rPr>
        <sz val="12"/>
        <rFont val="Times New Roman"/>
        <family val="1"/>
        <charset val="204"/>
      </rPr>
      <t xml:space="preserve">, К2-28 - К2-29 - К2-17сущ - </t>
    </r>
    <r>
      <rPr>
        <b/>
        <sz val="12"/>
        <rFont val="Times New Roman"/>
        <family val="1"/>
        <charset val="204"/>
      </rPr>
      <t>57,9м</t>
    </r>
    <r>
      <rPr>
        <sz val="12"/>
        <rFont val="Times New Roman"/>
        <family val="1"/>
        <charset val="204"/>
      </rPr>
      <t>, К2-26 - К2-16сущ -</t>
    </r>
    <r>
      <rPr>
        <b/>
        <sz val="12"/>
        <rFont val="Times New Roman"/>
        <family val="1"/>
        <charset val="204"/>
      </rPr>
      <t>22,8м</t>
    </r>
    <r>
      <rPr>
        <sz val="12"/>
        <rFont val="Times New Roman"/>
        <family val="1"/>
        <charset val="204"/>
      </rPr>
      <t xml:space="preserve">, Д4 - К2-31сущ - </t>
    </r>
    <r>
      <rPr>
        <b/>
        <sz val="12"/>
        <rFont val="Times New Roman"/>
        <family val="1"/>
        <charset val="204"/>
      </rPr>
      <t>1,0м</t>
    </r>
    <r>
      <rPr>
        <sz val="12"/>
        <rFont val="Times New Roman"/>
        <family val="1"/>
        <charset val="204"/>
      </rPr>
      <t>, Д5 - К2-15сущ -</t>
    </r>
    <r>
      <rPr>
        <b/>
        <sz val="12"/>
        <rFont val="Times New Roman"/>
        <family val="1"/>
        <charset val="204"/>
      </rPr>
      <t>1,8м</t>
    </r>
    <r>
      <rPr>
        <sz val="12"/>
        <rFont val="Times New Roman"/>
        <family val="1"/>
        <charset val="204"/>
      </rPr>
      <t xml:space="preserve">, Д6 - К2-38сущ - </t>
    </r>
    <r>
      <rPr>
        <b/>
        <sz val="12"/>
        <rFont val="Times New Roman"/>
        <family val="1"/>
        <charset val="204"/>
      </rPr>
      <t>5,6м</t>
    </r>
    <r>
      <rPr>
        <sz val="12"/>
        <rFont val="Times New Roman"/>
        <family val="1"/>
        <charset val="204"/>
      </rPr>
      <t xml:space="preserve">, Д7 - К2-17сущ- </t>
    </r>
    <r>
      <rPr>
        <b/>
        <sz val="12"/>
        <rFont val="Times New Roman"/>
        <family val="1"/>
        <charset val="204"/>
      </rPr>
      <t>10,4м</t>
    </r>
    <r>
      <rPr>
        <sz val="12"/>
        <rFont val="Times New Roman"/>
        <family val="1"/>
        <charset val="204"/>
      </rPr>
      <t xml:space="preserve">, Д8 - К2-39сущ - </t>
    </r>
    <r>
      <rPr>
        <b/>
        <sz val="12"/>
        <rFont val="Times New Roman"/>
        <family val="1"/>
        <charset val="204"/>
      </rPr>
      <t>1,0м</t>
    </r>
    <r>
      <rPr>
        <sz val="12"/>
        <rFont val="Times New Roman"/>
        <family val="1"/>
        <charset val="204"/>
      </rPr>
      <t xml:space="preserve">, К2-23сущ - К2-92 (тальвеж) - </t>
    </r>
    <r>
      <rPr>
        <b/>
        <sz val="12"/>
        <rFont val="Times New Roman"/>
        <family val="1"/>
        <charset val="204"/>
      </rPr>
      <t>18,0м</t>
    </r>
    <r>
      <rPr>
        <sz val="12"/>
        <rFont val="Times New Roman"/>
        <family val="1"/>
        <charset val="204"/>
      </rPr>
      <t xml:space="preserve">, К2-43 - К2-25сущ - </t>
    </r>
    <r>
      <rPr>
        <b/>
        <sz val="12"/>
        <rFont val="Times New Roman"/>
        <family val="1"/>
        <charset val="204"/>
      </rPr>
      <t>38,1м</t>
    </r>
    <r>
      <rPr>
        <sz val="12"/>
        <rFont val="Times New Roman"/>
        <family val="1"/>
        <charset val="204"/>
      </rPr>
      <t xml:space="preserve">, К2-45 - К2-26сущ - </t>
    </r>
    <r>
      <rPr>
        <b/>
        <sz val="12"/>
        <rFont val="Times New Roman"/>
        <family val="1"/>
        <charset val="204"/>
      </rPr>
      <t>35,1м</t>
    </r>
    <r>
      <rPr>
        <sz val="12"/>
        <rFont val="Times New Roman"/>
        <family val="1"/>
        <charset val="204"/>
      </rPr>
      <t xml:space="preserve">, К2-91 - К2-90 (тальвеж.) - </t>
    </r>
    <r>
      <rPr>
        <b/>
        <sz val="12"/>
        <rFont val="Times New Roman"/>
        <family val="1"/>
        <charset val="204"/>
      </rPr>
      <t>5,5м</t>
    </r>
    <r>
      <rPr>
        <sz val="12"/>
        <rFont val="Times New Roman"/>
        <family val="1"/>
        <charset val="204"/>
      </rPr>
      <t>, Д9 - К2-40сущ -</t>
    </r>
    <r>
      <rPr>
        <b/>
        <sz val="12"/>
        <rFont val="Times New Roman"/>
        <family val="1"/>
        <charset val="204"/>
      </rPr>
      <t xml:space="preserve"> 1,0м</t>
    </r>
    <r>
      <rPr>
        <sz val="12"/>
        <rFont val="Times New Roman"/>
        <family val="1"/>
        <charset val="204"/>
      </rPr>
      <t xml:space="preserve">   </t>
    </r>
  </si>
  <si>
    <r>
      <t xml:space="preserve">Укладка стальных неразрезных кожухов (футляров) в открытых траншеях диаметром: 400 мм                                            Д1 - К2-81 - </t>
    </r>
    <r>
      <rPr>
        <b/>
        <sz val="12"/>
        <rFont val="Times New Roman"/>
        <family val="1"/>
        <charset val="204"/>
      </rPr>
      <t>9,5м</t>
    </r>
    <r>
      <rPr>
        <sz val="12"/>
        <rFont val="Times New Roman"/>
        <family val="1"/>
        <charset val="204"/>
      </rPr>
      <t xml:space="preserve">, Д2 - К2-29сущ - </t>
    </r>
    <r>
      <rPr>
        <b/>
        <sz val="12"/>
        <rFont val="Times New Roman"/>
        <family val="1"/>
        <charset val="204"/>
      </rPr>
      <t>9,5м,</t>
    </r>
    <r>
      <rPr>
        <sz val="12"/>
        <rFont val="Times New Roman"/>
        <family val="1"/>
        <charset val="204"/>
      </rPr>
      <t xml:space="preserve"> Д10 - </t>
    </r>
    <r>
      <rPr>
        <b/>
        <sz val="12"/>
        <rFont val="Times New Roman"/>
        <family val="1"/>
        <charset val="204"/>
      </rPr>
      <t>11,5м</t>
    </r>
    <r>
      <rPr>
        <sz val="12"/>
        <rFont val="Times New Roman"/>
        <family val="1"/>
        <charset val="204"/>
      </rPr>
      <t xml:space="preserve">, К2-8 - К2-4сущ - </t>
    </r>
    <r>
      <rPr>
        <b/>
        <sz val="12"/>
        <rFont val="Times New Roman"/>
        <family val="1"/>
        <charset val="204"/>
      </rPr>
      <t>45,6м</t>
    </r>
    <r>
      <rPr>
        <sz val="12"/>
        <rFont val="Times New Roman"/>
        <family val="1"/>
        <charset val="204"/>
      </rPr>
      <t xml:space="preserve">, К2-9 - К2-6сущ - </t>
    </r>
    <r>
      <rPr>
        <b/>
        <sz val="12"/>
        <rFont val="Times New Roman"/>
        <family val="1"/>
        <charset val="204"/>
      </rPr>
      <t>42,9м,</t>
    </r>
    <r>
      <rPr>
        <sz val="12"/>
        <rFont val="Times New Roman"/>
        <family val="1"/>
        <charset val="204"/>
      </rPr>
      <t xml:space="preserve">  Д-11 - К2-89 -</t>
    </r>
    <r>
      <rPr>
        <b/>
        <sz val="12"/>
        <rFont val="Times New Roman"/>
        <family val="1"/>
        <charset val="204"/>
      </rPr>
      <t xml:space="preserve"> 9,0м</t>
    </r>
    <r>
      <rPr>
        <sz val="12"/>
        <rFont val="Times New Roman"/>
        <family val="1"/>
        <charset val="204"/>
      </rPr>
      <t>, Д3 - К2-30сущ -</t>
    </r>
    <r>
      <rPr>
        <b/>
        <sz val="12"/>
        <rFont val="Times New Roman"/>
        <family val="1"/>
        <charset val="204"/>
      </rPr>
      <t xml:space="preserve"> 6,5м</t>
    </r>
    <r>
      <rPr>
        <sz val="12"/>
        <rFont val="Times New Roman"/>
        <family val="1"/>
        <charset val="204"/>
      </rPr>
      <t>, К2-20 - К2-12сущ -</t>
    </r>
    <r>
      <rPr>
        <b/>
        <sz val="12"/>
        <rFont val="Times New Roman"/>
        <family val="1"/>
        <charset val="204"/>
      </rPr>
      <t xml:space="preserve"> 55,5м</t>
    </r>
    <r>
      <rPr>
        <sz val="12"/>
        <rFont val="Times New Roman"/>
        <family val="1"/>
        <charset val="204"/>
      </rPr>
      <t xml:space="preserve">, К2-25 - К2-15сущ - </t>
    </r>
    <r>
      <rPr>
        <b/>
        <sz val="12"/>
        <rFont val="Times New Roman"/>
        <family val="1"/>
        <charset val="204"/>
      </rPr>
      <t>31,5м,</t>
    </r>
    <r>
      <rPr>
        <sz val="12"/>
        <rFont val="Times New Roman"/>
        <family val="1"/>
        <charset val="204"/>
      </rPr>
      <t xml:space="preserve"> К2-28 - К2-29 - К2-17сущ - </t>
    </r>
    <r>
      <rPr>
        <b/>
        <sz val="12"/>
        <rFont val="Times New Roman"/>
        <family val="1"/>
        <charset val="204"/>
      </rPr>
      <t>34,8м</t>
    </r>
    <r>
      <rPr>
        <sz val="12"/>
        <rFont val="Times New Roman"/>
        <family val="1"/>
        <charset val="204"/>
      </rPr>
      <t>, К2-26 - К2-16сущ -</t>
    </r>
    <r>
      <rPr>
        <b/>
        <sz val="12"/>
        <rFont val="Times New Roman"/>
        <family val="1"/>
        <charset val="204"/>
      </rPr>
      <t>46,8м</t>
    </r>
    <r>
      <rPr>
        <sz val="12"/>
        <rFont val="Times New Roman"/>
        <family val="1"/>
        <charset val="204"/>
      </rPr>
      <t>, Д4 - К2-31сущ -</t>
    </r>
    <r>
      <rPr>
        <b/>
        <sz val="12"/>
        <rFont val="Times New Roman"/>
        <family val="1"/>
        <charset val="204"/>
      </rPr>
      <t xml:space="preserve"> 5,4м</t>
    </r>
    <r>
      <rPr>
        <sz val="12"/>
        <rFont val="Times New Roman"/>
        <family val="1"/>
        <charset val="204"/>
      </rPr>
      <t>, Д5 - К2-15сущ -</t>
    </r>
    <r>
      <rPr>
        <b/>
        <sz val="12"/>
        <rFont val="Times New Roman"/>
        <family val="1"/>
        <charset val="204"/>
      </rPr>
      <t>6,0м</t>
    </r>
    <r>
      <rPr>
        <sz val="12"/>
        <rFont val="Times New Roman"/>
        <family val="1"/>
        <charset val="204"/>
      </rPr>
      <t>, Д6 - К2-38сущ -</t>
    </r>
    <r>
      <rPr>
        <b/>
        <sz val="12"/>
        <rFont val="Times New Roman"/>
        <family val="1"/>
        <charset val="204"/>
      </rPr>
      <t xml:space="preserve"> 10,0м</t>
    </r>
    <r>
      <rPr>
        <sz val="12"/>
        <rFont val="Times New Roman"/>
        <family val="1"/>
        <charset val="204"/>
      </rPr>
      <t xml:space="preserve">, Д7 - К2-17сущ- </t>
    </r>
    <r>
      <rPr>
        <b/>
        <sz val="12"/>
        <rFont val="Times New Roman"/>
        <family val="1"/>
        <charset val="204"/>
      </rPr>
      <t>8,0м</t>
    </r>
    <r>
      <rPr>
        <sz val="12"/>
        <rFont val="Times New Roman"/>
        <family val="1"/>
        <charset val="204"/>
      </rPr>
      <t xml:space="preserve">, Д8 - К2-39сущ - </t>
    </r>
    <r>
      <rPr>
        <b/>
        <sz val="12"/>
        <rFont val="Times New Roman"/>
        <family val="1"/>
        <charset val="204"/>
      </rPr>
      <t>10,7м</t>
    </r>
    <r>
      <rPr>
        <sz val="12"/>
        <rFont val="Times New Roman"/>
        <family val="1"/>
        <charset val="204"/>
      </rPr>
      <t xml:space="preserve">, К2-43 - К2-25сущ - </t>
    </r>
    <r>
      <rPr>
        <b/>
        <sz val="12"/>
        <rFont val="Times New Roman"/>
        <family val="1"/>
        <charset val="204"/>
      </rPr>
      <t>14,1м</t>
    </r>
    <r>
      <rPr>
        <sz val="12"/>
        <rFont val="Times New Roman"/>
        <family val="1"/>
        <charset val="204"/>
      </rPr>
      <t xml:space="preserve">, К2-45 - К2-26сущ - </t>
    </r>
    <r>
      <rPr>
        <b/>
        <sz val="12"/>
        <rFont val="Times New Roman"/>
        <family val="1"/>
        <charset val="204"/>
      </rPr>
      <t>15,0м</t>
    </r>
    <r>
      <rPr>
        <sz val="12"/>
        <rFont val="Times New Roman"/>
        <family val="1"/>
        <charset val="204"/>
      </rPr>
      <t xml:space="preserve">,  Д9 - К2-40сущ - </t>
    </r>
    <r>
      <rPr>
        <b/>
        <sz val="12"/>
        <rFont val="Times New Roman"/>
        <family val="1"/>
        <charset val="204"/>
      </rPr>
      <t xml:space="preserve">5,5м   </t>
    </r>
  </si>
  <si>
    <r>
      <t xml:space="preserve">Протаскивание в футляр полиэтиленовых труб диаметром: 200 мм                                                                                                                                                Д1 - К2-81 - </t>
    </r>
    <r>
      <rPr>
        <b/>
        <sz val="12"/>
        <rFont val="Times New Roman"/>
        <family val="1"/>
        <charset val="204"/>
      </rPr>
      <t>9,5м</t>
    </r>
    <r>
      <rPr>
        <sz val="12"/>
        <rFont val="Times New Roman"/>
        <family val="1"/>
        <charset val="204"/>
      </rPr>
      <t xml:space="preserve">, Д2 - К2-29сущ - </t>
    </r>
    <r>
      <rPr>
        <b/>
        <sz val="12"/>
        <rFont val="Times New Roman"/>
        <family val="1"/>
        <charset val="204"/>
      </rPr>
      <t>9,5м</t>
    </r>
    <r>
      <rPr>
        <sz val="12"/>
        <rFont val="Times New Roman"/>
        <family val="1"/>
        <charset val="204"/>
      </rPr>
      <t xml:space="preserve">, Д10 - </t>
    </r>
    <r>
      <rPr>
        <b/>
        <sz val="12"/>
        <rFont val="Times New Roman"/>
        <family val="1"/>
        <charset val="204"/>
      </rPr>
      <t>11,5м</t>
    </r>
    <r>
      <rPr>
        <sz val="12"/>
        <rFont val="Times New Roman"/>
        <family val="1"/>
        <charset val="204"/>
      </rPr>
      <t xml:space="preserve">, К2-8 - К2-4сущ - </t>
    </r>
    <r>
      <rPr>
        <b/>
        <sz val="12"/>
        <rFont val="Times New Roman"/>
        <family val="1"/>
        <charset val="204"/>
      </rPr>
      <t>45,6м</t>
    </r>
    <r>
      <rPr>
        <sz val="12"/>
        <rFont val="Times New Roman"/>
        <family val="1"/>
        <charset val="204"/>
      </rPr>
      <t>, К2-9 - К2-6сущ -</t>
    </r>
    <r>
      <rPr>
        <b/>
        <sz val="12"/>
        <rFont val="Times New Roman"/>
        <family val="1"/>
        <charset val="204"/>
      </rPr>
      <t>42,9м</t>
    </r>
    <r>
      <rPr>
        <sz val="12"/>
        <rFont val="Times New Roman"/>
        <family val="1"/>
        <charset val="204"/>
      </rPr>
      <t xml:space="preserve">, Д-11 - К2-89 - </t>
    </r>
    <r>
      <rPr>
        <b/>
        <sz val="12"/>
        <rFont val="Times New Roman"/>
        <family val="1"/>
        <charset val="204"/>
      </rPr>
      <t>9,0м</t>
    </r>
    <r>
      <rPr>
        <sz val="12"/>
        <rFont val="Times New Roman"/>
        <family val="1"/>
        <charset val="204"/>
      </rPr>
      <t xml:space="preserve">, Д3 - К2-30сущ - </t>
    </r>
    <r>
      <rPr>
        <b/>
        <sz val="12"/>
        <rFont val="Times New Roman"/>
        <family val="1"/>
        <charset val="204"/>
      </rPr>
      <t>6,5м</t>
    </r>
    <r>
      <rPr>
        <sz val="12"/>
        <rFont val="Times New Roman"/>
        <family val="1"/>
        <charset val="204"/>
      </rPr>
      <t xml:space="preserve">, К2-20 - К2-12сущ - </t>
    </r>
    <r>
      <rPr>
        <b/>
        <sz val="12"/>
        <rFont val="Times New Roman"/>
        <family val="1"/>
        <charset val="204"/>
      </rPr>
      <t>55,5м</t>
    </r>
    <r>
      <rPr>
        <sz val="12"/>
        <rFont val="Times New Roman"/>
        <family val="1"/>
        <charset val="204"/>
      </rPr>
      <t xml:space="preserve">, К2-25 - К2-15сущ - </t>
    </r>
    <r>
      <rPr>
        <b/>
        <sz val="12"/>
        <rFont val="Times New Roman"/>
        <family val="1"/>
        <charset val="204"/>
      </rPr>
      <t>31,5м</t>
    </r>
    <r>
      <rPr>
        <sz val="12"/>
        <rFont val="Times New Roman"/>
        <family val="1"/>
        <charset val="204"/>
      </rPr>
      <t xml:space="preserve">, К2-28 - К2-29 - К2-17сущ - </t>
    </r>
    <r>
      <rPr>
        <b/>
        <sz val="12"/>
        <rFont val="Times New Roman"/>
        <family val="1"/>
        <charset val="204"/>
      </rPr>
      <t>34,8м</t>
    </r>
    <r>
      <rPr>
        <sz val="12"/>
        <rFont val="Times New Roman"/>
        <family val="1"/>
        <charset val="204"/>
      </rPr>
      <t>, К2-26 - К2-16сущ -</t>
    </r>
    <r>
      <rPr>
        <b/>
        <sz val="12"/>
        <rFont val="Times New Roman"/>
        <family val="1"/>
        <charset val="204"/>
      </rPr>
      <t>46,8м</t>
    </r>
    <r>
      <rPr>
        <sz val="12"/>
        <rFont val="Times New Roman"/>
        <family val="1"/>
        <charset val="204"/>
      </rPr>
      <t>, Д4 - К2-31сущ</t>
    </r>
    <r>
      <rPr>
        <b/>
        <sz val="12"/>
        <rFont val="Times New Roman"/>
        <family val="1"/>
        <charset val="204"/>
      </rPr>
      <t xml:space="preserve"> - 5,4м,</t>
    </r>
    <r>
      <rPr>
        <sz val="12"/>
        <rFont val="Times New Roman"/>
        <family val="1"/>
        <charset val="204"/>
      </rPr>
      <t xml:space="preserve"> Д5 - К2-15сущ -</t>
    </r>
    <r>
      <rPr>
        <b/>
        <sz val="12"/>
        <rFont val="Times New Roman"/>
        <family val="1"/>
        <charset val="204"/>
      </rPr>
      <t>6,0м</t>
    </r>
    <r>
      <rPr>
        <sz val="12"/>
        <rFont val="Times New Roman"/>
        <family val="1"/>
        <charset val="204"/>
      </rPr>
      <t xml:space="preserve">, Д6 - К2-38сущ - </t>
    </r>
    <r>
      <rPr>
        <b/>
        <sz val="12"/>
        <rFont val="Times New Roman"/>
        <family val="1"/>
        <charset val="204"/>
      </rPr>
      <t>10,0м</t>
    </r>
    <r>
      <rPr>
        <sz val="12"/>
        <rFont val="Times New Roman"/>
        <family val="1"/>
        <charset val="204"/>
      </rPr>
      <t xml:space="preserve">, Д7 - К2-17сущ- </t>
    </r>
    <r>
      <rPr>
        <b/>
        <sz val="12"/>
        <rFont val="Times New Roman"/>
        <family val="1"/>
        <charset val="204"/>
      </rPr>
      <t>8,0м</t>
    </r>
    <r>
      <rPr>
        <sz val="12"/>
        <rFont val="Times New Roman"/>
        <family val="1"/>
        <charset val="204"/>
      </rPr>
      <t xml:space="preserve">, Д8 - К2-39сущ - </t>
    </r>
    <r>
      <rPr>
        <b/>
        <sz val="12"/>
        <rFont val="Times New Roman"/>
        <family val="1"/>
        <charset val="204"/>
      </rPr>
      <t>10,7м</t>
    </r>
    <r>
      <rPr>
        <sz val="12"/>
        <rFont val="Times New Roman"/>
        <family val="1"/>
        <charset val="204"/>
      </rPr>
      <t xml:space="preserve">, К2-43 - К2-25сущ - </t>
    </r>
    <r>
      <rPr>
        <b/>
        <sz val="12"/>
        <rFont val="Times New Roman"/>
        <family val="1"/>
        <charset val="204"/>
      </rPr>
      <t>14,1м</t>
    </r>
    <r>
      <rPr>
        <sz val="12"/>
        <rFont val="Times New Roman"/>
        <family val="1"/>
        <charset val="204"/>
      </rPr>
      <t xml:space="preserve">, К2-45 - К2-26сущ - </t>
    </r>
    <r>
      <rPr>
        <b/>
        <sz val="12"/>
        <rFont val="Times New Roman"/>
        <family val="1"/>
        <charset val="204"/>
      </rPr>
      <t>15,0м</t>
    </r>
    <r>
      <rPr>
        <sz val="12"/>
        <rFont val="Times New Roman"/>
        <family val="1"/>
        <charset val="204"/>
      </rPr>
      <t xml:space="preserve">, Д9 - К2-40сущ - </t>
    </r>
    <r>
      <rPr>
        <b/>
        <sz val="12"/>
        <rFont val="Times New Roman"/>
        <family val="1"/>
        <charset val="204"/>
      </rPr>
      <t xml:space="preserve">5,5м  </t>
    </r>
    <r>
      <rPr>
        <sz val="12"/>
        <rFont val="Times New Roman"/>
        <family val="1"/>
        <charset val="204"/>
      </rPr>
      <t xml:space="preserve"> </t>
    </r>
  </si>
  <si>
    <r>
      <t>Врезка в существующие сети из стальных труб стальных штуцеров (патрубков) диаметром: 200 мм                         К2-81 - К2-82 - К2-83 - К2-84 - К2-41сущ -</t>
    </r>
    <r>
      <rPr>
        <b/>
        <sz val="12"/>
        <rFont val="Times New Roman"/>
        <family val="1"/>
        <charset val="204"/>
      </rPr>
      <t xml:space="preserve"> 1шт</t>
    </r>
    <r>
      <rPr>
        <sz val="12"/>
        <rFont val="Times New Roman"/>
        <family val="1"/>
        <charset val="204"/>
      </rPr>
      <t xml:space="preserve">.; Д2 - К2-29сущ - </t>
    </r>
    <r>
      <rPr>
        <b/>
        <sz val="12"/>
        <rFont val="Times New Roman"/>
        <family val="1"/>
        <charset val="204"/>
      </rPr>
      <t>1шт</t>
    </r>
    <r>
      <rPr>
        <sz val="12"/>
        <rFont val="Times New Roman"/>
        <family val="1"/>
        <charset val="204"/>
      </rPr>
      <t xml:space="preserve">., Д10 - </t>
    </r>
    <r>
      <rPr>
        <b/>
        <sz val="12"/>
        <rFont val="Times New Roman"/>
        <family val="1"/>
        <charset val="204"/>
      </rPr>
      <t>1шт</t>
    </r>
    <r>
      <rPr>
        <sz val="12"/>
        <rFont val="Times New Roman"/>
        <family val="1"/>
        <charset val="204"/>
      </rPr>
      <t xml:space="preserve">., К2-8 - К2-4сущ - </t>
    </r>
    <r>
      <rPr>
        <b/>
        <sz val="12"/>
        <rFont val="Times New Roman"/>
        <family val="1"/>
        <charset val="204"/>
      </rPr>
      <t>1шт</t>
    </r>
    <r>
      <rPr>
        <sz val="12"/>
        <rFont val="Times New Roman"/>
        <family val="1"/>
        <charset val="204"/>
      </rPr>
      <t xml:space="preserve">., К2-9 - К2-6сущ - </t>
    </r>
    <r>
      <rPr>
        <b/>
        <sz val="12"/>
        <rFont val="Times New Roman"/>
        <family val="1"/>
        <charset val="204"/>
      </rPr>
      <t>1шт.</t>
    </r>
    <r>
      <rPr>
        <sz val="12"/>
        <rFont val="Times New Roman"/>
        <family val="1"/>
        <charset val="204"/>
      </rPr>
      <t xml:space="preserve">, К2-89 - К2-4сущ - </t>
    </r>
    <r>
      <rPr>
        <b/>
        <sz val="12"/>
        <rFont val="Times New Roman"/>
        <family val="1"/>
        <charset val="204"/>
      </rPr>
      <t>1шт.,</t>
    </r>
    <r>
      <rPr>
        <sz val="12"/>
        <rFont val="Times New Roman"/>
        <family val="1"/>
        <charset val="204"/>
      </rPr>
      <t xml:space="preserve">  Д3 - К2-30сущ -</t>
    </r>
    <r>
      <rPr>
        <b/>
        <sz val="12"/>
        <rFont val="Times New Roman"/>
        <family val="1"/>
        <charset val="204"/>
      </rPr>
      <t xml:space="preserve"> 1шт.</t>
    </r>
    <r>
      <rPr>
        <sz val="12"/>
        <rFont val="Times New Roman"/>
        <family val="1"/>
        <charset val="204"/>
      </rPr>
      <t xml:space="preserve">, К2-20 - К2-12сущ - </t>
    </r>
    <r>
      <rPr>
        <b/>
        <sz val="12"/>
        <rFont val="Times New Roman"/>
        <family val="1"/>
        <charset val="204"/>
      </rPr>
      <t>1шт.</t>
    </r>
    <r>
      <rPr>
        <sz val="12"/>
        <rFont val="Times New Roman"/>
        <family val="1"/>
        <charset val="204"/>
      </rPr>
      <t xml:space="preserve">, К2-25 - К2-15сущ - </t>
    </r>
    <r>
      <rPr>
        <b/>
        <sz val="12"/>
        <rFont val="Times New Roman"/>
        <family val="1"/>
        <charset val="204"/>
      </rPr>
      <t>1шт.,</t>
    </r>
    <r>
      <rPr>
        <sz val="12"/>
        <rFont val="Times New Roman"/>
        <family val="1"/>
        <charset val="204"/>
      </rPr>
      <t xml:space="preserve"> К2-28 - К2-29 - К2-17сущ -</t>
    </r>
    <r>
      <rPr>
        <b/>
        <sz val="12"/>
        <rFont val="Times New Roman"/>
        <family val="1"/>
        <charset val="204"/>
      </rPr>
      <t xml:space="preserve"> 1шт.,</t>
    </r>
    <r>
      <rPr>
        <sz val="12"/>
        <rFont val="Times New Roman"/>
        <family val="1"/>
        <charset val="204"/>
      </rPr>
      <t xml:space="preserve"> К2-26 - К2-16сущ - </t>
    </r>
    <r>
      <rPr>
        <b/>
        <sz val="12"/>
        <rFont val="Times New Roman"/>
        <family val="1"/>
        <charset val="204"/>
      </rPr>
      <t>1шт.</t>
    </r>
    <r>
      <rPr>
        <sz val="12"/>
        <rFont val="Times New Roman"/>
        <family val="1"/>
        <charset val="204"/>
      </rPr>
      <t xml:space="preserve">, Д4 - К2-31сущ - </t>
    </r>
    <r>
      <rPr>
        <b/>
        <sz val="12"/>
        <rFont val="Times New Roman"/>
        <family val="1"/>
        <charset val="204"/>
      </rPr>
      <t>1шт</t>
    </r>
    <r>
      <rPr>
        <sz val="12"/>
        <rFont val="Times New Roman"/>
        <family val="1"/>
        <charset val="204"/>
      </rPr>
      <t xml:space="preserve">., Д5 - К2-15сущ - </t>
    </r>
    <r>
      <rPr>
        <b/>
        <sz val="12"/>
        <rFont val="Times New Roman"/>
        <family val="1"/>
        <charset val="204"/>
      </rPr>
      <t>1шт.</t>
    </r>
    <r>
      <rPr>
        <sz val="12"/>
        <rFont val="Times New Roman"/>
        <family val="1"/>
        <charset val="204"/>
      </rPr>
      <t xml:space="preserve">, Д6 - К2-38сущ - </t>
    </r>
    <r>
      <rPr>
        <b/>
        <sz val="12"/>
        <rFont val="Times New Roman"/>
        <family val="1"/>
        <charset val="204"/>
      </rPr>
      <t>1шт.</t>
    </r>
    <r>
      <rPr>
        <sz val="12"/>
        <rFont val="Times New Roman"/>
        <family val="1"/>
        <charset val="204"/>
      </rPr>
      <t xml:space="preserve">, Д7 - К2-17сущ- </t>
    </r>
    <r>
      <rPr>
        <b/>
        <sz val="12"/>
        <rFont val="Times New Roman"/>
        <family val="1"/>
        <charset val="204"/>
      </rPr>
      <t>1шт.</t>
    </r>
    <r>
      <rPr>
        <sz val="12"/>
        <rFont val="Times New Roman"/>
        <family val="1"/>
        <charset val="204"/>
      </rPr>
      <t xml:space="preserve">, Д8 - К2-39сущ - </t>
    </r>
    <r>
      <rPr>
        <b/>
        <sz val="12"/>
        <rFont val="Times New Roman"/>
        <family val="1"/>
        <charset val="204"/>
      </rPr>
      <t>1шт.</t>
    </r>
    <r>
      <rPr>
        <sz val="12"/>
        <rFont val="Times New Roman"/>
        <family val="1"/>
        <charset val="204"/>
      </rPr>
      <t xml:space="preserve">, К2-23сущ - К2-92 (тальвеж) - </t>
    </r>
    <r>
      <rPr>
        <b/>
        <sz val="12"/>
        <rFont val="Times New Roman"/>
        <family val="1"/>
        <charset val="204"/>
      </rPr>
      <t>1шт.,</t>
    </r>
    <r>
      <rPr>
        <sz val="12"/>
        <rFont val="Times New Roman"/>
        <family val="1"/>
        <charset val="204"/>
      </rPr>
      <t xml:space="preserve"> К2-43 - К2-25сущ - </t>
    </r>
    <r>
      <rPr>
        <b/>
        <sz val="12"/>
        <rFont val="Times New Roman"/>
        <family val="1"/>
        <charset val="204"/>
      </rPr>
      <t>1шт.</t>
    </r>
    <r>
      <rPr>
        <sz val="12"/>
        <rFont val="Times New Roman"/>
        <family val="1"/>
        <charset val="204"/>
      </rPr>
      <t xml:space="preserve">, К2-45 - К2-26сущ - </t>
    </r>
    <r>
      <rPr>
        <b/>
        <sz val="12"/>
        <rFont val="Times New Roman"/>
        <family val="1"/>
        <charset val="204"/>
      </rPr>
      <t xml:space="preserve">1шт., </t>
    </r>
    <r>
      <rPr>
        <sz val="12"/>
        <rFont val="Times New Roman"/>
        <family val="1"/>
        <charset val="204"/>
      </rPr>
      <t xml:space="preserve">К2-91 - К2-90 (тальвеж.) - </t>
    </r>
    <r>
      <rPr>
        <b/>
        <sz val="12"/>
        <rFont val="Times New Roman"/>
        <family val="1"/>
        <charset val="204"/>
      </rPr>
      <t>1шт.,</t>
    </r>
    <r>
      <rPr>
        <sz val="12"/>
        <rFont val="Times New Roman"/>
        <family val="1"/>
        <charset val="204"/>
      </rPr>
      <t xml:space="preserve"> Д9 - К2-40сущ - </t>
    </r>
    <r>
      <rPr>
        <b/>
        <sz val="12"/>
        <rFont val="Times New Roman"/>
        <family val="1"/>
        <charset val="204"/>
      </rPr>
      <t>1шт.</t>
    </r>
    <r>
      <rPr>
        <sz val="12"/>
        <rFont val="Times New Roman"/>
        <family val="1"/>
        <charset val="204"/>
      </rPr>
      <t xml:space="preserve">   </t>
    </r>
  </si>
  <si>
    <r>
      <t xml:space="preserve">Устройство круглых сборных железобетонных канализационных колодцев диаметром: 1,5 м в мокрых грунтах     К2-81 - К2-82 - К2-83 - К2-84 - К2-41сущ - </t>
    </r>
    <r>
      <rPr>
        <b/>
        <sz val="12"/>
        <rFont val="Times New Roman"/>
        <family val="1"/>
        <charset val="204"/>
      </rPr>
      <t>12,0м3</t>
    </r>
    <r>
      <rPr>
        <sz val="12"/>
        <rFont val="Times New Roman"/>
        <family val="1"/>
        <charset val="204"/>
      </rPr>
      <t>; Д1 - К2-81 -</t>
    </r>
    <r>
      <rPr>
        <b/>
        <sz val="12"/>
        <rFont val="Times New Roman"/>
        <family val="1"/>
        <charset val="204"/>
      </rPr>
      <t xml:space="preserve"> 6,0м3,</t>
    </r>
    <r>
      <rPr>
        <sz val="12"/>
        <rFont val="Times New Roman"/>
        <family val="1"/>
        <charset val="204"/>
      </rPr>
      <t xml:space="preserve"> Д2 - К2-29сущ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 xml:space="preserve">, Д10 -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 xml:space="preserve">, К2-8 - К2-4сущ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 xml:space="preserve">, К2-9 - К2-6сущ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>, К2-89 - К2-4сущ -</t>
    </r>
    <r>
      <rPr>
        <b/>
        <sz val="12"/>
        <rFont val="Times New Roman"/>
        <family val="1"/>
        <charset val="204"/>
      </rPr>
      <t xml:space="preserve"> 3,0м3</t>
    </r>
    <r>
      <rPr>
        <sz val="12"/>
        <rFont val="Times New Roman"/>
        <family val="1"/>
        <charset val="204"/>
      </rPr>
      <t xml:space="preserve">, Д-11 - К2-89 -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 xml:space="preserve">, Д3 - К2-30сущ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>, К2-20 - К2-12сущ -</t>
    </r>
    <r>
      <rPr>
        <b/>
        <sz val="12"/>
        <rFont val="Times New Roman"/>
        <family val="1"/>
        <charset val="204"/>
      </rPr>
      <t xml:space="preserve"> 3,0м3</t>
    </r>
    <r>
      <rPr>
        <sz val="12"/>
        <rFont val="Times New Roman"/>
        <family val="1"/>
        <charset val="204"/>
      </rPr>
      <t xml:space="preserve">, К2-25 - К2-15сущ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>, К2-28 - К2-29 - К2-17сущ -</t>
    </r>
    <r>
      <rPr>
        <b/>
        <sz val="12"/>
        <rFont val="Times New Roman"/>
        <family val="1"/>
        <charset val="204"/>
      </rPr>
      <t>6,0м3</t>
    </r>
    <r>
      <rPr>
        <sz val="12"/>
        <rFont val="Times New Roman"/>
        <family val="1"/>
        <charset val="204"/>
      </rPr>
      <t>, К2-26 - К2-16сущ -</t>
    </r>
    <r>
      <rPr>
        <b/>
        <sz val="12"/>
        <rFont val="Times New Roman"/>
        <family val="1"/>
        <charset val="204"/>
      </rPr>
      <t xml:space="preserve"> 3,0м3</t>
    </r>
    <r>
      <rPr>
        <sz val="12"/>
        <rFont val="Times New Roman"/>
        <family val="1"/>
        <charset val="204"/>
      </rPr>
      <t xml:space="preserve">, Д4 - К2-31сущ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 xml:space="preserve">, Д5 - К2-15сущ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 xml:space="preserve">, Д6 - К2-38сущ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 xml:space="preserve">, Д7 - К2-17сущ-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 xml:space="preserve">, Д8 - К2-39сущ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 xml:space="preserve">, К2-23сущ - К2-92 (тальвеж)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 xml:space="preserve">, К2-43 - К2-25сущ - 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>, К2-45 - К2-26сущ -</t>
    </r>
    <r>
      <rPr>
        <b/>
        <sz val="12"/>
        <rFont val="Times New Roman"/>
        <family val="1"/>
        <charset val="204"/>
      </rPr>
      <t>3,0м3</t>
    </r>
    <r>
      <rPr>
        <sz val="12"/>
        <rFont val="Times New Roman"/>
        <family val="1"/>
        <charset val="204"/>
      </rPr>
      <t xml:space="preserve">, К2-91 - К2-90 (тальвеж.) - </t>
    </r>
    <r>
      <rPr>
        <b/>
        <sz val="12"/>
        <rFont val="Times New Roman"/>
        <family val="1"/>
        <charset val="204"/>
      </rPr>
      <t>6,0м3</t>
    </r>
    <r>
      <rPr>
        <sz val="12"/>
        <rFont val="Times New Roman"/>
        <family val="1"/>
        <charset val="204"/>
      </rPr>
      <t>, Д9 - К2-40сущ -</t>
    </r>
    <r>
      <rPr>
        <b/>
        <sz val="12"/>
        <rFont val="Times New Roman"/>
        <family val="1"/>
        <charset val="204"/>
      </rPr>
      <t xml:space="preserve"> 3,0м3 </t>
    </r>
  </si>
  <si>
    <t>в ВОР 87 м3</t>
  </si>
  <si>
    <t>Укладка канализационных безнапорных раструбных труб из поливинилхлорида (ПВХ) диаметром: 200 мм</t>
  </si>
  <si>
    <t>в смете есть, в ВОР нет</t>
  </si>
  <si>
    <t>ИТОГО Водоотведение от трамвайных путей (без НДС), в том числе</t>
  </si>
  <si>
    <t xml:space="preserve">Песок природный для строительных: работ средний </t>
  </si>
  <si>
    <t>Трубы полиэтиленовые ПЭ80, SDR21, диаметр 225 мм</t>
  </si>
  <si>
    <t>Муфта защитная ПЭ для прохода труб сквозь стену, наружный диаметр 200 мм</t>
  </si>
  <si>
    <t>Трубы полиэтиленовые ПЭ80, SDR21, диаметр 400 мм</t>
  </si>
  <si>
    <t>Кольцо стеновое КС7.3, объем 0,05 м3</t>
  </si>
  <si>
    <t>Кольцо стеновое КС15.9, объем 0,40 м3</t>
  </si>
  <si>
    <t>Кольцо опорное КО-6, объем 0,02 м3</t>
  </si>
  <si>
    <t>Плита днища ПН15,  объем 0,38 м3</t>
  </si>
  <si>
    <t>Плиты перекрытия 1ПП15-2, объем 0,27 м3</t>
  </si>
  <si>
    <t>Люк чугунный тяжелый (ГОСТ 3634-99) марка Т(C250)-К-1-60</t>
  </si>
  <si>
    <t>ИТОГО Водоотведение от трамвайных путей (без НДС)</t>
  </si>
  <si>
    <t xml:space="preserve"> Валка и выкорчевка зеленых насаждений</t>
  </si>
  <si>
    <r>
      <t>Валка деревьев твердых пород и лиственницы с корня, диаметр стволов</t>
    </r>
    <r>
      <rPr>
        <b/>
        <sz val="12"/>
        <color theme="1"/>
        <rFont val="Times New Roman"/>
        <family val="1"/>
        <charset val="204"/>
      </rPr>
      <t>: до</t>
    </r>
    <r>
      <rPr>
        <sz val="12"/>
        <color theme="1"/>
        <rFont val="Times New Roman"/>
        <family val="1"/>
        <charset val="204"/>
      </rPr>
      <t xml:space="preserve"> 28 см</t>
    </r>
  </si>
  <si>
    <r>
      <t xml:space="preserve">Валка деревьев твердых пород и лиственницы с корня, диаметр стволов: </t>
    </r>
    <r>
      <rPr>
        <b/>
        <sz val="12"/>
        <color theme="1"/>
        <rFont val="Times New Roman"/>
        <family val="1"/>
        <charset val="204"/>
      </rPr>
      <t xml:space="preserve">до </t>
    </r>
    <r>
      <rPr>
        <sz val="12"/>
        <color theme="1"/>
        <rFont val="Times New Roman"/>
        <family val="1"/>
        <charset val="204"/>
      </rPr>
      <t>32 см</t>
    </r>
  </si>
  <si>
    <r>
      <t xml:space="preserve">Валка деревьев твердых пород и лиственницы с корня, диаметр стволов: </t>
    </r>
    <r>
      <rPr>
        <b/>
        <sz val="12"/>
        <rFont val="Times New Roman"/>
        <family val="1"/>
        <charset val="204"/>
      </rPr>
      <t xml:space="preserve">более </t>
    </r>
    <r>
      <rPr>
        <sz val="12"/>
        <rFont val="Times New Roman"/>
        <family val="1"/>
        <charset val="204"/>
      </rPr>
      <t>32 см</t>
    </r>
  </si>
  <si>
    <r>
      <t>Разделка древесины твердых пород и лиственницы, полученной от валки леса, диаметр стволов:</t>
    </r>
    <r>
      <rPr>
        <b/>
        <sz val="12"/>
        <rFont val="Times New Roman"/>
        <family val="1"/>
        <charset val="204"/>
      </rPr>
      <t xml:space="preserve"> до </t>
    </r>
    <r>
      <rPr>
        <sz val="12"/>
        <rFont val="Times New Roman"/>
        <family val="1"/>
        <charset val="204"/>
      </rPr>
      <t>28 см</t>
    </r>
  </si>
  <si>
    <r>
      <t xml:space="preserve">Разделка древесины твердых пород и лиственницы, полученной от валки леса, диаметр стволов: </t>
    </r>
    <r>
      <rPr>
        <b/>
        <sz val="12"/>
        <rFont val="Times New Roman"/>
        <family val="1"/>
        <charset val="204"/>
      </rPr>
      <t>до</t>
    </r>
    <r>
      <rPr>
        <sz val="12"/>
        <rFont val="Times New Roman"/>
        <family val="1"/>
        <charset val="204"/>
      </rPr>
      <t xml:space="preserve"> 32 см</t>
    </r>
  </si>
  <si>
    <r>
      <t>Разделка древесины твердых пород и лиственницы, полученной от валки леса, диаметр стволов:</t>
    </r>
    <r>
      <rPr>
        <b/>
        <sz val="12"/>
        <rFont val="Times New Roman"/>
        <family val="1"/>
        <charset val="204"/>
      </rPr>
      <t xml:space="preserve"> более </t>
    </r>
    <r>
      <rPr>
        <sz val="12"/>
        <rFont val="Times New Roman"/>
        <family val="1"/>
        <charset val="204"/>
      </rPr>
      <t>32 см</t>
    </r>
  </si>
  <si>
    <t>Корчевка кустарника корчевателями-собирателями на тракторе мощностью: 118 кВт (160 л.с.)</t>
  </si>
  <si>
    <t>га</t>
  </si>
  <si>
    <r>
      <t>Сгребание срезанного или выкорчеванного кустарника  корчевателями-собирателями на тракторе мощностью 118 кВт (160 л.с.)</t>
    </r>
    <r>
      <rPr>
        <b/>
        <sz val="12"/>
        <rFont val="Times New Roman"/>
        <family val="1"/>
        <charset val="204"/>
      </rPr>
      <t xml:space="preserve"> с перемещением</t>
    </r>
    <r>
      <rPr>
        <sz val="12"/>
        <rFont val="Times New Roman"/>
        <family val="1"/>
        <charset val="204"/>
      </rPr>
      <t xml:space="preserve"> до 20 м</t>
    </r>
  </si>
  <si>
    <t>Подбор древесных остатков подборщиками с трактором мощностью 59 кВт (80 л.с.)</t>
  </si>
  <si>
    <r>
      <t xml:space="preserve">Корчевка </t>
    </r>
    <r>
      <rPr>
        <b/>
        <sz val="12"/>
        <rFont val="Times New Roman"/>
        <family val="1"/>
        <charset val="204"/>
      </rPr>
      <t>вручную</t>
    </r>
    <r>
      <rPr>
        <sz val="12"/>
        <rFont val="Times New Roman"/>
        <family val="1"/>
        <charset val="204"/>
      </rPr>
      <t xml:space="preserve"> пней диаметром: от 260 до 300 мм</t>
    </r>
  </si>
  <si>
    <r>
      <t xml:space="preserve">Корчевка </t>
    </r>
    <r>
      <rPr>
        <b/>
        <sz val="12"/>
        <rFont val="Times New Roman"/>
        <family val="1"/>
        <charset val="204"/>
      </rPr>
      <t>вручную</t>
    </r>
    <r>
      <rPr>
        <sz val="12"/>
        <rFont val="Times New Roman"/>
        <family val="1"/>
        <charset val="204"/>
      </rPr>
      <t xml:space="preserve"> пней диаметром: от 310 до 350 мм</t>
    </r>
  </si>
  <si>
    <r>
      <t xml:space="preserve">Корчевка </t>
    </r>
    <r>
      <rPr>
        <b/>
        <sz val="12"/>
        <rFont val="Times New Roman"/>
        <family val="1"/>
        <charset val="204"/>
      </rPr>
      <t>вручную</t>
    </r>
    <r>
      <rPr>
        <sz val="12"/>
        <rFont val="Times New Roman"/>
        <family val="1"/>
        <charset val="204"/>
      </rPr>
      <t xml:space="preserve"> пней диаметром: от 360 до 400 мм</t>
    </r>
  </si>
  <si>
    <t>Обивка земли с выкорчеванных пней корчевателями-собирателями на тракторе мощностью 79 кВт (108 л.с.), диаметр пней: свыше 24 см</t>
  </si>
  <si>
    <t>Засыпка ям подкоренных бульдозерами мощностью: 118 кВт (160 л.с.)</t>
  </si>
  <si>
    <t>Погрузка при автомобильных перевозках мусора с погрузкой экскаваторами емкостью ковша до 0,5 м3</t>
  </si>
  <si>
    <t>1 т груза</t>
  </si>
  <si>
    <t>Перевозка грузов I класса автомобилями-самосвалами грузоподъемностью 10 т работающих вне карьера на расстояние до 20 км  ( на полигон ТБО утилизация)</t>
  </si>
  <si>
    <t>Перевозка грузов I класса автомобилями-самосвалами грузоподъемностью 10 т работающих вне карьера на расстояние до 20 км (база заказчика)</t>
  </si>
  <si>
    <t>ИТОГО  Валка и выкорчевка зеленых насаждений (без НДС), в том числе</t>
  </si>
  <si>
    <t>ИТОГО  Валка и выкорчевка зеленых насаждений(без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</si>
</sst>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-* #,##0.00\ _₽_-;\-* #,##0.00\ _₽_-;_-* &quot;-&quot;??\ _₽_-;_-@_-"/>
    <numFmt numFmtId="165" formatCode="_-* #,##0\ _₽_-;\-* #,##0\ _₽_-;_-* &quot;-&quot;??\ _₽_-;_-@_-"/>
    <numFmt numFmtId="166" formatCode="#,##0.000"/>
    <numFmt numFmtId="167" formatCode="#,##0.0"/>
    <numFmt numFmtId="168" formatCode="0.0000"/>
    <numFmt numFmtId="169" formatCode="0.000"/>
    <numFmt numFmtId="170" formatCode="#,##0_ ;\-#,##0\ "/>
    <numFmt numFmtId="171" formatCode="#,##0_ ;[Red]\-#,##0\ "/>
    <numFmt numFmtId="172" formatCode="#,##0.00_ ;[Red]\-#,##0.00\ "/>
    <numFmt numFmtId="173" formatCode="_-* #,##0.0\ _₽_-;\-* #,##0.0\ _₽_-;_-* &quot;-&quot;??\ _₽_-;_-@_-"/>
    <numFmt numFmtId="174" formatCode="_-* #,##0.000\ _₽_-;\-* #,##0.000\ _₽_-;_-* &quot;-&quot;??\ _₽_-;_-@_-"/>
    <numFmt numFmtId="175" formatCode="_-* #,##0.00000\ _₽_-;\-* #,##0.00000\ _₽_-;_-* &quot;-&quot;??\ _₽_-;_-@_-"/>
    <numFmt numFmtId="176" formatCode="0.0"/>
    <numFmt numFmtId="177" formatCode="#,##0.00000"/>
    <numFmt numFmtId="178" formatCode="0.00000"/>
    <numFmt numFmtId="179" formatCode="#,##0.000000"/>
    <numFmt numFmtId="180" formatCode="#,##0.0000"/>
    <numFmt numFmtId="181" formatCode="_-* #,##0.0000\ _₽_-;\-* #,##0.0000\ _₽_-;_-* &quot;-&quot;??\ _₽_-;_-@_-"/>
  </numFmts>
  <fonts count="10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4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3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0"/>
      <name val="Arial"/>
      <family val="2"/>
      <charset val="204"/>
    </font>
    <font>
      <i/>
      <sz val="1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b/>
      <sz val="13"/>
      <name val="Arial"/>
      <family val="2"/>
      <charset val="204"/>
    </font>
    <font>
      <b/>
      <sz val="13"/>
      <color rgb="FFFF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name val="Courier New"/>
      <family val="3"/>
      <charset val="204"/>
    </font>
    <font>
      <b/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color rgb="FFED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z val="11"/>
      <color rgb="FF0070C0"/>
      <name val="Times New Roman"/>
      <family val="1"/>
      <charset val="204"/>
    </font>
    <font>
      <b/>
      <i/>
      <sz val="12"/>
      <color rgb="FF0070C0"/>
      <name val="Times New Roman"/>
      <family val="1"/>
      <charset val="204"/>
    </font>
    <font>
      <b/>
      <i/>
      <sz val="13"/>
      <color rgb="FF0070C0"/>
      <name val="Times New Roman"/>
      <family val="1"/>
      <charset val="204"/>
    </font>
    <font>
      <i/>
      <sz val="11"/>
      <color rgb="FF0070C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11"/>
      <color rgb="FF00B05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ED0000"/>
      <name val="Calibri"/>
      <family val="2"/>
      <charset val="204"/>
      <scheme val="minor"/>
    </font>
    <font>
      <i/>
      <sz val="14"/>
      <color rgb="FF0070C0"/>
      <name val="Calibri"/>
      <family val="2"/>
      <charset val="204"/>
      <scheme val="minor"/>
    </font>
    <font>
      <i/>
      <sz val="14"/>
      <color rgb="FFED0000"/>
      <name val="Calibri"/>
      <family val="2"/>
      <charset val="204"/>
      <scheme val="minor"/>
    </font>
    <font>
      <i/>
      <sz val="14"/>
      <color rgb="FFC00000"/>
      <name val="Calibri"/>
      <family val="2"/>
      <charset val="204"/>
      <scheme val="minor"/>
    </font>
    <font>
      <sz val="12"/>
      <color rgb="FF00B05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i/>
      <sz val="12"/>
      <color rgb="FFC00000"/>
      <name val="Times New Roman"/>
      <family val="1"/>
      <charset val="204"/>
    </font>
    <font>
      <sz val="14"/>
      <color rgb="FFC00000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i/>
      <sz val="12"/>
      <color rgb="FFA2000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.5"/>
      <color theme="1"/>
      <name val="Times New Roman"/>
      <family val="1"/>
      <charset val="204"/>
    </font>
    <font>
      <b/>
      <i/>
      <sz val="11.5"/>
      <name val="Times New Roman"/>
      <family val="1"/>
      <charset val="204"/>
    </font>
    <font>
      <sz val="11.5"/>
      <color rgb="FFFF0000"/>
      <name val="Calibri"/>
      <family val="2"/>
      <charset val="204"/>
      <scheme val="minor"/>
    </font>
    <font>
      <i/>
      <sz val="11.5"/>
      <color theme="1"/>
      <name val="Calibri"/>
      <family val="2"/>
      <charset val="204"/>
      <scheme val="minor"/>
    </font>
    <font>
      <sz val="12"/>
      <color rgb="FFED0000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rgb="FFFF0000"/>
      <name val="Times New Roman"/>
      <family val="1"/>
    </font>
    <font>
      <vertAlign val="superscript"/>
      <sz val="12"/>
      <color rgb="FFFF0000"/>
      <name val="Times New Roman"/>
      <family val="1"/>
    </font>
    <font>
      <sz val="12"/>
      <color rgb="FFA20000"/>
      <name val="Times New Roman"/>
      <family val="1"/>
    </font>
    <font>
      <sz val="12"/>
      <color rgb="FFA2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0070C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EF2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00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4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0" fontId="39" fillId="0" borderId="1">
      <alignment horizontal="center"/>
    </xf>
    <xf numFmtId="0" fontId="7" fillId="0" borderId="0">
      <alignment vertical="top"/>
    </xf>
    <xf numFmtId="0" fontId="39" fillId="0" borderId="1">
      <alignment horizontal="center"/>
    </xf>
    <xf numFmtId="0" fontId="39" fillId="0" borderId="0">
      <alignment vertical="top"/>
    </xf>
    <xf numFmtId="0" fontId="35" fillId="0" borderId="0">
      <alignment horizontal="right" vertical="top" wrapText="1"/>
    </xf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39" fillId="0" borderId="1">
      <alignment horizontal="center" wrapText="1"/>
    </xf>
    <xf numFmtId="0" fontId="7" fillId="0" borderId="0">
      <alignment vertical="top"/>
    </xf>
    <xf numFmtId="0" fontId="7" fillId="0" borderId="0"/>
    <xf numFmtId="0" fontId="7" fillId="0" borderId="0"/>
    <xf numFmtId="0" fontId="39" fillId="0" borderId="0"/>
    <xf numFmtId="0" fontId="39" fillId="0" borderId="1">
      <alignment horizontal="center" wrapText="1"/>
    </xf>
    <xf numFmtId="0" fontId="39" fillId="0" borderId="1">
      <alignment horizontal="center"/>
    </xf>
    <xf numFmtId="0" fontId="39" fillId="0" borderId="1">
      <alignment horizontal="center" wrapText="1"/>
    </xf>
    <xf numFmtId="0" fontId="7" fillId="0" borderId="0"/>
    <xf numFmtId="0" fontId="39" fillId="0" borderId="0">
      <alignment horizontal="center"/>
    </xf>
    <xf numFmtId="0" fontId="39" fillId="0" borderId="0">
      <alignment horizontal="left" vertical="top"/>
    </xf>
    <xf numFmtId="0" fontId="39" fillId="0" borderId="0"/>
    <xf numFmtId="0" fontId="44" fillId="0" borderId="0"/>
    <xf numFmtId="0" fontId="44" fillId="0" borderId="0"/>
    <xf numFmtId="0" fontId="7" fillId="0" borderId="0"/>
    <xf numFmtId="0" fontId="57" fillId="0" borderId="0"/>
    <xf numFmtId="43" fontId="2" fillId="0" borderId="0" applyFont="0" applyFill="0" applyBorder="0" applyAlignment="0" applyProtection="0"/>
  </cellStyleXfs>
  <cellXfs count="1254">
    <xf numFmtId="0" fontId="0" fillId="0" borderId="0" xfId="0"/>
    <xf numFmtId="4" fontId="0" fillId="0" borderId="0" xfId="0" applyNumberFormat="1"/>
    <xf numFmtId="0" fontId="3" fillId="4" borderId="4" xfId="0" applyFont="1" applyFill="1" applyBorder="1"/>
    <xf numFmtId="0" fontId="3" fillId="4" borderId="5" xfId="0" applyFont="1" applyFill="1" applyBorder="1"/>
    <xf numFmtId="4" fontId="4" fillId="7" borderId="7" xfId="0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1" fillId="9" borderId="6" xfId="0" applyNumberFormat="1" applyFont="1" applyFill="1" applyBorder="1" applyAlignment="1">
      <alignment vertical="center"/>
    </xf>
    <xf numFmtId="4" fontId="1" fillId="9" borderId="1" xfId="0" applyNumberFormat="1" applyFont="1" applyFill="1" applyBorder="1"/>
    <xf numFmtId="4" fontId="1" fillId="9" borderId="6" xfId="0" applyNumberFormat="1" applyFont="1" applyFill="1" applyBorder="1"/>
    <xf numFmtId="4" fontId="5" fillId="9" borderId="6" xfId="0" applyNumberFormat="1" applyFont="1" applyFill="1" applyBorder="1"/>
    <xf numFmtId="0" fontId="6" fillId="0" borderId="0" xfId="0" applyFont="1"/>
    <xf numFmtId="0" fontId="3" fillId="4" borderId="0" xfId="0" applyFont="1" applyFill="1"/>
    <xf numFmtId="4" fontId="4" fillId="8" borderId="1" xfId="0" applyNumberFormat="1" applyFont="1" applyFill="1" applyBorder="1" applyAlignment="1">
      <alignment horizontal="center" vertical="center" wrapText="1"/>
    </xf>
    <xf numFmtId="4" fontId="4" fillId="7" borderId="9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4" fillId="6" borderId="3" xfId="0" applyNumberFormat="1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4" fontId="9" fillId="0" borderId="11" xfId="0" applyNumberFormat="1" applyFont="1" applyBorder="1" applyAlignment="1">
      <alignment horizontal="center"/>
    </xf>
    <xf numFmtId="4" fontId="10" fillId="2" borderId="11" xfId="0" applyNumberFormat="1" applyFont="1" applyFill="1" applyBorder="1" applyAlignment="1">
      <alignment horizontal="center"/>
    </xf>
    <xf numFmtId="4" fontId="9" fillId="0" borderId="6" xfId="0" applyNumberFormat="1" applyFont="1" applyBorder="1" applyAlignment="1">
      <alignment horizontal="center"/>
    </xf>
    <xf numFmtId="4" fontId="10" fillId="2" borderId="6" xfId="0" applyNumberFormat="1" applyFont="1" applyFill="1" applyBorder="1" applyAlignment="1">
      <alignment horizontal="center"/>
    </xf>
    <xf numFmtId="4" fontId="9" fillId="0" borderId="10" xfId="0" applyNumberFormat="1" applyFont="1" applyBorder="1" applyAlignment="1">
      <alignment horizontal="center"/>
    </xf>
    <xf numFmtId="4" fontId="10" fillId="2" borderId="10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4" fontId="5" fillId="9" borderId="1" xfId="0" applyNumberFormat="1" applyFont="1" applyFill="1" applyBorder="1"/>
    <xf numFmtId="4" fontId="1" fillId="9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wrapTex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/>
    </xf>
    <xf numFmtId="0" fontId="1" fillId="0" borderId="1" xfId="2" applyFont="1" applyBorder="1" applyAlignment="1">
      <alignment horizontal="right"/>
    </xf>
    <xf numFmtId="0" fontId="1" fillId="0" borderId="10" xfId="1" applyNumberFormat="1" applyFont="1" applyBorder="1" applyAlignment="1">
      <alignment horizontal="center" wrapText="1"/>
    </xf>
    <xf numFmtId="3" fontId="1" fillId="0" borderId="10" xfId="1" applyNumberFormat="1" applyFont="1" applyBorder="1" applyAlignment="1">
      <alignment horizontal="center" wrapText="1"/>
    </xf>
    <xf numFmtId="165" fontId="1" fillId="0" borderId="1" xfId="1" applyNumberFormat="1" applyFont="1" applyBorder="1" applyAlignment="1">
      <alignment horizontal="right"/>
    </xf>
    <xf numFmtId="3" fontId="1" fillId="6" borderId="10" xfId="1" applyNumberFormat="1" applyFont="1" applyFill="1" applyBorder="1" applyAlignment="1">
      <alignment horizontal="center" wrapText="1"/>
    </xf>
    <xf numFmtId="4" fontId="1" fillId="0" borderId="10" xfId="0" applyNumberFormat="1" applyFont="1" applyBorder="1" applyAlignment="1">
      <alignment horizontal="center" wrapText="1"/>
    </xf>
    <xf numFmtId="4" fontId="1" fillId="7" borderId="10" xfId="0" applyNumberFormat="1" applyFont="1" applyFill="1" applyBorder="1" applyAlignment="1">
      <alignment horizont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center"/>
    </xf>
    <xf numFmtId="0" fontId="10" fillId="0" borderId="1" xfId="2" applyFont="1" applyBorder="1" applyAlignment="1">
      <alignment horizontal="right"/>
    </xf>
    <xf numFmtId="0" fontId="10" fillId="0" borderId="10" xfId="1" applyNumberFormat="1" applyFont="1" applyBorder="1" applyAlignment="1">
      <alignment horizontal="center" wrapText="1"/>
    </xf>
    <xf numFmtId="3" fontId="10" fillId="0" borderId="10" xfId="1" applyNumberFormat="1" applyFont="1" applyBorder="1" applyAlignment="1">
      <alignment horizontal="center" wrapText="1"/>
    </xf>
    <xf numFmtId="165" fontId="10" fillId="0" borderId="10" xfId="1" applyNumberFormat="1" applyFont="1" applyBorder="1" applyAlignment="1">
      <alignment horizontal="right"/>
    </xf>
    <xf numFmtId="3" fontId="10" fillId="6" borderId="10" xfId="1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4" fontId="10" fillId="0" borderId="10" xfId="0" applyNumberFormat="1" applyFont="1" applyBorder="1" applyAlignment="1">
      <alignment horizontal="center" wrapText="1"/>
    </xf>
    <xf numFmtId="4" fontId="10" fillId="7" borderId="10" xfId="0" applyNumberFormat="1" applyFont="1" applyFill="1" applyBorder="1" applyAlignment="1">
      <alignment horizontal="center" wrapText="1"/>
    </xf>
    <xf numFmtId="0" fontId="10" fillId="0" borderId="10" xfId="0" applyFont="1" applyBorder="1" applyAlignment="1">
      <alignment horizontal="left" wrapText="1"/>
    </xf>
    <xf numFmtId="0" fontId="1" fillId="0" borderId="1" xfId="1" applyNumberFormat="1" applyFont="1" applyBorder="1" applyAlignment="1">
      <alignment horizontal="center" wrapText="1"/>
    </xf>
    <xf numFmtId="0" fontId="10" fillId="0" borderId="1" xfId="1" applyNumberFormat="1" applyFont="1" applyBorder="1" applyAlignment="1">
      <alignment horizontal="center" wrapText="1"/>
    </xf>
    <xf numFmtId="0" fontId="1" fillId="5" borderId="1" xfId="0" applyFont="1" applyFill="1" applyBorder="1" applyAlignment="1">
      <alignment horizontal="left" vertical="center" wrapText="1"/>
    </xf>
    <xf numFmtId="164" fontId="1" fillId="0" borderId="1" xfId="1" applyFont="1" applyBorder="1" applyAlignment="1">
      <alignment horizontal="center" wrapText="1"/>
    </xf>
    <xf numFmtId="1" fontId="1" fillId="0" borderId="1" xfId="2" applyNumberFormat="1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9" borderId="6" xfId="0" applyFont="1" applyFill="1" applyBorder="1" applyAlignment="1">
      <alignment horizontal="left" wrapText="1"/>
    </xf>
    <xf numFmtId="0" fontId="1" fillId="0" borderId="1" xfId="2" applyFont="1" applyBorder="1" applyAlignment="1">
      <alignment horizontal="center" vertical="center"/>
    </xf>
    <xf numFmtId="0" fontId="1" fillId="9" borderId="1" xfId="0" applyFont="1" applyFill="1" applyBorder="1" applyAlignment="1">
      <alignment horizontal="left" wrapText="1"/>
    </xf>
    <xf numFmtId="0" fontId="1" fillId="0" borderId="1" xfId="2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3" fontId="1" fillId="0" borderId="1" xfId="1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left" vertical="top" wrapText="1"/>
    </xf>
    <xf numFmtId="0" fontId="8" fillId="0" borderId="1" xfId="2" applyFont="1" applyBorder="1" applyAlignment="1">
      <alignment horizontal="right" vertical="top"/>
    </xf>
    <xf numFmtId="165" fontId="10" fillId="0" borderId="1" xfId="1" applyNumberFormat="1" applyFont="1" applyBorder="1" applyAlignment="1">
      <alignment horizontal="right" vertical="center"/>
    </xf>
    <xf numFmtId="0" fontId="10" fillId="0" borderId="1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 wrapText="1"/>
    </xf>
    <xf numFmtId="3" fontId="10" fillId="6" borderId="1" xfId="1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164" fontId="4" fillId="12" borderId="1" xfId="0" applyNumberFormat="1" applyFont="1" applyFill="1" applyBorder="1" applyAlignment="1">
      <alignment horizontal="center" vertical="center" wrapText="1"/>
    </xf>
    <xf numFmtId="3" fontId="19" fillId="12" borderId="10" xfId="1" applyNumberFormat="1" applyFont="1" applyFill="1" applyBorder="1" applyAlignment="1">
      <alignment horizontal="center" wrapText="1"/>
    </xf>
    <xf numFmtId="0" fontId="18" fillId="12" borderId="0" xfId="0" applyFont="1" applyFill="1"/>
    <xf numFmtId="0" fontId="4" fillId="0" borderId="0" xfId="0" applyFont="1"/>
    <xf numFmtId="0" fontId="16" fillId="0" borderId="10" xfId="1" applyNumberFormat="1" applyFont="1" applyBorder="1" applyAlignment="1">
      <alignment horizontal="center" wrapText="1"/>
    </xf>
    <xf numFmtId="0" fontId="17" fillId="0" borderId="1" xfId="1" applyNumberFormat="1" applyFont="1" applyBorder="1" applyAlignment="1">
      <alignment horizontal="center" wrapText="1"/>
    </xf>
    <xf numFmtId="4" fontId="0" fillId="7" borderId="0" xfId="0" applyNumberFormat="1" applyFill="1"/>
    <xf numFmtId="0" fontId="0" fillId="10" borderId="0" xfId="0" applyFill="1"/>
    <xf numFmtId="0" fontId="16" fillId="10" borderId="1" xfId="0" applyFont="1" applyFill="1" applyBorder="1" applyAlignment="1">
      <alignment horizontal="left" wrapText="1"/>
    </xf>
    <xf numFmtId="4" fontId="16" fillId="10" borderId="1" xfId="0" applyNumberFormat="1" applyFont="1" applyFill="1" applyBorder="1"/>
    <xf numFmtId="0" fontId="5" fillId="10" borderId="1" xfId="0" applyFont="1" applyFill="1" applyBorder="1" applyAlignment="1">
      <alignment horizontal="left" wrapText="1"/>
    </xf>
    <xf numFmtId="3" fontId="5" fillId="10" borderId="1" xfId="1" applyNumberFormat="1" applyFont="1" applyFill="1" applyBorder="1" applyAlignment="1">
      <alignment horizontal="center" wrapText="1"/>
    </xf>
    <xf numFmtId="4" fontId="5" fillId="10" borderId="1" xfId="0" applyNumberFormat="1" applyFont="1" applyFill="1" applyBorder="1" applyAlignment="1">
      <alignment vertical="center"/>
    </xf>
    <xf numFmtId="0" fontId="1" fillId="11" borderId="1" xfId="0" applyFont="1" applyFill="1" applyBorder="1" applyAlignment="1">
      <alignment horizontal="center" vertical="center" wrapText="1"/>
    </xf>
    <xf numFmtId="0" fontId="3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/>
    <xf numFmtId="4" fontId="6" fillId="10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1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6" fillId="10" borderId="1" xfId="0" applyFont="1" applyFill="1" applyBorder="1" applyAlignment="1">
      <alignment horizontal="left" vertical="center" wrapText="1"/>
    </xf>
    <xf numFmtId="3" fontId="1" fillId="0" borderId="10" xfId="1" applyNumberFormat="1" applyFont="1" applyBorder="1" applyAlignment="1">
      <alignment horizontal="center" vertical="center" wrapText="1"/>
    </xf>
    <xf numFmtId="165" fontId="16" fillId="10" borderId="1" xfId="1" applyNumberFormat="1" applyFont="1" applyFill="1" applyBorder="1" applyAlignment="1">
      <alignment horizontal="left" vertical="center" wrapText="1"/>
    </xf>
    <xf numFmtId="0" fontId="18" fillId="6" borderId="0" xfId="0" applyFont="1" applyFill="1" applyAlignment="1">
      <alignment vertical="center"/>
    </xf>
    <xf numFmtId="0" fontId="6" fillId="10" borderId="1" xfId="0" applyFont="1" applyFill="1" applyBorder="1" applyAlignment="1">
      <alignment horizontal="left" wrapText="1"/>
    </xf>
    <xf numFmtId="3" fontId="16" fillId="12" borderId="10" xfId="1" applyNumberFormat="1" applyFont="1" applyFill="1" applyBorder="1" applyAlignment="1">
      <alignment horizontal="center" wrapText="1"/>
    </xf>
    <xf numFmtId="0" fontId="16" fillId="0" borderId="10" xfId="1" applyNumberFormat="1" applyFont="1" applyBorder="1" applyAlignment="1">
      <alignment horizontal="center" vertical="center" wrapText="1"/>
    </xf>
    <xf numFmtId="0" fontId="1" fillId="0" borderId="10" xfId="1" applyNumberFormat="1" applyFont="1" applyBorder="1" applyAlignment="1">
      <alignment horizontal="center" vertical="center" wrapText="1"/>
    </xf>
    <xf numFmtId="164" fontId="4" fillId="12" borderId="2" xfId="0" applyNumberFormat="1" applyFont="1" applyFill="1" applyBorder="1" applyAlignment="1">
      <alignment horizontal="center" vertical="center" wrapText="1"/>
    </xf>
    <xf numFmtId="3" fontId="16" fillId="12" borderId="10" xfId="1" applyNumberFormat="1" applyFont="1" applyFill="1" applyBorder="1" applyAlignment="1">
      <alignment horizontal="center" vertical="center" wrapText="1"/>
    </xf>
    <xf numFmtId="4" fontId="16" fillId="10" borderId="1" xfId="0" applyNumberFormat="1" applyFont="1" applyFill="1" applyBorder="1" applyAlignment="1">
      <alignment vertical="center"/>
    </xf>
    <xf numFmtId="0" fontId="4" fillId="12" borderId="0" xfId="0" applyFont="1" applyFill="1" applyAlignment="1">
      <alignment vertical="center"/>
    </xf>
    <xf numFmtId="164" fontId="1" fillId="0" borderId="10" xfId="1" applyFont="1" applyBorder="1" applyAlignment="1">
      <alignment horizontal="center" wrapText="1"/>
    </xf>
    <xf numFmtId="165" fontId="22" fillId="6" borderId="0" xfId="0" applyNumberFormat="1" applyFont="1" applyFill="1" applyAlignment="1">
      <alignment vertical="center"/>
    </xf>
    <xf numFmtId="165" fontId="22" fillId="12" borderId="1" xfId="0" applyNumberFormat="1" applyFont="1" applyFill="1" applyBorder="1" applyAlignment="1">
      <alignment vertical="center"/>
    </xf>
    <xf numFmtId="0" fontId="8" fillId="6" borderId="1" xfId="2" applyFont="1" applyFill="1" applyBorder="1" applyAlignment="1">
      <alignment horizontal="right" vertical="top"/>
    </xf>
    <xf numFmtId="0" fontId="8" fillId="0" borderId="1" xfId="2" applyFont="1" applyBorder="1" applyAlignment="1">
      <alignment horizontal="center" vertical="top"/>
    </xf>
    <xf numFmtId="0" fontId="8" fillId="0" borderId="1" xfId="2" applyFont="1" applyBorder="1" applyAlignment="1">
      <alignment horizontal="center"/>
    </xf>
    <xf numFmtId="0" fontId="21" fillId="0" borderId="1" xfId="2" applyFont="1" applyBorder="1" applyAlignment="1">
      <alignment horizontal="center"/>
    </xf>
    <xf numFmtId="164" fontId="4" fillId="12" borderId="1" xfId="0" applyNumberFormat="1" applyFont="1" applyFill="1" applyBorder="1" applyAlignment="1">
      <alignment horizontal="center" wrapText="1"/>
    </xf>
    <xf numFmtId="164" fontId="4" fillId="12" borderId="2" xfId="0" applyNumberFormat="1" applyFont="1" applyFill="1" applyBorder="1" applyAlignment="1">
      <alignment horizontal="center" wrapText="1"/>
    </xf>
    <xf numFmtId="0" fontId="18" fillId="0" borderId="0" xfId="0" applyFont="1"/>
    <xf numFmtId="0" fontId="0" fillId="11" borderId="0" xfId="0" applyFill="1"/>
    <xf numFmtId="4" fontId="4" fillId="11" borderId="1" xfId="0" applyNumberFormat="1" applyFont="1" applyFill="1" applyBorder="1" applyAlignment="1">
      <alignment horizontal="center" vertical="center" wrapText="1"/>
    </xf>
    <xf numFmtId="0" fontId="13" fillId="10" borderId="0" xfId="0" applyFont="1" applyFill="1" applyAlignment="1">
      <alignment horizontal="center" vertical="center"/>
    </xf>
    <xf numFmtId="4" fontId="1" fillId="7" borderId="1" xfId="0" applyNumberFormat="1" applyFont="1" applyFill="1" applyBorder="1" applyAlignment="1">
      <alignment horizontal="center"/>
    </xf>
    <xf numFmtId="0" fontId="1" fillId="0" borderId="1" xfId="2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1" fontId="1" fillId="6" borderId="1" xfId="2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left" wrapText="1"/>
    </xf>
    <xf numFmtId="0" fontId="0" fillId="4" borderId="0" xfId="0" applyFill="1"/>
    <xf numFmtId="0" fontId="0" fillId="5" borderId="0" xfId="0" applyFill="1"/>
    <xf numFmtId="0" fontId="0" fillId="4" borderId="0" xfId="0" applyFill="1" applyAlignment="1">
      <alignment vertical="top"/>
    </xf>
    <xf numFmtId="0" fontId="10" fillId="0" borderId="1" xfId="1" applyNumberFormat="1" applyFont="1" applyBorder="1" applyAlignment="1">
      <alignment horizontal="center" vertical="top" wrapText="1"/>
    </xf>
    <xf numFmtId="0" fontId="26" fillId="0" borderId="1" xfId="1" applyNumberFormat="1" applyFont="1" applyBorder="1" applyAlignment="1">
      <alignment horizontal="center" wrapText="1"/>
    </xf>
    <xf numFmtId="0" fontId="0" fillId="4" borderId="0" xfId="0" applyFill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 wrapText="1"/>
    </xf>
    <xf numFmtId="4" fontId="16" fillId="10" borderId="1" xfId="0" applyNumberFormat="1" applyFont="1" applyFill="1" applyBorder="1" applyAlignment="1">
      <alignment horizontal="center" vertical="center"/>
    </xf>
    <xf numFmtId="4" fontId="5" fillId="10" borderId="1" xfId="0" applyNumberFormat="1" applyFont="1" applyFill="1" applyBorder="1" applyAlignment="1">
      <alignment horizontal="center" vertical="center"/>
    </xf>
    <xf numFmtId="4" fontId="6" fillId="10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6" fillId="10" borderId="1" xfId="0" applyFont="1" applyFill="1" applyBorder="1" applyAlignment="1">
      <alignment horizontal="left" vertical="center" wrapText="1"/>
    </xf>
    <xf numFmtId="3" fontId="19" fillId="5" borderId="1" xfId="0" applyNumberFormat="1" applyFont="1" applyFill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wrapText="1"/>
    </xf>
    <xf numFmtId="0" fontId="27" fillId="0" borderId="10" xfId="1" applyNumberFormat="1" applyFont="1" applyBorder="1" applyAlignment="1">
      <alignment horizontal="center" vertical="center" wrapText="1"/>
    </xf>
    <xf numFmtId="0" fontId="27" fillId="0" borderId="1" xfId="1" applyNumberFormat="1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/>
    </xf>
    <xf numFmtId="0" fontId="10" fillId="0" borderId="10" xfId="1" applyNumberFormat="1" applyFont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0" fontId="8" fillId="0" borderId="1" xfId="2" applyFont="1" applyBorder="1" applyAlignment="1" applyProtection="1">
      <alignment horizontal="center"/>
      <protection locked="0"/>
    </xf>
    <xf numFmtId="0" fontId="10" fillId="0" borderId="1" xfId="1" applyNumberFormat="1" applyFont="1" applyBorder="1" applyAlignment="1" applyProtection="1">
      <alignment horizontal="center" wrapText="1"/>
      <protection locked="0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5" fillId="0" borderId="1" xfId="1" applyNumberFormat="1" applyFont="1" applyBorder="1" applyAlignment="1" applyProtection="1">
      <alignment horizontal="center" wrapText="1"/>
      <protection locked="0"/>
    </xf>
    <xf numFmtId="0" fontId="0" fillId="11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4" borderId="1" xfId="0" applyFill="1" applyBorder="1"/>
    <xf numFmtId="0" fontId="0" fillId="0" borderId="10" xfId="0" applyBorder="1" applyAlignment="1">
      <alignment horizontal="center"/>
    </xf>
    <xf numFmtId="0" fontId="0" fillId="5" borderId="1" xfId="0" applyFill="1" applyBorder="1"/>
    <xf numFmtId="0" fontId="9" fillId="0" borderId="1" xfId="0" applyFont="1" applyBorder="1" applyAlignment="1">
      <alignment horizontal="center" vertical="center"/>
    </xf>
    <xf numFmtId="0" fontId="8" fillId="5" borderId="1" xfId="2" applyFont="1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center" vertical="center"/>
    </xf>
    <xf numFmtId="0" fontId="0" fillId="0" borderId="0" xfId="0" quotePrefix="1"/>
    <xf numFmtId="0" fontId="8" fillId="5" borderId="1" xfId="2" applyFont="1" applyFill="1" applyBorder="1" applyAlignment="1">
      <alignment horizontal="center"/>
    </xf>
    <xf numFmtId="4" fontId="3" fillId="5" borderId="1" xfId="0" applyNumberFormat="1" applyFont="1" applyFill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0" fillId="5" borderId="1" xfId="1" applyNumberFormat="1" applyFont="1" applyFill="1" applyBorder="1" applyAlignment="1">
      <alignment horizontal="center" wrapText="1"/>
    </xf>
    <xf numFmtId="0" fontId="27" fillId="5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wrapText="1"/>
    </xf>
    <xf numFmtId="3" fontId="19" fillId="5" borderId="10" xfId="1" applyNumberFormat="1" applyFont="1" applyFill="1" applyBorder="1" applyAlignment="1">
      <alignment horizontal="center" vertical="center" wrapText="1"/>
    </xf>
    <xf numFmtId="3" fontId="29" fillId="12" borderId="10" xfId="1" applyNumberFormat="1" applyFont="1" applyFill="1" applyBorder="1" applyAlignment="1">
      <alignment horizontal="center" vertical="center" wrapText="1"/>
    </xf>
    <xf numFmtId="4" fontId="29" fillId="10" borderId="1" xfId="0" applyNumberFormat="1" applyFont="1" applyFill="1" applyBorder="1" applyAlignment="1">
      <alignment horizontal="center" vertical="center"/>
    </xf>
    <xf numFmtId="3" fontId="29" fillId="12" borderId="10" xfId="1" applyNumberFormat="1" applyFont="1" applyFill="1" applyBorder="1" applyAlignment="1" applyProtection="1">
      <alignment horizontal="center" vertical="center" wrapText="1"/>
      <protection locked="0"/>
    </xf>
    <xf numFmtId="4" fontId="29" fillId="12" borderId="10" xfId="1" applyNumberFormat="1" applyFont="1" applyFill="1" applyBorder="1" applyAlignment="1">
      <alignment horizontal="center" vertical="center" wrapText="1"/>
    </xf>
    <xf numFmtId="3" fontId="29" fillId="12" borderId="1" xfId="1" applyNumberFormat="1" applyFont="1" applyFill="1" applyBorder="1" applyAlignment="1">
      <alignment horizontal="center" vertical="center" wrapText="1"/>
    </xf>
    <xf numFmtId="0" fontId="22" fillId="12" borderId="0" xfId="0" applyFont="1" applyFill="1" applyAlignment="1">
      <alignment horizontal="center" vertical="center"/>
    </xf>
    <xf numFmtId="3" fontId="29" fillId="7" borderId="1" xfId="0" applyNumberFormat="1" applyFont="1" applyFill="1" applyBorder="1" applyAlignment="1">
      <alignment horizontal="center" vertical="center"/>
    </xf>
    <xf numFmtId="4" fontId="29" fillId="7" borderId="1" xfId="0" applyNumberFormat="1" applyFont="1" applyFill="1" applyBorder="1" applyAlignment="1">
      <alignment horizontal="center" vertical="center"/>
    </xf>
    <xf numFmtId="3" fontId="29" fillId="7" borderId="1" xfId="0" applyNumberFormat="1" applyFont="1" applyFill="1" applyBorder="1" applyAlignment="1" applyProtection="1">
      <alignment horizontal="center" vertical="center"/>
      <protection locked="0"/>
    </xf>
    <xf numFmtId="3" fontId="30" fillId="11" borderId="1" xfId="0" applyNumberFormat="1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/>
    </xf>
    <xf numFmtId="0" fontId="22" fillId="12" borderId="10" xfId="0" applyFont="1" applyFill="1" applyBorder="1" applyAlignment="1">
      <alignment horizontal="center"/>
    </xf>
    <xf numFmtId="3" fontId="30" fillId="12" borderId="10" xfId="1" applyNumberFormat="1" applyFont="1" applyFill="1" applyBorder="1" applyAlignment="1">
      <alignment horizontal="center" vertical="center" wrapText="1"/>
    </xf>
    <xf numFmtId="3" fontId="29" fillId="12" borderId="10" xfId="1" applyNumberFormat="1" applyFont="1" applyFill="1" applyBorder="1" applyAlignment="1">
      <alignment horizontal="center" wrapText="1"/>
    </xf>
    <xf numFmtId="4" fontId="31" fillId="7" borderId="1" xfId="0" applyNumberFormat="1" applyFont="1" applyFill="1" applyBorder="1" applyAlignment="1">
      <alignment horizontal="center" vertical="center"/>
    </xf>
    <xf numFmtId="4" fontId="22" fillId="7" borderId="1" xfId="0" applyNumberFormat="1" applyFont="1" applyFill="1" applyBorder="1" applyAlignment="1">
      <alignment horizontal="center"/>
    </xf>
    <xf numFmtId="4" fontId="22" fillId="7" borderId="0" xfId="0" applyNumberFormat="1" applyFont="1" applyFill="1" applyAlignment="1">
      <alignment horizontal="center" vertical="center"/>
    </xf>
    <xf numFmtId="0" fontId="29" fillId="5" borderId="1" xfId="0" applyFont="1" applyFill="1" applyBorder="1" applyAlignment="1">
      <alignment horizontal="center" vertical="center" wrapText="1"/>
    </xf>
    <xf numFmtId="0" fontId="22" fillId="11" borderId="0" xfId="0" applyFont="1" applyFill="1" applyAlignment="1">
      <alignment horizontal="center" vertical="center"/>
    </xf>
    <xf numFmtId="165" fontId="29" fillId="6" borderId="1" xfId="1" applyNumberFormat="1" applyFont="1" applyFill="1" applyBorder="1" applyAlignment="1">
      <alignment horizontal="center" vertical="center"/>
    </xf>
    <xf numFmtId="165" fontId="29" fillId="6" borderId="10" xfId="1" applyNumberFormat="1" applyFont="1" applyFill="1" applyBorder="1" applyAlignment="1">
      <alignment horizontal="center" vertical="center"/>
    </xf>
    <xf numFmtId="165" fontId="29" fillId="10" borderId="1" xfId="1" applyNumberFormat="1" applyFont="1" applyFill="1" applyBorder="1" applyAlignment="1">
      <alignment horizontal="center" vertical="center" wrapText="1"/>
    </xf>
    <xf numFmtId="0" fontId="32" fillId="6" borderId="1" xfId="2" applyFont="1" applyFill="1" applyBorder="1" applyAlignment="1">
      <alignment horizontal="center" vertical="center"/>
    </xf>
    <xf numFmtId="1" fontId="32" fillId="6" borderId="1" xfId="2" applyNumberFormat="1" applyFont="1" applyFill="1" applyBorder="1" applyAlignment="1">
      <alignment horizontal="center" vertical="center"/>
    </xf>
    <xf numFmtId="1" fontId="32" fillId="6" borderId="10" xfId="2" applyNumberFormat="1" applyFont="1" applyFill="1" applyBorder="1" applyAlignment="1">
      <alignment horizontal="center" vertical="center"/>
    </xf>
    <xf numFmtId="165" fontId="29" fillId="6" borderId="1" xfId="2" applyNumberFormat="1" applyFont="1" applyFill="1" applyBorder="1" applyAlignment="1">
      <alignment horizontal="center" vertical="center"/>
    </xf>
    <xf numFmtId="1" fontId="29" fillId="6" borderId="1" xfId="2" applyNumberFormat="1" applyFont="1" applyFill="1" applyBorder="1" applyAlignment="1">
      <alignment horizontal="center" vertical="center"/>
    </xf>
    <xf numFmtId="1" fontId="32" fillId="6" borderId="1" xfId="2" applyNumberFormat="1" applyFont="1" applyFill="1" applyBorder="1" applyAlignment="1" applyProtection="1">
      <alignment horizontal="center" vertical="center"/>
      <protection locked="0"/>
    </xf>
    <xf numFmtId="2" fontId="32" fillId="6" borderId="1" xfId="2" applyNumberFormat="1" applyFont="1" applyFill="1" applyBorder="1" applyAlignment="1">
      <alignment horizontal="center" vertical="center"/>
    </xf>
    <xf numFmtId="165" fontId="29" fillId="6" borderId="1" xfId="1" applyNumberFormat="1" applyFont="1" applyFill="1" applyBorder="1" applyAlignment="1">
      <alignment horizontal="center" vertical="center" wrapText="1"/>
    </xf>
    <xf numFmtId="1" fontId="29" fillId="6" borderId="10" xfId="2" applyNumberFormat="1" applyFont="1" applyFill="1" applyBorder="1" applyAlignment="1">
      <alignment horizontal="center" vertical="center"/>
    </xf>
    <xf numFmtId="1" fontId="32" fillId="6" borderId="1" xfId="2" applyNumberFormat="1" applyFont="1" applyFill="1" applyBorder="1" applyAlignment="1">
      <alignment horizontal="right"/>
    </xf>
    <xf numFmtId="0" fontId="22" fillId="6" borderId="0" xfId="0" applyFont="1" applyFill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31" fillId="0" borderId="1" xfId="1" applyNumberFormat="1" applyFont="1" applyBorder="1" applyAlignment="1">
      <alignment horizontal="center" vertical="center" wrapText="1"/>
    </xf>
    <xf numFmtId="0" fontId="29" fillId="10" borderId="1" xfId="0" applyFont="1" applyFill="1" applyBorder="1" applyAlignment="1">
      <alignment horizontal="center" vertical="center" wrapText="1"/>
    </xf>
    <xf numFmtId="0" fontId="29" fillId="0" borderId="1" xfId="1" applyNumberFormat="1" applyFont="1" applyBorder="1" applyAlignment="1">
      <alignment horizontal="center" vertical="center" wrapText="1"/>
    </xf>
    <xf numFmtId="0" fontId="31" fillId="5" borderId="1" xfId="1" applyNumberFormat="1" applyFont="1" applyFill="1" applyBorder="1" applyAlignment="1">
      <alignment horizontal="center" vertical="center" wrapText="1"/>
    </xf>
    <xf numFmtId="0" fontId="29" fillId="0" borderId="1" xfId="2" applyFont="1" applyBorder="1" applyAlignment="1">
      <alignment horizontal="right"/>
    </xf>
    <xf numFmtId="0" fontId="31" fillId="0" borderId="10" xfId="1" applyNumberFormat="1" applyFont="1" applyBorder="1" applyAlignment="1">
      <alignment horizontal="center" vertical="center" wrapText="1"/>
    </xf>
    <xf numFmtId="0" fontId="29" fillId="0" borderId="10" xfId="1" applyNumberFormat="1" applyFont="1" applyBorder="1" applyAlignment="1">
      <alignment horizontal="center" vertical="center" wrapText="1"/>
    </xf>
    <xf numFmtId="0" fontId="30" fillId="0" borderId="10" xfId="1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9" fillId="0" borderId="10" xfId="1" applyNumberFormat="1" applyFont="1" applyBorder="1" applyAlignment="1" applyProtection="1">
      <alignment horizontal="center" vertical="center" wrapText="1"/>
      <protection locked="0"/>
    </xf>
    <xf numFmtId="0" fontId="29" fillId="5" borderId="10" xfId="1" applyNumberFormat="1" applyFont="1" applyFill="1" applyBorder="1" applyAlignment="1">
      <alignment horizontal="center" vertical="center" wrapText="1"/>
    </xf>
    <xf numFmtId="0" fontId="29" fillId="0" borderId="10" xfId="1" applyNumberFormat="1" applyFont="1" applyBorder="1" applyAlignment="1">
      <alignment horizontal="center" wrapText="1"/>
    </xf>
    <xf numFmtId="0" fontId="29" fillId="0" borderId="11" xfId="1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29" fillId="0" borderId="1" xfId="2" applyFont="1" applyBorder="1" applyAlignment="1">
      <alignment horizontal="right" vertical="center"/>
    </xf>
    <xf numFmtId="0" fontId="29" fillId="5" borderId="1" xfId="2" applyFont="1" applyFill="1" applyBorder="1" applyAlignment="1">
      <alignment horizontal="right" vertical="center"/>
    </xf>
    <xf numFmtId="49" fontId="29" fillId="0" borderId="1" xfId="2" applyNumberFormat="1" applyFont="1" applyBorder="1" applyAlignment="1">
      <alignment horizontal="right" vertical="center"/>
    </xf>
    <xf numFmtId="0" fontId="29" fillId="0" borderId="10" xfId="2" applyFont="1" applyBorder="1" applyAlignment="1">
      <alignment horizontal="right" vertical="center"/>
    </xf>
    <xf numFmtId="0" fontId="29" fillId="10" borderId="1" xfId="0" applyFont="1" applyFill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32" fillId="0" borderId="1" xfId="2" applyFont="1" applyBorder="1" applyAlignment="1">
      <alignment horizontal="right" vertical="top"/>
    </xf>
    <xf numFmtId="0" fontId="33" fillId="0" borderId="1" xfId="2" applyFont="1" applyBorder="1" applyAlignment="1">
      <alignment horizontal="right" vertical="top"/>
    </xf>
    <xf numFmtId="0" fontId="32" fillId="0" borderId="1" xfId="2" applyFont="1" applyBorder="1" applyAlignment="1">
      <alignment horizontal="right" vertical="center"/>
    </xf>
    <xf numFmtId="0" fontId="32" fillId="0" borderId="1" xfId="2" applyFont="1" applyBorder="1" applyAlignment="1" applyProtection="1">
      <alignment horizontal="right"/>
      <protection locked="0"/>
    </xf>
    <xf numFmtId="0" fontId="32" fillId="0" borderId="1" xfId="2" applyFont="1" applyBorder="1" applyAlignment="1">
      <alignment horizontal="right"/>
    </xf>
    <xf numFmtId="0" fontId="32" fillId="5" borderId="1" xfId="2" applyFont="1" applyFill="1" applyBorder="1" applyAlignment="1">
      <alignment horizontal="right"/>
    </xf>
    <xf numFmtId="169" fontId="32" fillId="0" borderId="1" xfId="2" applyNumberFormat="1" applyFont="1" applyBorder="1" applyAlignment="1">
      <alignment horizontal="right"/>
    </xf>
    <xf numFmtId="168" fontId="32" fillId="0" borderId="1" xfId="2" applyNumberFormat="1" applyFont="1" applyBorder="1" applyAlignment="1">
      <alignment horizontal="right"/>
    </xf>
    <xf numFmtId="0" fontId="33" fillId="0" borderId="1" xfId="2" applyFont="1" applyBorder="1" applyAlignment="1">
      <alignment horizontal="right"/>
    </xf>
    <xf numFmtId="168" fontId="29" fillId="0" borderId="1" xfId="2" applyNumberFormat="1" applyFont="1" applyBorder="1" applyAlignment="1">
      <alignment horizontal="right"/>
    </xf>
    <xf numFmtId="3" fontId="19" fillId="0" borderId="10" xfId="1" applyNumberFormat="1" applyFont="1" applyBorder="1" applyAlignment="1">
      <alignment horizontal="center" vertical="center" wrapText="1"/>
    </xf>
    <xf numFmtId="4" fontId="19" fillId="0" borderId="10" xfId="1" applyNumberFormat="1" applyFont="1" applyBorder="1" applyAlignment="1">
      <alignment horizontal="center" vertical="center" wrapText="1"/>
    </xf>
    <xf numFmtId="166" fontId="19" fillId="0" borderId="10" xfId="1" applyNumberFormat="1" applyFont="1" applyBorder="1" applyAlignment="1">
      <alignment horizontal="center" vertical="center" wrapText="1"/>
    </xf>
    <xf numFmtId="3" fontId="19" fillId="0" borderId="10" xfId="1" applyNumberFormat="1" applyFont="1" applyBorder="1" applyAlignment="1" applyProtection="1">
      <alignment horizontal="center" vertical="center" wrapText="1"/>
      <protection locked="0"/>
    </xf>
    <xf numFmtId="3" fontId="19" fillId="0" borderId="1" xfId="1" applyNumberFormat="1" applyFont="1" applyBorder="1" applyAlignment="1">
      <alignment horizontal="center" vertical="center" wrapText="1"/>
    </xf>
    <xf numFmtId="3" fontId="19" fillId="0" borderId="1" xfId="1" applyNumberFormat="1" applyFont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19" fillId="0" borderId="10" xfId="1" applyNumberFormat="1" applyFont="1" applyBorder="1" applyAlignment="1">
      <alignment horizontal="center" vertical="center" wrapText="1"/>
    </xf>
    <xf numFmtId="0" fontId="19" fillId="0" borderId="1" xfId="1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164" fontId="19" fillId="0" borderId="10" xfId="1" applyFont="1" applyBorder="1" applyAlignment="1">
      <alignment horizontal="center" vertical="center" wrapText="1"/>
    </xf>
    <xf numFmtId="164" fontId="27" fillId="0" borderId="10" xfId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/>
    </xf>
    <xf numFmtId="0" fontId="19" fillId="5" borderId="10" xfId="1" applyNumberFormat="1" applyFont="1" applyFill="1" applyBorder="1" applyAlignment="1">
      <alignment horizontal="center" vertical="center" wrapText="1"/>
    </xf>
    <xf numFmtId="3" fontId="16" fillId="10" borderId="1" xfId="1" applyNumberFormat="1" applyFont="1" applyFill="1" applyBorder="1" applyAlignment="1">
      <alignment horizontal="center" vertical="center" wrapText="1"/>
    </xf>
    <xf numFmtId="3" fontId="23" fillId="0" borderId="10" xfId="1" applyNumberFormat="1" applyFont="1" applyBorder="1" applyAlignment="1">
      <alignment horizontal="center" vertical="center" wrapText="1"/>
    </xf>
    <xf numFmtId="3" fontId="19" fillId="0" borderId="10" xfId="1" applyNumberFormat="1" applyFont="1" applyBorder="1" applyAlignment="1">
      <alignment horizontal="center" wrapText="1"/>
    </xf>
    <xf numFmtId="3" fontId="18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8" fillId="0" borderId="10" xfId="0" applyNumberFormat="1" applyFont="1" applyBorder="1" applyAlignment="1">
      <alignment horizontal="center" vertical="center"/>
    </xf>
    <xf numFmtId="167" fontId="18" fillId="0" borderId="1" xfId="0" applyNumberFormat="1" applyFont="1" applyBorder="1" applyAlignment="1">
      <alignment horizontal="center" vertical="center"/>
    </xf>
    <xf numFmtId="4" fontId="34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 applyAlignment="1" applyProtection="1">
      <alignment horizontal="center" vertical="center"/>
      <protection locked="0"/>
    </xf>
    <xf numFmtId="4" fontId="18" fillId="0" borderId="0" xfId="0" applyNumberFormat="1" applyFont="1" applyAlignment="1">
      <alignment horizontal="center" vertical="center"/>
    </xf>
    <xf numFmtId="3" fontId="18" fillId="5" borderId="1" xfId="0" applyNumberFormat="1" applyFont="1" applyFill="1" applyBorder="1" applyAlignment="1">
      <alignment horizontal="center" vertical="center"/>
    </xf>
    <xf numFmtId="4" fontId="18" fillId="5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 vertical="center" wrapText="1"/>
    </xf>
    <xf numFmtId="4" fontId="18" fillId="10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/>
    </xf>
    <xf numFmtId="3" fontId="23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3" fontId="29" fillId="11" borderId="1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/>
    </xf>
    <xf numFmtId="0" fontId="21" fillId="0" borderId="1" xfId="2" applyFont="1" applyBorder="1" applyAlignment="1">
      <alignment horizontal="left" vertical="top" wrapText="1"/>
    </xf>
    <xf numFmtId="4" fontId="18" fillId="0" borderId="2" xfId="0" applyNumberFormat="1" applyFont="1" applyBorder="1" applyAlignment="1">
      <alignment horizontal="center"/>
    </xf>
    <xf numFmtId="3" fontId="18" fillId="0" borderId="2" xfId="0" applyNumberFormat="1" applyFont="1" applyBorder="1" applyAlignment="1">
      <alignment horizontal="center"/>
    </xf>
    <xf numFmtId="4" fontId="23" fillId="0" borderId="2" xfId="0" applyNumberFormat="1" applyFont="1" applyBorder="1" applyAlignment="1">
      <alignment horizontal="center"/>
    </xf>
    <xf numFmtId="3" fontId="23" fillId="0" borderId="2" xfId="0" applyNumberFormat="1" applyFont="1" applyBorder="1" applyAlignment="1">
      <alignment horizontal="center"/>
    </xf>
    <xf numFmtId="3" fontId="22" fillId="7" borderId="1" xfId="0" applyNumberFormat="1" applyFont="1" applyFill="1" applyBorder="1" applyAlignment="1">
      <alignment horizontal="center"/>
    </xf>
    <xf numFmtId="3" fontId="22" fillId="11" borderId="1" xfId="0" applyNumberFormat="1" applyFont="1" applyFill="1" applyBorder="1" applyAlignment="1">
      <alignment horizontal="center"/>
    </xf>
    <xf numFmtId="3" fontId="30" fillId="11" borderId="1" xfId="0" applyNumberFormat="1" applyFont="1" applyFill="1" applyBorder="1" applyAlignment="1">
      <alignment horizontal="center"/>
    </xf>
    <xf numFmtId="3" fontId="29" fillId="11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left" vertical="center"/>
    </xf>
    <xf numFmtId="164" fontId="11" fillId="3" borderId="10" xfId="0" applyNumberFormat="1" applyFont="1" applyFill="1" applyBorder="1" applyAlignment="1">
      <alignment horizontal="left" vertical="center" wrapText="1"/>
    </xf>
    <xf numFmtId="165" fontId="11" fillId="3" borderId="1" xfId="0" applyNumberFormat="1" applyFont="1" applyFill="1" applyBorder="1" applyAlignment="1">
      <alignment horizontal="left" vertical="center"/>
    </xf>
    <xf numFmtId="4" fontId="11" fillId="3" borderId="1" xfId="0" applyNumberFormat="1" applyFont="1" applyFill="1" applyBorder="1" applyAlignment="1">
      <alignment horizontal="left" vertical="center" wrapText="1"/>
    </xf>
    <xf numFmtId="165" fontId="14" fillId="3" borderId="1" xfId="0" applyNumberFormat="1" applyFont="1" applyFill="1" applyBorder="1" applyAlignment="1">
      <alignment horizontal="left" vertical="center"/>
    </xf>
    <xf numFmtId="10" fontId="28" fillId="3" borderId="0" xfId="3" applyNumberFormat="1" applyFont="1" applyFill="1" applyAlignment="1">
      <alignment vertical="center"/>
    </xf>
    <xf numFmtId="165" fontId="15" fillId="3" borderId="1" xfId="0" applyNumberFormat="1" applyFont="1" applyFill="1" applyBorder="1" applyAlignment="1">
      <alignment horizontal="left" vertical="center"/>
    </xf>
    <xf numFmtId="10" fontId="6" fillId="3" borderId="0" xfId="3" applyNumberFormat="1" applyFont="1" applyFill="1" applyAlignment="1">
      <alignment vertical="center"/>
    </xf>
    <xf numFmtId="0" fontId="35" fillId="0" borderId="1" xfId="2" applyFont="1" applyBorder="1" applyAlignment="1">
      <alignment horizontal="left" wrapText="1"/>
    </xf>
    <xf numFmtId="0" fontId="35" fillId="0" borderId="1" xfId="2" applyFont="1" applyBorder="1" applyAlignment="1">
      <alignment horizontal="left" vertical="top" wrapText="1"/>
    </xf>
    <xf numFmtId="0" fontId="19" fillId="0" borderId="1" xfId="2" applyFont="1" applyBorder="1" applyAlignment="1">
      <alignment horizontal="left" vertical="center" wrapText="1"/>
    </xf>
    <xf numFmtId="3" fontId="29" fillId="10" borderId="1" xfId="0" applyNumberFormat="1" applyFont="1" applyFill="1" applyBorder="1" applyAlignment="1">
      <alignment horizontal="center" vertical="center"/>
    </xf>
    <xf numFmtId="3" fontId="30" fillId="11" borderId="1" xfId="1" applyNumberFormat="1" applyFont="1" applyFill="1" applyBorder="1" applyAlignment="1">
      <alignment horizontal="center" vertical="top" wrapText="1"/>
    </xf>
    <xf numFmtId="3" fontId="30" fillId="11" borderId="1" xfId="1" applyNumberFormat="1" applyFont="1" applyFill="1" applyBorder="1" applyAlignment="1">
      <alignment horizontal="center" vertical="center" wrapText="1"/>
    </xf>
    <xf numFmtId="165" fontId="3" fillId="3" borderId="0" xfId="0" applyNumberFormat="1" applyFont="1" applyFill="1" applyAlignment="1">
      <alignment horizontal="left" vertical="center"/>
    </xf>
    <xf numFmtId="0" fontId="35" fillId="0" borderId="1" xfId="2" applyFont="1" applyBorder="1" applyAlignment="1">
      <alignment horizontal="left" vertical="center" wrapText="1"/>
    </xf>
    <xf numFmtId="3" fontId="22" fillId="11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left" vertical="center"/>
    </xf>
    <xf numFmtId="164" fontId="3" fillId="3" borderId="10" xfId="0" applyNumberFormat="1" applyFont="1" applyFill="1" applyBorder="1" applyAlignment="1">
      <alignment horizontal="left" vertical="center" wrapText="1"/>
    </xf>
    <xf numFmtId="165" fontId="28" fillId="3" borderId="1" xfId="0" applyNumberFormat="1" applyFont="1" applyFill="1" applyBorder="1" applyAlignment="1">
      <alignment horizontal="left" vertical="center"/>
    </xf>
    <xf numFmtId="165" fontId="6" fillId="3" borderId="1" xfId="0" applyNumberFormat="1" applyFont="1" applyFill="1" applyBorder="1" applyAlignment="1">
      <alignment horizontal="left" vertical="center"/>
    </xf>
    <xf numFmtId="4" fontId="23" fillId="0" borderId="1" xfId="0" applyNumberFormat="1" applyFont="1" applyBorder="1" applyAlignment="1">
      <alignment horizontal="center" vertical="center" wrapText="1"/>
    </xf>
    <xf numFmtId="0" fontId="35" fillId="5" borderId="1" xfId="2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3" fontId="19" fillId="0" borderId="10" xfId="1" applyNumberFormat="1" applyFont="1" applyBorder="1" applyAlignment="1">
      <alignment horizontal="center" vertical="top" wrapText="1"/>
    </xf>
    <xf numFmtId="1" fontId="32" fillId="6" borderId="1" xfId="2" applyNumberFormat="1" applyFont="1" applyFill="1" applyBorder="1" applyAlignment="1">
      <alignment horizontal="center" vertical="top"/>
    </xf>
    <xf numFmtId="0" fontId="19" fillId="0" borderId="10" xfId="1" applyNumberFormat="1" applyFont="1" applyBorder="1" applyAlignment="1">
      <alignment horizontal="center" vertical="top" wrapText="1"/>
    </xf>
    <xf numFmtId="0" fontId="29" fillId="0" borderId="10" xfId="1" applyNumberFormat="1" applyFont="1" applyBorder="1" applyAlignment="1">
      <alignment horizontal="center" vertical="top" wrapText="1"/>
    </xf>
    <xf numFmtId="3" fontId="29" fillId="12" borderId="10" xfId="1" applyNumberFormat="1" applyFont="1" applyFill="1" applyBorder="1" applyAlignment="1">
      <alignment horizontal="center" vertical="top" wrapText="1"/>
    </xf>
    <xf numFmtId="0" fontId="31" fillId="0" borderId="1" xfId="1" applyNumberFormat="1" applyFont="1" applyBorder="1" applyAlignment="1">
      <alignment horizontal="center" vertical="top" wrapText="1"/>
    </xf>
    <xf numFmtId="4" fontId="18" fillId="0" borderId="1" xfId="0" applyNumberFormat="1" applyFont="1" applyBorder="1" applyAlignment="1">
      <alignment horizontal="center" vertical="top"/>
    </xf>
    <xf numFmtId="4" fontId="29" fillId="7" borderId="1" xfId="0" applyNumberFormat="1" applyFont="1" applyFill="1" applyBorder="1" applyAlignment="1">
      <alignment horizontal="center" vertical="top"/>
    </xf>
    <xf numFmtId="3" fontId="29" fillId="7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11" borderId="1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4" borderId="1" xfId="0" applyFont="1" applyFill="1" applyBorder="1" applyAlignment="1">
      <alignment horizontal="left" vertical="top" wrapText="1"/>
    </xf>
    <xf numFmtId="3" fontId="18" fillId="0" borderId="1" xfId="0" applyNumberFormat="1" applyFont="1" applyBorder="1" applyAlignment="1">
      <alignment horizontal="center" vertical="top"/>
    </xf>
    <xf numFmtId="0" fontId="29" fillId="0" borderId="1" xfId="1" applyNumberFormat="1" applyFont="1" applyBorder="1" applyAlignment="1">
      <alignment horizontal="center" vertical="top" wrapText="1"/>
    </xf>
    <xf numFmtId="0" fontId="35" fillId="5" borderId="1" xfId="2" applyFont="1" applyFill="1" applyBorder="1" applyAlignment="1">
      <alignment horizontal="left" vertical="top" wrapText="1"/>
    </xf>
    <xf numFmtId="167" fontId="23" fillId="0" borderId="1" xfId="0" applyNumberFormat="1" applyFont="1" applyBorder="1" applyAlignment="1">
      <alignment horizontal="center" vertical="center" wrapText="1"/>
    </xf>
    <xf numFmtId="3" fontId="19" fillId="0" borderId="1" xfId="0" applyNumberFormat="1" applyFont="1" applyBorder="1" applyAlignment="1" applyProtection="1">
      <alignment horizontal="center" vertical="center" wrapText="1"/>
      <protection locked="0"/>
    </xf>
    <xf numFmtId="3" fontId="29" fillId="11" borderId="1" xfId="0" applyNumberFormat="1" applyFont="1" applyFill="1" applyBorder="1" applyAlignment="1" applyProtection="1">
      <alignment horizontal="center" vertical="center" wrapText="1"/>
      <protection locked="0"/>
    </xf>
    <xf numFmtId="3" fontId="19" fillId="5" borderId="1" xfId="0" applyNumberFormat="1" applyFont="1" applyFill="1" applyBorder="1" applyAlignment="1">
      <alignment horizontal="center" vertical="center" wrapText="1"/>
    </xf>
    <xf numFmtId="165" fontId="22" fillId="12" borderId="0" xfId="0" applyNumberFormat="1" applyFont="1" applyFill="1" applyAlignment="1">
      <alignment horizontal="center" vertical="center"/>
    </xf>
    <xf numFmtId="0" fontId="37" fillId="0" borderId="0" xfId="0" applyFont="1" applyAlignment="1">
      <alignment horizontal="center" vertical="center"/>
    </xf>
    <xf numFmtId="4" fontId="37" fillId="0" borderId="0" xfId="0" applyNumberFormat="1" applyFont="1" applyAlignment="1">
      <alignment horizontal="center" vertical="center"/>
    </xf>
    <xf numFmtId="0" fontId="37" fillId="11" borderId="0" xfId="0" applyFont="1" applyFill="1" applyAlignment="1">
      <alignment horizontal="center" vertical="center"/>
    </xf>
    <xf numFmtId="0" fontId="29" fillId="0" borderId="1" xfId="2" applyFont="1" applyBorder="1" applyAlignment="1">
      <alignment horizontal="center"/>
    </xf>
    <xf numFmtId="0" fontId="29" fillId="0" borderId="1" xfId="1" applyNumberFormat="1" applyFont="1" applyBorder="1" applyAlignment="1" applyProtection="1">
      <alignment horizontal="center" vertical="center" wrapText="1"/>
      <protection locked="0"/>
    </xf>
    <xf numFmtId="0" fontId="29" fillId="5" borderId="1" xfId="1" applyNumberFormat="1" applyFont="1" applyFill="1" applyBorder="1" applyAlignment="1">
      <alignment horizontal="center" vertical="center" wrapText="1"/>
    </xf>
    <xf numFmtId="3" fontId="23" fillId="0" borderId="1" xfId="0" applyNumberFormat="1" applyFont="1" applyBorder="1" applyAlignment="1" applyProtection="1">
      <alignment horizontal="center" vertical="center" wrapText="1"/>
      <protection locked="0"/>
    </xf>
    <xf numFmtId="3" fontId="30" fillId="11" borderId="1" xfId="0" applyNumberFormat="1" applyFont="1" applyFill="1" applyBorder="1" applyAlignment="1" applyProtection="1">
      <alignment horizontal="center" vertical="center" wrapText="1"/>
      <protection locked="0"/>
    </xf>
    <xf numFmtId="3" fontId="23" fillId="5" borderId="1" xfId="0" applyNumberFormat="1" applyFont="1" applyFill="1" applyBorder="1" applyAlignment="1">
      <alignment horizontal="center" vertical="center" wrapText="1"/>
    </xf>
    <xf numFmtId="170" fontId="23" fillId="0" borderId="1" xfId="0" applyNumberFormat="1" applyFont="1" applyBorder="1" applyAlignment="1">
      <alignment horizontal="center" vertical="center" wrapText="1"/>
    </xf>
    <xf numFmtId="170" fontId="23" fillId="0" borderId="1" xfId="1" applyNumberFormat="1" applyFont="1" applyBorder="1" applyAlignment="1">
      <alignment horizontal="center" vertical="center" wrapText="1"/>
    </xf>
    <xf numFmtId="0" fontId="38" fillId="0" borderId="1" xfId="2" applyFont="1" applyBorder="1" applyAlignment="1">
      <alignment horizontal="left" vertical="top" wrapText="1"/>
    </xf>
    <xf numFmtId="0" fontId="38" fillId="0" borderId="1" xfId="2" applyFont="1" applyBorder="1" applyAlignment="1">
      <alignment horizontal="left" vertical="center" wrapText="1"/>
    </xf>
    <xf numFmtId="3" fontId="34" fillId="0" borderId="1" xfId="0" applyNumberFormat="1" applyFont="1" applyBorder="1" applyAlignment="1">
      <alignment horizontal="center" vertical="center"/>
    </xf>
    <xf numFmtId="3" fontId="17" fillId="5" borderId="1" xfId="1" applyNumberFormat="1" applyFont="1" applyFill="1" applyBorder="1" applyAlignment="1">
      <alignment horizontal="center" vertical="center" wrapText="1"/>
    </xf>
    <xf numFmtId="0" fontId="35" fillId="0" borderId="1" xfId="2" applyFont="1" applyBorder="1" applyAlignment="1" applyProtection="1">
      <alignment horizontal="left" vertical="center" wrapText="1"/>
      <protection locked="0"/>
    </xf>
    <xf numFmtId="0" fontId="27" fillId="5" borderId="1" xfId="1" applyNumberFormat="1" applyFont="1" applyFill="1" applyBorder="1" applyAlignment="1">
      <alignment horizontal="center" wrapText="1"/>
    </xf>
    <xf numFmtId="3" fontId="18" fillId="5" borderId="1" xfId="0" applyNumberFormat="1" applyFont="1" applyFill="1" applyBorder="1" applyAlignment="1">
      <alignment horizontal="center" vertical="center" wrapText="1"/>
    </xf>
    <xf numFmtId="0" fontId="35" fillId="5" borderId="10" xfId="2" applyFont="1" applyFill="1" applyBorder="1" applyAlignment="1">
      <alignment horizontal="left" vertical="top" wrapText="1"/>
    </xf>
    <xf numFmtId="0" fontId="29" fillId="0" borderId="1" xfId="2" applyFont="1" applyBorder="1" applyAlignment="1">
      <alignment horizontal="right" vertical="center" wrapText="1"/>
    </xf>
    <xf numFmtId="0" fontId="19" fillId="0" borderId="1" xfId="2" applyFont="1" applyBorder="1" applyAlignment="1">
      <alignment horizontal="left" vertical="top" wrapText="1"/>
    </xf>
    <xf numFmtId="167" fontId="18" fillId="0" borderId="1" xfId="0" applyNumberFormat="1" applyFont="1" applyBorder="1" applyAlignment="1">
      <alignment horizontal="center"/>
    </xf>
    <xf numFmtId="0" fontId="27" fillId="0" borderId="1" xfId="1" applyNumberFormat="1" applyFont="1" applyBorder="1" applyAlignment="1">
      <alignment horizontal="center" wrapText="1"/>
    </xf>
    <xf numFmtId="167" fontId="18" fillId="5" borderId="1" xfId="0" applyNumberFormat="1" applyFont="1" applyFill="1" applyBorder="1" applyAlignment="1">
      <alignment horizontal="center" vertical="center"/>
    </xf>
    <xf numFmtId="0" fontId="19" fillId="5" borderId="1" xfId="2" applyFont="1" applyFill="1" applyBorder="1" applyAlignment="1">
      <alignment horizontal="left" vertical="center" wrapText="1"/>
    </xf>
    <xf numFmtId="3" fontId="18" fillId="5" borderId="1" xfId="0" applyNumberFormat="1" applyFont="1" applyFill="1" applyBorder="1" applyAlignment="1">
      <alignment horizontal="center"/>
    </xf>
    <xf numFmtId="0" fontId="19" fillId="5" borderId="1" xfId="2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165" fontId="3" fillId="5" borderId="1" xfId="0" applyNumberFormat="1" applyFont="1" applyFill="1" applyBorder="1" applyAlignment="1">
      <alignment horizontal="left" vertical="center"/>
    </xf>
    <xf numFmtId="10" fontId="28" fillId="5" borderId="0" xfId="3" applyNumberFormat="1" applyFont="1" applyFill="1" applyAlignment="1">
      <alignment vertical="center"/>
    </xf>
    <xf numFmtId="0" fontId="4" fillId="14" borderId="10" xfId="0" applyFont="1" applyFill="1" applyBorder="1" applyAlignment="1">
      <alignment horizontal="center" vertical="center"/>
    </xf>
    <xf numFmtId="0" fontId="4" fillId="15" borderId="10" xfId="0" applyFont="1" applyFill="1" applyBorder="1" applyAlignment="1">
      <alignment horizontal="center" vertical="center"/>
    </xf>
    <xf numFmtId="165" fontId="3" fillId="5" borderId="2" xfId="0" applyNumberFormat="1" applyFont="1" applyFill="1" applyBorder="1" applyAlignment="1">
      <alignment horizontal="left" vertical="center"/>
    </xf>
    <xf numFmtId="164" fontId="3" fillId="5" borderId="1" xfId="0" applyNumberFormat="1" applyFont="1" applyFill="1" applyBorder="1" applyAlignment="1">
      <alignment horizontal="left" vertical="center" wrapText="1"/>
    </xf>
    <xf numFmtId="4" fontId="3" fillId="5" borderId="1" xfId="0" applyNumberFormat="1" applyFont="1" applyFill="1" applyBorder="1" applyAlignment="1">
      <alignment horizontal="left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4" fontId="3" fillId="5" borderId="10" xfId="0" applyNumberFormat="1" applyFont="1" applyFill="1" applyBorder="1" applyAlignment="1">
      <alignment horizontal="left" vertical="center" wrapText="1"/>
    </xf>
    <xf numFmtId="165" fontId="30" fillId="12" borderId="0" xfId="0" applyNumberFormat="1" applyFont="1" applyFill="1" applyAlignment="1">
      <alignment horizontal="center" vertical="center"/>
    </xf>
    <xf numFmtId="165" fontId="28" fillId="5" borderId="2" xfId="0" applyNumberFormat="1" applyFont="1" applyFill="1" applyBorder="1" applyAlignment="1">
      <alignment horizontal="left" vertical="center"/>
    </xf>
    <xf numFmtId="49" fontId="28" fillId="5" borderId="15" xfId="0" applyNumberFormat="1" applyFont="1" applyFill="1" applyBorder="1" applyAlignment="1">
      <alignment vertical="center" wrapText="1"/>
    </xf>
    <xf numFmtId="49" fontId="28" fillId="5" borderId="8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14" fillId="5" borderId="14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horizontal="center" vertical="center" wrapText="1"/>
    </xf>
    <xf numFmtId="49" fontId="28" fillId="5" borderId="4" xfId="0" applyNumberFormat="1" applyFont="1" applyFill="1" applyBorder="1" applyAlignment="1">
      <alignment vertical="center" wrapText="1"/>
    </xf>
    <xf numFmtId="49" fontId="28" fillId="5" borderId="13" xfId="0" applyNumberFormat="1" applyFont="1" applyFill="1" applyBorder="1" applyAlignment="1">
      <alignment vertical="center" wrapText="1"/>
    </xf>
    <xf numFmtId="0" fontId="11" fillId="5" borderId="2" xfId="0" applyFont="1" applyFill="1" applyBorder="1" applyAlignment="1">
      <alignment vertical="center"/>
    </xf>
    <xf numFmtId="164" fontId="4" fillId="5" borderId="3" xfId="0" applyNumberFormat="1" applyFont="1" applyFill="1" applyBorder="1" applyAlignment="1">
      <alignment horizontal="center" vertical="center" wrapText="1"/>
    </xf>
    <xf numFmtId="164" fontId="22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22" fillId="5" borderId="2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22" fillId="5" borderId="1" xfId="0" applyNumberFormat="1" applyFont="1" applyFill="1" applyBorder="1" applyAlignment="1">
      <alignment horizontal="center" vertical="center" wrapText="1"/>
    </xf>
    <xf numFmtId="0" fontId="40" fillId="5" borderId="1" xfId="0" applyFont="1" applyFill="1" applyBorder="1" applyAlignment="1">
      <alignment horizontal="center" vertical="center" wrapText="1"/>
    </xf>
    <xf numFmtId="164" fontId="47" fillId="12" borderId="1" xfId="0" applyNumberFormat="1" applyFont="1" applyFill="1" applyBorder="1" applyAlignment="1">
      <alignment horizontal="center" vertical="center" wrapText="1"/>
    </xf>
    <xf numFmtId="4" fontId="47" fillId="7" borderId="1" xfId="0" applyNumberFormat="1" applyFont="1" applyFill="1" applyBorder="1" applyAlignment="1">
      <alignment horizontal="center" vertical="center" wrapText="1"/>
    </xf>
    <xf numFmtId="4" fontId="47" fillId="11" borderId="16" xfId="0" applyNumberFormat="1" applyFont="1" applyFill="1" applyBorder="1" applyAlignment="1">
      <alignment horizontal="center" vertical="center" wrapText="1"/>
    </xf>
    <xf numFmtId="4" fontId="47" fillId="11" borderId="15" xfId="0" applyNumberFormat="1" applyFont="1" applyFill="1" applyBorder="1" applyAlignment="1">
      <alignment horizontal="center" vertical="center" wrapText="1"/>
    </xf>
    <xf numFmtId="171" fontId="45" fillId="0" borderId="1" xfId="0" applyNumberFormat="1" applyFont="1" applyBorder="1" applyAlignment="1">
      <alignment horizontal="center" vertical="center" wrapText="1"/>
    </xf>
    <xf numFmtId="0" fontId="45" fillId="0" borderId="1" xfId="2" applyFont="1" applyBorder="1" applyAlignment="1">
      <alignment horizontal="left" vertical="center" wrapText="1"/>
    </xf>
    <xf numFmtId="0" fontId="40" fillId="0" borderId="0" xfId="0" applyFont="1"/>
    <xf numFmtId="0" fontId="45" fillId="5" borderId="0" xfId="0" applyFont="1" applyFill="1" applyAlignment="1">
      <alignment horizontal="left" vertical="top" wrapText="1"/>
    </xf>
    <xf numFmtId="0" fontId="45" fillId="0" borderId="0" xfId="0" applyFont="1" applyAlignment="1">
      <alignment horizontal="center"/>
    </xf>
    <xf numFmtId="0" fontId="53" fillId="0" borderId="0" xfId="0" applyFont="1"/>
    <xf numFmtId="3" fontId="45" fillId="0" borderId="0" xfId="1" applyNumberFormat="1" applyFont="1" applyBorder="1" applyAlignment="1">
      <alignment horizontal="center" vertical="center" wrapText="1"/>
    </xf>
    <xf numFmtId="4" fontId="53" fillId="0" borderId="0" xfId="0" applyNumberFormat="1" applyFont="1" applyAlignment="1">
      <alignment horizontal="center" vertical="center"/>
    </xf>
    <xf numFmtId="4" fontId="47" fillId="7" borderId="0" xfId="0" applyNumberFormat="1" applyFont="1" applyFill="1" applyAlignment="1">
      <alignment horizontal="center" vertical="center"/>
    </xf>
    <xf numFmtId="171" fontId="53" fillId="0" borderId="0" xfId="0" applyNumberFormat="1" applyFont="1" applyAlignment="1">
      <alignment horizontal="center" vertical="center"/>
    </xf>
    <xf numFmtId="0" fontId="40" fillId="0" borderId="0" xfId="0" applyFont="1" applyAlignment="1">
      <alignment vertical="center"/>
    </xf>
    <xf numFmtId="0" fontId="53" fillId="0" borderId="0" xfId="0" applyFont="1" applyAlignment="1">
      <alignment horizontal="center" vertical="center"/>
    </xf>
    <xf numFmtId="0" fontId="49" fillId="12" borderId="0" xfId="0" applyFont="1" applyFill="1" applyAlignment="1">
      <alignment horizontal="center" vertical="center"/>
    </xf>
    <xf numFmtId="4" fontId="49" fillId="7" borderId="0" xfId="0" applyNumberFormat="1" applyFont="1" applyFill="1" applyAlignment="1">
      <alignment horizontal="center" vertical="center"/>
    </xf>
    <xf numFmtId="0" fontId="49" fillId="11" borderId="0" xfId="0" applyFont="1" applyFill="1" applyAlignment="1">
      <alignment horizontal="center" vertical="center"/>
    </xf>
    <xf numFmtId="0" fontId="53" fillId="5" borderId="1" xfId="0" applyFont="1" applyFill="1" applyBorder="1" applyAlignment="1">
      <alignment horizontal="center" vertical="center" wrapText="1"/>
    </xf>
    <xf numFmtId="0" fontId="45" fillId="5" borderId="1" xfId="0" applyFont="1" applyFill="1" applyBorder="1" applyAlignment="1">
      <alignment horizontal="center" vertical="center" wrapText="1"/>
    </xf>
    <xf numFmtId="3" fontId="46" fillId="11" borderId="12" xfId="0" applyNumberFormat="1" applyFont="1" applyFill="1" applyBorder="1"/>
    <xf numFmtId="0" fontId="41" fillId="11" borderId="21" xfId="0" applyFont="1" applyFill="1" applyBorder="1" applyAlignment="1">
      <alignment horizontal="center"/>
    </xf>
    <xf numFmtId="0" fontId="41" fillId="11" borderId="18" xfId="0" applyFont="1" applyFill="1" applyBorder="1" applyAlignment="1">
      <alignment horizontal="center"/>
    </xf>
    <xf numFmtId="0" fontId="41" fillId="7" borderId="25" xfId="0" applyFont="1" applyFill="1" applyBorder="1" applyAlignment="1">
      <alignment horizontal="center"/>
    </xf>
    <xf numFmtId="0" fontId="41" fillId="7" borderId="18" xfId="0" applyFont="1" applyFill="1" applyBorder="1" applyAlignment="1">
      <alignment horizontal="center"/>
    </xf>
    <xf numFmtId="0" fontId="41" fillId="7" borderId="29" xfId="0" applyFont="1" applyFill="1" applyBorder="1" applyAlignment="1">
      <alignment horizontal="center"/>
    </xf>
    <xf numFmtId="0" fontId="41" fillId="10" borderId="25" xfId="0" applyFont="1" applyFill="1" applyBorder="1" applyAlignment="1">
      <alignment horizontal="center"/>
    </xf>
    <xf numFmtId="0" fontId="41" fillId="10" borderId="18" xfId="0" applyFont="1" applyFill="1" applyBorder="1" applyAlignment="1">
      <alignment horizontal="center"/>
    </xf>
    <xf numFmtId="0" fontId="41" fillId="10" borderId="19" xfId="0" applyFont="1" applyFill="1" applyBorder="1" applyAlignment="1">
      <alignment horizontal="center"/>
    </xf>
    <xf numFmtId="0" fontId="0" fillId="0" borderId="35" xfId="0" applyBorder="1"/>
    <xf numFmtId="0" fontId="40" fillId="0" borderId="23" xfId="0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/>
    </xf>
    <xf numFmtId="0" fontId="42" fillId="5" borderId="3" xfId="31" applyFont="1" applyFill="1" applyBorder="1" applyAlignment="1">
      <alignment horizontal="left" vertical="center" wrapText="1"/>
    </xf>
    <xf numFmtId="171" fontId="40" fillId="11" borderId="3" xfId="0" applyNumberFormat="1" applyFont="1" applyFill="1" applyBorder="1" applyAlignment="1">
      <alignment vertical="center"/>
    </xf>
    <xf numFmtId="171" fontId="40" fillId="11" borderId="1" xfId="0" applyNumberFormat="1" applyFont="1" applyFill="1" applyBorder="1" applyAlignment="1">
      <alignment vertical="center"/>
    </xf>
    <xf numFmtId="171" fontId="41" fillId="11" borderId="1" xfId="0" applyNumberFormat="1" applyFont="1" applyFill="1" applyBorder="1" applyAlignment="1">
      <alignment vertical="center"/>
    </xf>
    <xf numFmtId="3" fontId="40" fillId="7" borderId="23" xfId="0" applyNumberFormat="1" applyFont="1" applyFill="1" applyBorder="1"/>
    <xf numFmtId="3" fontId="40" fillId="7" borderId="1" xfId="0" applyNumberFormat="1" applyFont="1" applyFill="1" applyBorder="1" applyAlignment="1">
      <alignment horizontal="right"/>
    </xf>
    <xf numFmtId="3" fontId="41" fillId="7" borderId="2" xfId="0" applyNumberFormat="1" applyFont="1" applyFill="1" applyBorder="1"/>
    <xf numFmtId="171" fontId="40" fillId="10" borderId="23" xfId="0" applyNumberFormat="1" applyFont="1" applyFill="1" applyBorder="1"/>
    <xf numFmtId="171" fontId="40" fillId="10" borderId="1" xfId="0" applyNumberFormat="1" applyFont="1" applyFill="1" applyBorder="1"/>
    <xf numFmtId="171" fontId="41" fillId="10" borderId="24" xfId="0" applyNumberFormat="1" applyFont="1" applyFill="1" applyBorder="1"/>
    <xf numFmtId="171" fontId="40" fillId="11" borderId="3" xfId="0" applyNumberFormat="1" applyFont="1" applyFill="1" applyBorder="1"/>
    <xf numFmtId="171" fontId="40" fillId="11" borderId="1" xfId="0" applyNumberFormat="1" applyFont="1" applyFill="1" applyBorder="1"/>
    <xf numFmtId="171" fontId="41" fillId="11" borderId="1" xfId="0" applyNumberFormat="1" applyFont="1" applyFill="1" applyBorder="1"/>
    <xf numFmtId="3" fontId="40" fillId="7" borderId="1" xfId="0" applyNumberFormat="1" applyFont="1" applyFill="1" applyBorder="1"/>
    <xf numFmtId="3" fontId="40" fillId="11" borderId="18" xfId="0" applyNumberFormat="1" applyFont="1" applyFill="1" applyBorder="1"/>
    <xf numFmtId="3" fontId="41" fillId="11" borderId="18" xfId="0" applyNumberFormat="1" applyFont="1" applyFill="1" applyBorder="1"/>
    <xf numFmtId="3" fontId="40" fillId="7" borderId="25" xfId="0" applyNumberFormat="1" applyFont="1" applyFill="1" applyBorder="1"/>
    <xf numFmtId="3" fontId="40" fillId="7" borderId="18" xfId="0" applyNumberFormat="1" applyFont="1" applyFill="1" applyBorder="1"/>
    <xf numFmtId="3" fontId="41" fillId="7" borderId="29" xfId="0" applyNumberFormat="1" applyFont="1" applyFill="1" applyBorder="1"/>
    <xf numFmtId="171" fontId="41" fillId="10" borderId="19" xfId="0" applyNumberFormat="1" applyFont="1" applyFill="1" applyBorder="1"/>
    <xf numFmtId="0" fontId="0" fillId="0" borderId="36" xfId="0" applyBorder="1"/>
    <xf numFmtId="0" fontId="42" fillId="0" borderId="3" xfId="31" applyFont="1" applyBorder="1" applyAlignment="1">
      <alignment horizontal="left" vertical="center" wrapText="1"/>
    </xf>
    <xf numFmtId="0" fontId="56" fillId="0" borderId="0" xfId="0" applyFont="1"/>
    <xf numFmtId="4" fontId="51" fillId="12" borderId="10" xfId="1" applyNumberFormat="1" applyFont="1" applyFill="1" applyBorder="1" applyAlignment="1">
      <alignment horizontal="center" vertical="center" wrapText="1"/>
    </xf>
    <xf numFmtId="4" fontId="45" fillId="0" borderId="10" xfId="1" applyNumberFormat="1" applyFont="1" applyBorder="1" applyAlignment="1">
      <alignment horizontal="center" vertical="center" wrapText="1"/>
    </xf>
    <xf numFmtId="172" fontId="51" fillId="11" borderId="2" xfId="0" applyNumberFormat="1" applyFont="1" applyFill="1" applyBorder="1" applyAlignment="1">
      <alignment horizontal="center" vertical="center" wrapText="1"/>
    </xf>
    <xf numFmtId="172" fontId="45" fillId="0" borderId="1" xfId="0" applyNumberFormat="1" applyFont="1" applyBorder="1" applyAlignment="1">
      <alignment horizontal="center" vertical="center" wrapText="1"/>
    </xf>
    <xf numFmtId="0" fontId="61" fillId="0" borderId="0" xfId="0" applyFont="1"/>
    <xf numFmtId="0" fontId="34" fillId="0" borderId="0" xfId="0" applyFont="1"/>
    <xf numFmtId="0" fontId="59" fillId="10" borderId="10" xfId="0" applyFont="1" applyFill="1" applyBorder="1" applyAlignment="1">
      <alignment horizontal="center" vertical="center"/>
    </xf>
    <xf numFmtId="0" fontId="58" fillId="17" borderId="10" xfId="0" applyFont="1" applyFill="1" applyBorder="1" applyAlignment="1">
      <alignment horizontal="center" vertical="center"/>
    </xf>
    <xf numFmtId="0" fontId="54" fillId="17" borderId="2" xfId="0" applyFont="1" applyFill="1" applyBorder="1" applyAlignment="1">
      <alignment vertical="center"/>
    </xf>
    <xf numFmtId="0" fontId="54" fillId="17" borderId="14" xfId="0" applyFont="1" applyFill="1" applyBorder="1" applyAlignment="1">
      <alignment vertical="center" wrapText="1"/>
    </xf>
    <xf numFmtId="164" fontId="62" fillId="0" borderId="0" xfId="1" applyFont="1" applyAlignment="1">
      <alignment horizontal="left" vertical="center"/>
    </xf>
    <xf numFmtId="164" fontId="62" fillId="5" borderId="0" xfId="1" applyFont="1" applyFill="1" applyAlignment="1">
      <alignment horizontal="left" vertical="center"/>
    </xf>
    <xf numFmtId="164" fontId="62" fillId="0" borderId="0" xfId="1" applyFont="1" applyFill="1" applyAlignment="1">
      <alignment horizontal="left" vertical="center"/>
    </xf>
    <xf numFmtId="2" fontId="53" fillId="5" borderId="1" xfId="0" applyNumberFormat="1" applyFont="1" applyFill="1" applyBorder="1" applyAlignment="1">
      <alignment horizontal="center" vertical="center" wrapText="1"/>
    </xf>
    <xf numFmtId="1" fontId="53" fillId="5" borderId="1" xfId="0" applyNumberFormat="1" applyFont="1" applyFill="1" applyBorder="1" applyAlignment="1">
      <alignment horizontal="center" vertical="center" wrapText="1"/>
    </xf>
    <xf numFmtId="171" fontId="40" fillId="10" borderId="25" xfId="0" applyNumberFormat="1" applyFont="1" applyFill="1" applyBorder="1"/>
    <xf numFmtId="171" fontId="40" fillId="10" borderId="18" xfId="0" applyNumberFormat="1" applyFont="1" applyFill="1" applyBorder="1"/>
    <xf numFmtId="169" fontId="53" fillId="5" borderId="1" xfId="0" applyNumberFormat="1" applyFont="1" applyFill="1" applyBorder="1" applyAlignment="1">
      <alignment horizontal="center" vertical="center" wrapText="1"/>
    </xf>
    <xf numFmtId="0" fontId="54" fillId="17" borderId="14" xfId="0" applyFont="1" applyFill="1" applyBorder="1" applyAlignment="1">
      <alignment horizontal="center" vertical="center" wrapText="1"/>
    </xf>
    <xf numFmtId="0" fontId="61" fillId="0" borderId="0" xfId="0" applyFont="1" applyAlignment="1">
      <alignment vertical="center"/>
    </xf>
    <xf numFmtId="164" fontId="64" fillId="0" borderId="0" xfId="1" applyFont="1" applyAlignment="1">
      <alignment horizontal="left" vertical="center"/>
    </xf>
    <xf numFmtId="4" fontId="53" fillId="5" borderId="1" xfId="0" applyNumberFormat="1" applyFont="1" applyFill="1" applyBorder="1" applyAlignment="1">
      <alignment horizontal="center" vertical="center" wrapText="1"/>
    </xf>
    <xf numFmtId="176" fontId="53" fillId="5" borderId="1" xfId="0" applyNumberFormat="1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/>
    </xf>
    <xf numFmtId="0" fontId="54" fillId="0" borderId="2" xfId="0" applyFont="1" applyBorder="1" applyAlignment="1">
      <alignment vertical="center"/>
    </xf>
    <xf numFmtId="0" fontId="54" fillId="0" borderId="14" xfId="0" applyFont="1" applyBorder="1" applyAlignment="1">
      <alignment vertical="center" wrapText="1"/>
    </xf>
    <xf numFmtId="0" fontId="54" fillId="0" borderId="14" xfId="0" applyFont="1" applyBorder="1" applyAlignment="1">
      <alignment horizontal="center" vertical="center" wrapText="1"/>
    </xf>
    <xf numFmtId="0" fontId="66" fillId="0" borderId="1" xfId="2" applyFont="1" applyBorder="1" applyAlignment="1">
      <alignment horizontal="left" vertical="center" wrapText="1"/>
    </xf>
    <xf numFmtId="0" fontId="68" fillId="0" borderId="1" xfId="2" applyFont="1" applyBorder="1" applyAlignment="1">
      <alignment horizontal="left" vertical="center" wrapText="1"/>
    </xf>
    <xf numFmtId="0" fontId="69" fillId="5" borderId="1" xfId="0" applyFont="1" applyFill="1" applyBorder="1" applyAlignment="1">
      <alignment horizontal="center" vertical="center" wrapText="1"/>
    </xf>
    <xf numFmtId="3" fontId="68" fillId="5" borderId="1" xfId="0" applyNumberFormat="1" applyFont="1" applyFill="1" applyBorder="1" applyAlignment="1">
      <alignment horizontal="center" vertical="center" wrapText="1"/>
    </xf>
    <xf numFmtId="4" fontId="68" fillId="0" borderId="10" xfId="1" applyNumberFormat="1" applyFont="1" applyBorder="1" applyAlignment="1">
      <alignment horizontal="center" vertical="center" wrapText="1"/>
    </xf>
    <xf numFmtId="4" fontId="70" fillId="12" borderId="10" xfId="1" applyNumberFormat="1" applyFont="1" applyFill="1" applyBorder="1" applyAlignment="1">
      <alignment horizontal="center" vertical="center" wrapText="1"/>
    </xf>
    <xf numFmtId="172" fontId="68" fillId="0" borderId="1" xfId="0" applyNumberFormat="1" applyFont="1" applyBorder="1" applyAlignment="1">
      <alignment horizontal="center" vertical="center" wrapText="1"/>
    </xf>
    <xf numFmtId="172" fontId="70" fillId="11" borderId="2" xfId="0" applyNumberFormat="1" applyFont="1" applyFill="1" applyBorder="1" applyAlignment="1">
      <alignment horizontal="center" vertical="center" wrapText="1"/>
    </xf>
    <xf numFmtId="0" fontId="72" fillId="0" borderId="0" xfId="0" applyFont="1"/>
    <xf numFmtId="164" fontId="67" fillId="5" borderId="1" xfId="1" applyFont="1" applyFill="1" applyBorder="1" applyAlignment="1">
      <alignment vertical="center" wrapText="1"/>
    </xf>
    <xf numFmtId="4" fontId="68" fillId="5" borderId="1" xfId="0" applyNumberFormat="1" applyFont="1" applyFill="1" applyBorder="1" applyAlignment="1">
      <alignment horizontal="center" vertical="center" wrapText="1"/>
    </xf>
    <xf numFmtId="0" fontId="74" fillId="0" borderId="0" xfId="0" applyFont="1"/>
    <xf numFmtId="0" fontId="75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78" fillId="0" borderId="0" xfId="0" applyFont="1" applyAlignment="1">
      <alignment vertical="center"/>
    </xf>
    <xf numFmtId="0" fontId="79" fillId="0" borderId="0" xfId="0" applyFont="1" applyAlignment="1">
      <alignment vertical="center"/>
    </xf>
    <xf numFmtId="0" fontId="80" fillId="5" borderId="1" xfId="0" applyFont="1" applyFill="1" applyBorder="1" applyAlignment="1">
      <alignment horizontal="center" vertical="center" wrapText="1"/>
    </xf>
    <xf numFmtId="0" fontId="81" fillId="0" borderId="0" xfId="0" applyFont="1"/>
    <xf numFmtId="1" fontId="45" fillId="5" borderId="1" xfId="0" applyNumberFormat="1" applyFont="1" applyFill="1" applyBorder="1" applyAlignment="1">
      <alignment horizontal="center" vertical="center" wrapText="1"/>
    </xf>
    <xf numFmtId="0" fontId="63" fillId="0" borderId="0" xfId="0" applyFont="1"/>
    <xf numFmtId="0" fontId="62" fillId="0" borderId="0" xfId="1" applyNumberFormat="1" applyFont="1" applyAlignment="1">
      <alignment horizontal="right" vertical="center"/>
    </xf>
    <xf numFmtId="168" fontId="53" fillId="5" borderId="1" xfId="0" applyNumberFormat="1" applyFont="1" applyFill="1" applyBorder="1" applyAlignment="1">
      <alignment horizontal="center" vertical="center" wrapText="1"/>
    </xf>
    <xf numFmtId="167" fontId="68" fillId="5" borderId="1" xfId="0" applyNumberFormat="1" applyFont="1" applyFill="1" applyBorder="1" applyAlignment="1">
      <alignment horizontal="center" vertical="center" wrapText="1"/>
    </xf>
    <xf numFmtId="166" fontId="68" fillId="5" borderId="1" xfId="0" applyNumberFormat="1" applyFont="1" applyFill="1" applyBorder="1" applyAlignment="1">
      <alignment horizontal="center" vertical="center" wrapText="1"/>
    </xf>
    <xf numFmtId="177" fontId="68" fillId="5" borderId="1" xfId="0" applyNumberFormat="1" applyFont="1" applyFill="1" applyBorder="1" applyAlignment="1">
      <alignment horizontal="center" vertical="center" wrapText="1"/>
    </xf>
    <xf numFmtId="178" fontId="53" fillId="5" borderId="1" xfId="0" applyNumberFormat="1" applyFont="1" applyFill="1" applyBorder="1" applyAlignment="1">
      <alignment horizontal="center" vertical="center" wrapText="1"/>
    </xf>
    <xf numFmtId="176" fontId="45" fillId="5" borderId="1" xfId="0" applyNumberFormat="1" applyFont="1" applyFill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/>
    </xf>
    <xf numFmtId="169" fontId="45" fillId="5" borderId="1" xfId="0" applyNumberFormat="1" applyFont="1" applyFill="1" applyBorder="1" applyAlignment="1">
      <alignment horizontal="center" vertical="center" wrapText="1"/>
    </xf>
    <xf numFmtId="0" fontId="83" fillId="0" borderId="0" xfId="0" applyFont="1" applyAlignment="1">
      <alignment vertical="center"/>
    </xf>
    <xf numFmtId="164" fontId="84" fillId="5" borderId="1" xfId="1" applyFont="1" applyFill="1" applyBorder="1" applyAlignment="1">
      <alignment vertical="center" wrapText="1"/>
    </xf>
    <xf numFmtId="0" fontId="56" fillId="0" borderId="0" xfId="0" applyFont="1" applyAlignment="1">
      <alignment vertical="center"/>
    </xf>
    <xf numFmtId="0" fontId="65" fillId="0" borderId="1" xfId="2" applyFont="1" applyBorder="1" applyAlignment="1">
      <alignment horizontal="left" vertical="center" wrapText="1"/>
    </xf>
    <xf numFmtId="3" fontId="68" fillId="0" borderId="10" xfId="1" applyNumberFormat="1" applyFont="1" applyBorder="1" applyAlignment="1">
      <alignment horizontal="center" vertical="center" wrapText="1"/>
    </xf>
    <xf numFmtId="0" fontId="58" fillId="18" borderId="10" xfId="0" applyFont="1" applyFill="1" applyBorder="1" applyAlignment="1">
      <alignment horizontal="center" vertical="center"/>
    </xf>
    <xf numFmtId="0" fontId="62" fillId="0" borderId="0" xfId="1" applyNumberFormat="1" applyFont="1" applyAlignment="1">
      <alignment horizontal="left" vertical="center"/>
    </xf>
    <xf numFmtId="164" fontId="62" fillId="0" borderId="0" xfId="1" applyFont="1" applyAlignment="1">
      <alignment vertical="center"/>
    </xf>
    <xf numFmtId="0" fontId="76" fillId="0" borderId="0" xfId="0" applyFont="1"/>
    <xf numFmtId="179" fontId="68" fillId="5" borderId="1" xfId="0" applyNumberFormat="1" applyFont="1" applyFill="1" applyBorder="1" applyAlignment="1">
      <alignment horizontal="center" vertical="center" wrapText="1"/>
    </xf>
    <xf numFmtId="4" fontId="45" fillId="0" borderId="1" xfId="1" applyNumberFormat="1" applyFont="1" applyBorder="1" applyAlignment="1">
      <alignment horizontal="center" vertical="center" wrapText="1"/>
    </xf>
    <xf numFmtId="180" fontId="45" fillId="5" borderId="1" xfId="0" applyNumberFormat="1" applyFont="1" applyFill="1" applyBorder="1" applyAlignment="1">
      <alignment horizontal="center" vertical="center" wrapText="1"/>
    </xf>
    <xf numFmtId="2" fontId="34" fillId="0" borderId="0" xfId="0" applyNumberFormat="1" applyFont="1"/>
    <xf numFmtId="164" fontId="75" fillId="0" borderId="0" xfId="1" applyFont="1" applyFill="1" applyAlignment="1">
      <alignment horizontal="left" vertical="center"/>
    </xf>
    <xf numFmtId="0" fontId="85" fillId="0" borderId="1" xfId="2" applyFont="1" applyBorder="1" applyAlignment="1">
      <alignment horizontal="left" vertical="center" wrapText="1"/>
    </xf>
    <xf numFmtId="4" fontId="53" fillId="0" borderId="1" xfId="0" applyNumberFormat="1" applyFont="1" applyBorder="1" applyAlignment="1">
      <alignment horizontal="center" vertical="center"/>
    </xf>
    <xf numFmtId="164" fontId="84" fillId="5" borderId="42" xfId="1" applyFont="1" applyFill="1" applyBorder="1" applyAlignment="1">
      <alignment vertical="center" wrapText="1"/>
    </xf>
    <xf numFmtId="0" fontId="45" fillId="5" borderId="6" xfId="0" applyFont="1" applyFill="1" applyBorder="1" applyAlignment="1">
      <alignment horizontal="center" vertical="center" wrapText="1"/>
    </xf>
    <xf numFmtId="0" fontId="58" fillId="10" borderId="10" xfId="0" applyFont="1" applyFill="1" applyBorder="1" applyAlignment="1">
      <alignment horizontal="center" vertical="center"/>
    </xf>
    <xf numFmtId="3" fontId="51" fillId="12" borderId="0" xfId="1" applyNumberFormat="1" applyFont="1" applyFill="1" applyBorder="1" applyAlignment="1">
      <alignment horizontal="center" vertical="center" wrapText="1"/>
    </xf>
    <xf numFmtId="171" fontId="47" fillId="11" borderId="0" xfId="0" applyNumberFormat="1" applyFont="1" applyFill="1" applyAlignment="1">
      <alignment horizontal="center" vertical="center"/>
    </xf>
    <xf numFmtId="164" fontId="58" fillId="16" borderId="10" xfId="0" applyNumberFormat="1" applyFont="1" applyFill="1" applyBorder="1" applyAlignment="1">
      <alignment horizontal="center" vertical="center" wrapText="1"/>
    </xf>
    <xf numFmtId="171" fontId="54" fillId="16" borderId="2" xfId="0" applyNumberFormat="1" applyFont="1" applyFill="1" applyBorder="1" applyAlignment="1">
      <alignment horizontal="center" vertical="center"/>
    </xf>
    <xf numFmtId="4" fontId="58" fillId="16" borderId="1" xfId="0" applyNumberFormat="1" applyFont="1" applyFill="1" applyBorder="1" applyAlignment="1">
      <alignment horizontal="center" vertical="center" wrapText="1"/>
    </xf>
    <xf numFmtId="171" fontId="58" fillId="16" borderId="1" xfId="0" applyNumberFormat="1" applyFont="1" applyFill="1" applyBorder="1" applyAlignment="1">
      <alignment horizontal="center" vertical="center" wrapText="1"/>
    </xf>
    <xf numFmtId="171" fontId="60" fillId="16" borderId="2" xfId="0" applyNumberFormat="1" applyFont="1" applyFill="1" applyBorder="1" applyAlignment="1">
      <alignment horizontal="center" vertical="center"/>
    </xf>
    <xf numFmtId="164" fontId="58" fillId="17" borderId="10" xfId="0" applyNumberFormat="1" applyFont="1" applyFill="1" applyBorder="1" applyAlignment="1">
      <alignment horizontal="center" vertical="center" wrapText="1"/>
    </xf>
    <xf numFmtId="4" fontId="58" fillId="17" borderId="1" xfId="0" applyNumberFormat="1" applyFont="1" applyFill="1" applyBorder="1" applyAlignment="1">
      <alignment horizontal="center" vertical="center" wrapText="1"/>
    </xf>
    <xf numFmtId="164" fontId="53" fillId="5" borderId="1" xfId="1" applyFont="1" applyFill="1" applyBorder="1" applyAlignment="1">
      <alignment horizontal="center" vertical="center" wrapText="1"/>
    </xf>
    <xf numFmtId="164" fontId="58" fillId="0" borderId="10" xfId="0" applyNumberFormat="1" applyFont="1" applyBorder="1" applyAlignment="1">
      <alignment horizontal="center" vertical="center" wrapText="1"/>
    </xf>
    <xf numFmtId="4" fontId="58" fillId="0" borderId="1" xfId="0" applyNumberFormat="1" applyFont="1" applyBorder="1" applyAlignment="1">
      <alignment horizontal="center" vertical="center" wrapText="1"/>
    </xf>
    <xf numFmtId="165" fontId="53" fillId="5" borderId="1" xfId="1" applyNumberFormat="1" applyFont="1" applyFill="1" applyBorder="1" applyAlignment="1">
      <alignment horizontal="center" vertical="center" wrapText="1"/>
    </xf>
    <xf numFmtId="173" fontId="53" fillId="5" borderId="1" xfId="1" applyNumberFormat="1" applyFont="1" applyFill="1" applyBorder="1" applyAlignment="1">
      <alignment horizontal="center" vertical="center" wrapText="1"/>
    </xf>
    <xf numFmtId="174" fontId="53" fillId="5" borderId="1" xfId="1" applyNumberFormat="1" applyFont="1" applyFill="1" applyBorder="1" applyAlignment="1">
      <alignment horizontal="center" vertical="center" wrapText="1"/>
    </xf>
    <xf numFmtId="164" fontId="66" fillId="5" borderId="1" xfId="1" applyFont="1" applyFill="1" applyBorder="1" applyAlignment="1">
      <alignment horizontal="center" vertical="center" wrapText="1"/>
    </xf>
    <xf numFmtId="164" fontId="45" fillId="5" borderId="1" xfId="1" applyFont="1" applyFill="1" applyBorder="1" applyAlignment="1">
      <alignment horizontal="center" vertical="center" wrapText="1"/>
    </xf>
    <xf numFmtId="175" fontId="53" fillId="5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45" fillId="0" borderId="10" xfId="1" applyNumberFormat="1" applyFont="1" applyFill="1" applyBorder="1" applyAlignment="1">
      <alignment horizontal="center" vertical="center" wrapText="1"/>
    </xf>
    <xf numFmtId="4" fontId="45" fillId="0" borderId="6" xfId="1" applyNumberFormat="1" applyFont="1" applyFill="1" applyBorder="1" applyAlignment="1">
      <alignment horizontal="center" vertical="center" wrapText="1"/>
    </xf>
    <xf numFmtId="4" fontId="45" fillId="0" borderId="1" xfId="1" applyNumberFormat="1" applyFont="1" applyFill="1" applyBorder="1" applyAlignment="1">
      <alignment horizontal="center" vertical="center" wrapText="1"/>
    </xf>
    <xf numFmtId="172" fontId="51" fillId="11" borderId="15" xfId="0" applyNumberFormat="1" applyFont="1" applyFill="1" applyBorder="1" applyAlignment="1">
      <alignment horizontal="center" vertical="center" wrapText="1"/>
    </xf>
    <xf numFmtId="172" fontId="51" fillId="11" borderId="4" xfId="0" applyNumberFormat="1" applyFont="1" applyFill="1" applyBorder="1" applyAlignment="1">
      <alignment horizontal="center" vertical="center" wrapText="1"/>
    </xf>
    <xf numFmtId="2" fontId="45" fillId="5" borderId="1" xfId="0" applyNumberFormat="1" applyFont="1" applyFill="1" applyBorder="1" applyAlignment="1">
      <alignment horizontal="center" vertical="center" wrapText="1"/>
    </xf>
    <xf numFmtId="164" fontId="67" fillId="5" borderId="42" xfId="1" applyFont="1" applyFill="1" applyBorder="1" applyAlignment="1">
      <alignment vertical="center" wrapText="1"/>
    </xf>
    <xf numFmtId="171" fontId="0" fillId="0" borderId="0" xfId="0" applyNumberFormat="1"/>
    <xf numFmtId="172" fontId="54" fillId="16" borderId="2" xfId="0" applyNumberFormat="1" applyFont="1" applyFill="1" applyBorder="1" applyAlignment="1">
      <alignment horizontal="center" vertical="center"/>
    </xf>
    <xf numFmtId="172" fontId="54" fillId="17" borderId="10" xfId="1" applyNumberFormat="1" applyFont="1" applyFill="1" applyBorder="1" applyAlignment="1">
      <alignment horizontal="center" vertical="center" wrapText="1"/>
    </xf>
    <xf numFmtId="172" fontId="51" fillId="12" borderId="10" xfId="1" applyNumberFormat="1" applyFont="1" applyFill="1" applyBorder="1" applyAlignment="1">
      <alignment horizontal="center" vertical="center" wrapText="1"/>
    </xf>
    <xf numFmtId="172" fontId="54" fillId="0" borderId="10" xfId="1" applyNumberFormat="1" applyFont="1" applyFill="1" applyBorder="1" applyAlignment="1">
      <alignment horizontal="center" vertical="center" wrapText="1"/>
    </xf>
    <xf numFmtId="172" fontId="51" fillId="12" borderId="1" xfId="1" applyNumberFormat="1" applyFont="1" applyFill="1" applyBorder="1" applyAlignment="1">
      <alignment horizontal="center" vertical="center" wrapText="1"/>
    </xf>
    <xf numFmtId="172" fontId="51" fillId="12" borderId="6" xfId="1" applyNumberFormat="1" applyFont="1" applyFill="1" applyBorder="1" applyAlignment="1">
      <alignment horizontal="center" vertical="center" wrapText="1"/>
    </xf>
    <xf numFmtId="4" fontId="51" fillId="7" borderId="1" xfId="0" applyNumberFormat="1" applyFont="1" applyFill="1" applyBorder="1" applyAlignment="1">
      <alignment horizontal="center" vertical="center"/>
    </xf>
    <xf numFmtId="172" fontId="60" fillId="0" borderId="2" xfId="0" applyNumberFormat="1" applyFont="1" applyBorder="1" applyAlignment="1">
      <alignment horizontal="center" vertical="center"/>
    </xf>
    <xf numFmtId="172" fontId="82" fillId="17" borderId="10" xfId="1" applyNumberFormat="1" applyFont="1" applyFill="1" applyBorder="1" applyAlignment="1">
      <alignment horizontal="center" vertical="center" wrapText="1"/>
    </xf>
    <xf numFmtId="172" fontId="60" fillId="17" borderId="10" xfId="1" applyNumberFormat="1" applyFont="1" applyFill="1" applyBorder="1" applyAlignment="1">
      <alignment horizontal="center" vertical="center" wrapText="1"/>
    </xf>
    <xf numFmtId="0" fontId="41" fillId="10" borderId="3" xfId="0" applyFont="1" applyFill="1" applyBorder="1" applyAlignment="1">
      <alignment horizontal="center" vertical="center" wrapText="1"/>
    </xf>
    <xf numFmtId="0" fontId="41" fillId="10" borderId="1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41" fillId="7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vertical="center" wrapText="1"/>
    </xf>
    <xf numFmtId="43" fontId="40" fillId="10" borderId="1" xfId="33" applyFont="1" applyFill="1" applyBorder="1" applyAlignment="1">
      <alignment vertical="center"/>
    </xf>
    <xf numFmtId="43" fontId="40" fillId="10" borderId="1" xfId="33" applyFont="1" applyFill="1" applyBorder="1" applyAlignment="1">
      <alignment horizontal="right" vertical="center"/>
    </xf>
    <xf numFmtId="43" fontId="41" fillId="10" borderId="1" xfId="33" applyFont="1" applyFill="1" applyBorder="1" applyAlignment="1">
      <alignment horizontal="center" vertical="center"/>
    </xf>
    <xf numFmtId="43" fontId="40" fillId="7" borderId="1" xfId="33" applyFont="1" applyFill="1" applyBorder="1" applyAlignment="1">
      <alignment vertical="center"/>
    </xf>
    <xf numFmtId="43" fontId="40" fillId="7" borderId="1" xfId="33" applyFont="1" applyFill="1" applyBorder="1" applyAlignment="1">
      <alignment horizontal="right" vertical="center"/>
    </xf>
    <xf numFmtId="43" fontId="41" fillId="7" borderId="1" xfId="33" applyFont="1" applyFill="1" applyBorder="1" applyAlignment="1">
      <alignment horizontal="center" vertical="center"/>
    </xf>
    <xf numFmtId="172" fontId="40" fillId="7" borderId="1" xfId="33" applyNumberFormat="1" applyFont="1" applyFill="1" applyBorder="1" applyAlignment="1">
      <alignment vertical="center"/>
    </xf>
    <xf numFmtId="164" fontId="0" fillId="0" borderId="0" xfId="0" applyNumberFormat="1"/>
    <xf numFmtId="0" fontId="40" fillId="0" borderId="1" xfId="0" applyFont="1" applyBorder="1"/>
    <xf numFmtId="0" fontId="41" fillId="0" borderId="1" xfId="0" applyFont="1" applyBorder="1"/>
    <xf numFmtId="43" fontId="41" fillId="10" borderId="1" xfId="33" applyFont="1" applyFill="1" applyBorder="1"/>
    <xf numFmtId="43" fontId="41" fillId="7" borderId="1" xfId="33" applyFont="1" applyFill="1" applyBorder="1"/>
    <xf numFmtId="172" fontId="41" fillId="7" borderId="1" xfId="33" applyNumberFormat="1" applyFont="1" applyFill="1" applyBorder="1"/>
    <xf numFmtId="0" fontId="54" fillId="10" borderId="2" xfId="0" applyFont="1" applyFill="1" applyBorder="1" applyAlignment="1">
      <alignment vertical="center"/>
    </xf>
    <xf numFmtId="0" fontId="54" fillId="10" borderId="14" xfId="0" applyFont="1" applyFill="1" applyBorder="1" applyAlignment="1">
      <alignment vertical="center" wrapText="1"/>
    </xf>
    <xf numFmtId="0" fontId="54" fillId="10" borderId="14" xfId="0" applyFont="1" applyFill="1" applyBorder="1" applyAlignment="1">
      <alignment horizontal="center" vertical="center" wrapText="1"/>
    </xf>
    <xf numFmtId="164" fontId="58" fillId="10" borderId="10" xfId="0" applyNumberFormat="1" applyFont="1" applyFill="1" applyBorder="1" applyAlignment="1">
      <alignment horizontal="center" vertical="center" wrapText="1"/>
    </xf>
    <xf numFmtId="172" fontId="54" fillId="10" borderId="10" xfId="1" applyNumberFormat="1" applyFont="1" applyFill="1" applyBorder="1" applyAlignment="1">
      <alignment horizontal="center" vertical="center" wrapText="1"/>
    </xf>
    <xf numFmtId="4" fontId="58" fillId="10" borderId="1" xfId="0" applyNumberFormat="1" applyFont="1" applyFill="1" applyBorder="1" applyAlignment="1">
      <alignment horizontal="center" vertical="center" wrapText="1"/>
    </xf>
    <xf numFmtId="0" fontId="87" fillId="0" borderId="1" xfId="2" applyFont="1" applyBorder="1" applyAlignment="1">
      <alignment horizontal="left" vertical="center" wrapText="1"/>
    </xf>
    <xf numFmtId="4" fontId="52" fillId="7" borderId="1" xfId="0" applyNumberFormat="1" applyFont="1" applyFill="1" applyBorder="1" applyAlignment="1">
      <alignment horizontal="center" vertical="center"/>
    </xf>
    <xf numFmtId="4" fontId="71" fillId="7" borderId="1" xfId="0" applyNumberFormat="1" applyFont="1" applyFill="1" applyBorder="1" applyAlignment="1">
      <alignment horizontal="center" vertical="center"/>
    </xf>
    <xf numFmtId="4" fontId="54" fillId="10" borderId="10" xfId="1" applyNumberFormat="1" applyFont="1" applyFill="1" applyBorder="1" applyAlignment="1">
      <alignment horizontal="center" vertical="center" wrapText="1"/>
    </xf>
    <xf numFmtId="4" fontId="68" fillId="0" borderId="1" xfId="0" applyNumberFormat="1" applyFont="1" applyBorder="1" applyAlignment="1">
      <alignment horizontal="center" vertical="center"/>
    </xf>
    <xf numFmtId="3" fontId="53" fillId="5" borderId="1" xfId="0" applyNumberFormat="1" applyFont="1" applyFill="1" applyBorder="1" applyAlignment="1">
      <alignment horizontal="center" vertical="center" wrapText="1"/>
    </xf>
    <xf numFmtId="0" fontId="88" fillId="5" borderId="1" xfId="0" applyFont="1" applyFill="1" applyBorder="1" applyAlignment="1">
      <alignment horizontal="center" vertical="center" wrapText="1"/>
    </xf>
    <xf numFmtId="4" fontId="45" fillId="0" borderId="1" xfId="0" applyNumberFormat="1" applyFont="1" applyBorder="1" applyAlignment="1">
      <alignment horizontal="center" vertical="center" wrapText="1"/>
    </xf>
    <xf numFmtId="4" fontId="68" fillId="0" borderId="1" xfId="0" applyNumberFormat="1" applyFont="1" applyBorder="1" applyAlignment="1">
      <alignment horizontal="center" vertical="center" wrapText="1"/>
    </xf>
    <xf numFmtId="0" fontId="45" fillId="5" borderId="1" xfId="2" applyFont="1" applyFill="1" applyBorder="1" applyAlignment="1">
      <alignment horizontal="left" vertical="center" wrapText="1"/>
    </xf>
    <xf numFmtId="4" fontId="45" fillId="5" borderId="10" xfId="1" applyNumberFormat="1" applyFont="1" applyFill="1" applyBorder="1" applyAlignment="1">
      <alignment horizontal="center" vertical="center" wrapText="1"/>
    </xf>
    <xf numFmtId="172" fontId="45" fillId="5" borderId="1" xfId="0" applyNumberFormat="1" applyFont="1" applyFill="1" applyBorder="1" applyAlignment="1">
      <alignment horizontal="center" vertical="center" wrapText="1"/>
    </xf>
    <xf numFmtId="0" fontId="42" fillId="5" borderId="1" xfId="0" applyFont="1" applyFill="1" applyBorder="1" applyAlignment="1">
      <alignment horizontal="center" vertical="center" wrapText="1"/>
    </xf>
    <xf numFmtId="3" fontId="45" fillId="5" borderId="1" xfId="0" applyNumberFormat="1" applyFont="1" applyFill="1" applyBorder="1" applyAlignment="1">
      <alignment horizontal="center" vertical="center" wrapText="1"/>
    </xf>
    <xf numFmtId="4" fontId="45" fillId="5" borderId="1" xfId="0" applyNumberFormat="1" applyFont="1" applyFill="1" applyBorder="1" applyAlignment="1">
      <alignment horizontal="center" vertical="center" wrapText="1"/>
    </xf>
    <xf numFmtId="0" fontId="54" fillId="10" borderId="1" xfId="0" applyFont="1" applyFill="1" applyBorder="1" applyAlignment="1">
      <alignment vertical="center" wrapText="1"/>
    </xf>
    <xf numFmtId="0" fontId="54" fillId="10" borderId="1" xfId="0" applyFont="1" applyFill="1" applyBorder="1" applyAlignment="1">
      <alignment horizontal="center" vertical="center" wrapText="1"/>
    </xf>
    <xf numFmtId="0" fontId="58" fillId="19" borderId="10" xfId="0" applyFont="1" applyFill="1" applyBorder="1" applyAlignment="1">
      <alignment horizontal="center" vertical="center"/>
    </xf>
    <xf numFmtId="164" fontId="58" fillId="19" borderId="10" xfId="0" applyNumberFormat="1" applyFont="1" applyFill="1" applyBorder="1" applyAlignment="1">
      <alignment horizontal="center" vertical="center" wrapText="1"/>
    </xf>
    <xf numFmtId="172" fontId="54" fillId="19" borderId="2" xfId="0" applyNumberFormat="1" applyFont="1" applyFill="1" applyBorder="1" applyAlignment="1">
      <alignment horizontal="center" vertical="center"/>
    </xf>
    <xf numFmtId="4" fontId="58" fillId="19" borderId="1" xfId="0" applyNumberFormat="1" applyFont="1" applyFill="1" applyBorder="1" applyAlignment="1">
      <alignment horizontal="center" vertical="center" wrapText="1"/>
    </xf>
    <xf numFmtId="171" fontId="58" fillId="19" borderId="1" xfId="0" applyNumberFormat="1" applyFont="1" applyFill="1" applyBorder="1" applyAlignment="1">
      <alignment horizontal="center" vertical="center" wrapText="1"/>
    </xf>
    <xf numFmtId="172" fontId="40" fillId="7" borderId="1" xfId="33" applyNumberFormat="1" applyFont="1" applyFill="1" applyBorder="1" applyAlignment="1">
      <alignment horizontal="right" vertical="center"/>
    </xf>
    <xf numFmtId="172" fontId="41" fillId="7" borderId="1" xfId="33" applyNumberFormat="1" applyFont="1" applyFill="1" applyBorder="1" applyAlignment="1">
      <alignment horizontal="center" vertical="center"/>
    </xf>
    <xf numFmtId="172" fontId="45" fillId="0" borderId="10" xfId="0" applyNumberFormat="1" applyFont="1" applyBorder="1" applyAlignment="1">
      <alignment horizontal="center" vertical="center" wrapText="1"/>
    </xf>
    <xf numFmtId="4" fontId="45" fillId="0" borderId="10" xfId="1" applyNumberFormat="1" applyFont="1" applyFill="1" applyBorder="1" applyAlignment="1">
      <alignment horizontal="center" vertical="center" wrapText="1"/>
    </xf>
    <xf numFmtId="172" fontId="51" fillId="12" borderId="10" xfId="1" applyNumberFormat="1" applyFont="1" applyFill="1" applyBorder="1" applyAlignment="1">
      <alignment horizontal="center" vertical="center" wrapText="1"/>
    </xf>
    <xf numFmtId="4" fontId="53" fillId="0" borderId="10" xfId="0" applyNumberFormat="1" applyFont="1" applyBorder="1" applyAlignment="1">
      <alignment horizontal="center" vertical="center"/>
    </xf>
    <xf numFmtId="4" fontId="45" fillId="0" borderId="6" xfId="1" applyNumberFormat="1" applyFont="1" applyBorder="1" applyAlignment="1">
      <alignment horizontal="center" vertical="center" wrapText="1"/>
    </xf>
    <xf numFmtId="4" fontId="45" fillId="0" borderId="10" xfId="1" applyNumberFormat="1" applyFont="1" applyBorder="1" applyAlignment="1">
      <alignment horizontal="center" vertical="center" wrapText="1"/>
    </xf>
    <xf numFmtId="4" fontId="51" fillId="12" borderId="10" xfId="1" applyNumberFormat="1" applyFont="1" applyFill="1" applyBorder="1" applyAlignment="1">
      <alignment horizontal="center" vertical="center" wrapText="1"/>
    </xf>
    <xf numFmtId="4" fontId="52" fillId="7" borderId="10" xfId="0" applyNumberFormat="1" applyFont="1" applyFill="1" applyBorder="1" applyAlignment="1">
      <alignment horizontal="center" vertical="center"/>
    </xf>
    <xf numFmtId="0" fontId="53" fillId="0" borderId="1" xfId="2" applyFont="1" applyBorder="1" applyAlignment="1">
      <alignment horizontal="left" vertical="center" wrapText="1"/>
    </xf>
    <xf numFmtId="2" fontId="53" fillId="5" borderId="1" xfId="1" applyNumberFormat="1" applyFont="1" applyFill="1" applyBorder="1" applyAlignment="1">
      <alignment horizontal="center" vertical="center" wrapText="1"/>
    </xf>
    <xf numFmtId="4" fontId="45" fillId="0" borderId="1" xfId="0" applyNumberFormat="1" applyFont="1" applyBorder="1" applyAlignment="1">
      <alignment horizontal="center" vertical="center"/>
    </xf>
    <xf numFmtId="0" fontId="89" fillId="0" borderId="10" xfId="0" applyFont="1" applyBorder="1" applyAlignment="1">
      <alignment horizontal="center" vertical="center"/>
    </xf>
    <xf numFmtId="164" fontId="91" fillId="0" borderId="0" xfId="1" applyFont="1" applyFill="1" applyAlignment="1">
      <alignment horizontal="left" vertical="center"/>
    </xf>
    <xf numFmtId="0" fontId="92" fillId="0" borderId="0" xfId="0" applyFont="1"/>
    <xf numFmtId="0" fontId="53" fillId="5" borderId="1" xfId="1" applyNumberFormat="1" applyFont="1" applyFill="1" applyBorder="1" applyAlignment="1">
      <alignment horizontal="center" vertical="center" wrapText="1"/>
    </xf>
    <xf numFmtId="172" fontId="53" fillId="0" borderId="1" xfId="0" applyNumberFormat="1" applyFont="1" applyBorder="1" applyAlignment="1">
      <alignment horizontal="center" vertical="center"/>
    </xf>
    <xf numFmtId="172" fontId="52" fillId="7" borderId="1" xfId="0" applyNumberFormat="1" applyFont="1" applyFill="1" applyBorder="1" applyAlignment="1">
      <alignment horizontal="center" vertical="center"/>
    </xf>
    <xf numFmtId="0" fontId="93" fillId="5" borderId="1" xfId="1" applyNumberFormat="1" applyFont="1" applyFill="1" applyBorder="1" applyAlignment="1">
      <alignment horizontal="center" vertical="center" wrapText="1"/>
    </xf>
    <xf numFmtId="0" fontId="94" fillId="0" borderId="44" xfId="0" applyFont="1" applyBorder="1" applyAlignment="1">
      <alignment horizontal="left" vertical="top" wrapText="1" indent="1"/>
    </xf>
    <xf numFmtId="0" fontId="94" fillId="0" borderId="44" xfId="0" applyFont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 wrapText="1"/>
    </xf>
    <xf numFmtId="169" fontId="93" fillId="5" borderId="1" xfId="1" applyNumberFormat="1" applyFont="1" applyFill="1" applyBorder="1" applyAlignment="1">
      <alignment horizontal="center" vertical="center" wrapText="1"/>
    </xf>
    <xf numFmtId="0" fontId="42" fillId="5" borderId="10" xfId="0" applyFont="1" applyFill="1" applyBorder="1" applyAlignment="1">
      <alignment horizontal="center" vertical="center" wrapText="1"/>
    </xf>
    <xf numFmtId="176" fontId="53" fillId="5" borderId="1" xfId="1" applyNumberFormat="1" applyFont="1" applyFill="1" applyBorder="1" applyAlignment="1">
      <alignment horizontal="center" vertical="center" wrapText="1"/>
    </xf>
    <xf numFmtId="172" fontId="53" fillId="0" borderId="10" xfId="0" applyNumberFormat="1" applyFont="1" applyBorder="1" applyAlignment="1">
      <alignment horizontal="center" vertical="center"/>
    </xf>
    <xf numFmtId="0" fontId="59" fillId="19" borderId="10" xfId="0" applyFont="1" applyFill="1" applyBorder="1" applyAlignment="1">
      <alignment horizontal="center" vertical="center"/>
    </xf>
    <xf numFmtId="164" fontId="59" fillId="19" borderId="10" xfId="0" applyNumberFormat="1" applyFont="1" applyFill="1" applyBorder="1" applyAlignment="1">
      <alignment horizontal="left" vertical="center" wrapText="1"/>
    </xf>
    <xf numFmtId="171" fontId="55" fillId="19" borderId="2" xfId="0" applyNumberFormat="1" applyFont="1" applyFill="1" applyBorder="1" applyAlignment="1">
      <alignment horizontal="center" vertical="center"/>
    </xf>
    <xf numFmtId="171" fontId="59" fillId="19" borderId="1" xfId="0" applyNumberFormat="1" applyFont="1" applyFill="1" applyBorder="1" applyAlignment="1">
      <alignment horizontal="left" vertical="center" wrapText="1"/>
    </xf>
    <xf numFmtId="171" fontId="55" fillId="19" borderId="2" xfId="0" applyNumberFormat="1" applyFont="1" applyFill="1" applyBorder="1" applyAlignment="1">
      <alignment horizontal="right" vertical="center"/>
    </xf>
    <xf numFmtId="164" fontId="62" fillId="19" borderId="0" xfId="1" applyFont="1" applyFill="1" applyAlignment="1">
      <alignment horizontal="left" vertical="center"/>
    </xf>
    <xf numFmtId="0" fontId="61" fillId="19" borderId="0" xfId="0" applyFont="1" applyFill="1"/>
    <xf numFmtId="181" fontId="53" fillId="5" borderId="1" xfId="1" applyNumberFormat="1" applyFont="1" applyFill="1" applyBorder="1" applyAlignment="1">
      <alignment vertical="center" wrapText="1"/>
    </xf>
    <xf numFmtId="175" fontId="53" fillId="5" borderId="1" xfId="1" applyNumberFormat="1" applyFont="1" applyFill="1" applyBorder="1" applyAlignment="1">
      <alignment vertical="center" wrapText="1"/>
    </xf>
    <xf numFmtId="173" fontId="53" fillId="5" borderId="1" xfId="1" applyNumberFormat="1" applyFont="1" applyFill="1" applyBorder="1" applyAlignment="1">
      <alignment vertical="center" wrapText="1"/>
    </xf>
    <xf numFmtId="4" fontId="97" fillId="0" borderId="1" xfId="0" applyNumberFormat="1" applyFont="1" applyBorder="1" applyAlignment="1">
      <alignment horizontal="center" vertical="center"/>
    </xf>
    <xf numFmtId="164" fontId="53" fillId="5" borderId="1" xfId="1" applyFont="1" applyFill="1" applyBorder="1" applyAlignment="1">
      <alignment vertical="center" wrapText="1"/>
    </xf>
    <xf numFmtId="165" fontId="68" fillId="5" borderId="1" xfId="1" applyNumberFormat="1" applyFont="1" applyFill="1" applyBorder="1" applyAlignment="1">
      <alignment vertical="center" wrapText="1"/>
    </xf>
    <xf numFmtId="4" fontId="68" fillId="0" borderId="1" xfId="1" applyNumberFormat="1" applyFont="1" applyBorder="1" applyAlignment="1">
      <alignment horizontal="center" vertical="center" wrapText="1"/>
    </xf>
    <xf numFmtId="4" fontId="68" fillId="4" borderId="1" xfId="0" applyNumberFormat="1" applyFont="1" applyFill="1" applyBorder="1" applyAlignment="1">
      <alignment horizontal="center" vertical="center"/>
    </xf>
    <xf numFmtId="174" fontId="53" fillId="5" borderId="1" xfId="1" applyNumberFormat="1" applyFont="1" applyFill="1" applyBorder="1" applyAlignment="1">
      <alignment vertical="center" wrapText="1"/>
    </xf>
    <xf numFmtId="165" fontId="53" fillId="5" borderId="1" xfId="1" applyNumberFormat="1" applyFont="1" applyFill="1" applyBorder="1" applyAlignment="1">
      <alignment vertical="center" wrapText="1"/>
    </xf>
    <xf numFmtId="164" fontId="59" fillId="16" borderId="10" xfId="0" applyNumberFormat="1" applyFont="1" applyFill="1" applyBorder="1" applyAlignment="1">
      <alignment horizontal="left" vertical="center" wrapText="1"/>
    </xf>
    <xf numFmtId="172" fontId="55" fillId="16" borderId="2" xfId="0" applyNumberFormat="1" applyFont="1" applyFill="1" applyBorder="1" applyAlignment="1">
      <alignment horizontal="right" vertical="center"/>
    </xf>
    <xf numFmtId="172" fontId="59" fillId="16" borderId="1" xfId="0" applyNumberFormat="1" applyFont="1" applyFill="1" applyBorder="1" applyAlignment="1">
      <alignment horizontal="left" vertical="center" wrapText="1"/>
    </xf>
    <xf numFmtId="164" fontId="0" fillId="0" borderId="0" xfId="1" applyFont="1"/>
    <xf numFmtId="0" fontId="98" fillId="10" borderId="1" xfId="0" applyFont="1" applyFill="1" applyBorder="1" applyAlignment="1">
      <alignment horizontal="left" wrapText="1"/>
    </xf>
    <xf numFmtId="0" fontId="42" fillId="20" borderId="1" xfId="0" applyFont="1" applyFill="1" applyBorder="1" applyAlignment="1">
      <alignment horizontal="center" vertical="center" wrapText="1"/>
    </xf>
    <xf numFmtId="164" fontId="62" fillId="18" borderId="0" xfId="1" applyFont="1" applyFill="1" applyAlignment="1">
      <alignment horizontal="left" vertical="center"/>
    </xf>
    <xf numFmtId="164" fontId="0" fillId="18" borderId="0" xfId="1" applyFont="1" applyFill="1"/>
    <xf numFmtId="0" fontId="0" fillId="18" borderId="0" xfId="0" applyFill="1"/>
    <xf numFmtId="0" fontId="42" fillId="18" borderId="1" xfId="0" applyFont="1" applyFill="1" applyBorder="1" applyAlignment="1">
      <alignment horizontal="center" vertical="center" wrapText="1"/>
    </xf>
    <xf numFmtId="0" fontId="94" fillId="0" borderId="50" xfId="0" applyFont="1" applyBorder="1" applyAlignment="1">
      <alignment horizontal="left" vertical="center" wrapText="1"/>
    </xf>
    <xf numFmtId="0" fontId="53" fillId="5" borderId="10" xfId="0" applyFont="1" applyFill="1" applyBorder="1" applyAlignment="1">
      <alignment horizontal="center" vertical="center" wrapText="1"/>
    </xf>
    <xf numFmtId="2" fontId="95" fillId="0" borderId="50" xfId="0" applyNumberFormat="1" applyFont="1" applyBorder="1" applyAlignment="1">
      <alignment horizontal="center" vertical="center" shrinkToFit="1"/>
    </xf>
    <xf numFmtId="4" fontId="51" fillId="12" borderId="10" xfId="1" applyNumberFormat="1" applyFont="1" applyFill="1" applyBorder="1" applyAlignment="1">
      <alignment horizontal="right" vertical="center" wrapText="1"/>
    </xf>
    <xf numFmtId="172" fontId="51" fillId="11" borderId="4" xfId="0" applyNumberFormat="1" applyFont="1" applyFill="1" applyBorder="1" applyAlignment="1">
      <alignment horizontal="right" vertical="center" wrapText="1"/>
    </xf>
    <xf numFmtId="0" fontId="94" fillId="0" borderId="44" xfId="0" applyFont="1" applyBorder="1" applyAlignment="1">
      <alignment horizontal="left" vertical="center" wrapText="1"/>
    </xf>
    <xf numFmtId="168" fontId="95" fillId="0" borderId="44" xfId="0" applyNumberFormat="1" applyFont="1" applyBorder="1" applyAlignment="1">
      <alignment horizontal="center" vertical="center" shrinkToFit="1"/>
    </xf>
    <xf numFmtId="172" fontId="51" fillId="11" borderId="2" xfId="0" applyNumberFormat="1" applyFont="1" applyFill="1" applyBorder="1" applyAlignment="1">
      <alignment horizontal="right" vertical="center" wrapText="1"/>
    </xf>
    <xf numFmtId="0" fontId="45" fillId="0" borderId="44" xfId="0" applyFont="1" applyBorder="1" applyAlignment="1">
      <alignment horizontal="center" vertical="top" wrapText="1"/>
    </xf>
    <xf numFmtId="2" fontId="95" fillId="0" borderId="44" xfId="0" applyNumberFormat="1" applyFont="1" applyBorder="1" applyAlignment="1">
      <alignment horizontal="center" vertical="center" shrinkToFit="1"/>
    </xf>
    <xf numFmtId="0" fontId="94" fillId="0" borderId="44" xfId="0" applyFont="1" applyBorder="1" applyAlignment="1">
      <alignment vertical="center" wrapText="1"/>
    </xf>
    <xf numFmtId="1" fontId="95" fillId="0" borderId="44" xfId="0" applyNumberFormat="1" applyFont="1" applyBorder="1" applyAlignment="1">
      <alignment horizontal="center" vertical="center" shrinkToFit="1"/>
    </xf>
    <xf numFmtId="0" fontId="45" fillId="0" borderId="44" xfId="0" applyFont="1" applyBorder="1" applyAlignment="1">
      <alignment vertical="center" wrapText="1"/>
    </xf>
    <xf numFmtId="0" fontId="45" fillId="0" borderId="44" xfId="0" applyFont="1" applyBorder="1" applyAlignment="1">
      <alignment horizontal="left" vertical="center" wrapText="1"/>
    </xf>
    <xf numFmtId="0" fontId="42" fillId="5" borderId="43" xfId="0" applyFont="1" applyFill="1" applyBorder="1" applyAlignment="1">
      <alignment horizontal="center" vertical="center" wrapText="1"/>
    </xf>
    <xf numFmtId="0" fontId="45" fillId="0" borderId="50" xfId="0" applyFont="1" applyBorder="1" applyAlignment="1">
      <alignment vertical="center" wrapText="1"/>
    </xf>
    <xf numFmtId="0" fontId="45" fillId="0" borderId="50" xfId="0" applyFont="1" applyBorder="1" applyAlignment="1">
      <alignment horizontal="center" vertical="center" wrapText="1"/>
    </xf>
    <xf numFmtId="1" fontId="99" fillId="0" borderId="50" xfId="0" applyNumberFormat="1" applyFont="1" applyBorder="1" applyAlignment="1">
      <alignment horizontal="center" vertical="center" shrinkToFit="1"/>
    </xf>
    <xf numFmtId="1" fontId="99" fillId="0" borderId="44" xfId="0" applyNumberFormat="1" applyFont="1" applyBorder="1" applyAlignment="1">
      <alignment horizontal="center" vertical="center" shrinkToFit="1"/>
    </xf>
    <xf numFmtId="164" fontId="34" fillId="0" borderId="0" xfId="1" applyFont="1"/>
    <xf numFmtId="4" fontId="51" fillId="21" borderId="10" xfId="1" applyNumberFormat="1" applyFont="1" applyFill="1" applyBorder="1" applyAlignment="1">
      <alignment horizontal="right" vertical="center" wrapText="1"/>
    </xf>
    <xf numFmtId="0" fontId="101" fillId="0" borderId="44" xfId="0" applyFont="1" applyBorder="1" applyAlignment="1">
      <alignment vertical="center" wrapText="1"/>
    </xf>
    <xf numFmtId="164" fontId="64" fillId="18" borderId="0" xfId="1" applyFont="1" applyFill="1" applyAlignment="1">
      <alignment horizontal="left" vertical="center"/>
    </xf>
    <xf numFmtId="1" fontId="95" fillId="0" borderId="50" xfId="0" applyNumberFormat="1" applyFont="1" applyBorder="1" applyAlignment="1">
      <alignment horizontal="center" vertical="center" shrinkToFit="1"/>
    </xf>
    <xf numFmtId="164" fontId="61" fillId="0" borderId="0" xfId="1" applyFont="1"/>
    <xf numFmtId="0" fontId="94" fillId="0" borderId="50" xfId="0" applyFont="1" applyBorder="1" applyAlignment="1">
      <alignment horizontal="left" vertical="top" wrapText="1"/>
    </xf>
    <xf numFmtId="0" fontId="94" fillId="0" borderId="44" xfId="0" applyFont="1" applyBorder="1" applyAlignment="1">
      <alignment horizontal="left" vertical="top" wrapText="1"/>
    </xf>
    <xf numFmtId="0" fontId="94" fillId="0" borderId="44" xfId="0" applyFont="1" applyBorder="1" applyAlignment="1">
      <alignment vertical="top" wrapText="1"/>
    </xf>
    <xf numFmtId="0" fontId="45" fillId="0" borderId="44" xfId="0" applyFont="1" applyBorder="1" applyAlignment="1">
      <alignment vertical="top" wrapText="1"/>
    </xf>
    <xf numFmtId="0" fontId="45" fillId="0" borderId="44" xfId="0" applyFont="1" applyBorder="1" applyAlignment="1">
      <alignment horizontal="left" vertical="top" wrapText="1"/>
    </xf>
    <xf numFmtId="171" fontId="51" fillId="11" borderId="4" xfId="0" applyNumberFormat="1" applyFont="1" applyFill="1" applyBorder="1" applyAlignment="1">
      <alignment horizontal="right" vertical="center" wrapText="1"/>
    </xf>
    <xf numFmtId="171" fontId="51" fillId="11" borderId="2" xfId="0" applyNumberFormat="1" applyFont="1" applyFill="1" applyBorder="1" applyAlignment="1">
      <alignment horizontal="right" vertical="center" wrapText="1"/>
    </xf>
    <xf numFmtId="0" fontId="103" fillId="0" borderId="44" xfId="0" applyFont="1" applyBorder="1" applyAlignment="1">
      <alignment vertical="center" wrapText="1"/>
    </xf>
    <xf numFmtId="176" fontId="95" fillId="0" borderId="44" xfId="0" applyNumberFormat="1" applyFont="1" applyBorder="1" applyAlignment="1">
      <alignment horizontal="center" vertical="center" shrinkToFit="1"/>
    </xf>
    <xf numFmtId="172" fontId="55" fillId="19" borderId="2" xfId="0" applyNumberFormat="1" applyFont="1" applyFill="1" applyBorder="1" applyAlignment="1">
      <alignment horizontal="right" vertical="center"/>
    </xf>
    <xf numFmtId="172" fontId="59" fillId="19" borderId="1" xfId="0" applyNumberFormat="1" applyFont="1" applyFill="1" applyBorder="1" applyAlignment="1">
      <alignment horizontal="left" vertical="center" wrapText="1"/>
    </xf>
    <xf numFmtId="164" fontId="61" fillId="19" borderId="0" xfId="1" applyFont="1" applyFill="1"/>
    <xf numFmtId="0" fontId="68" fillId="5" borderId="1" xfId="0" applyFont="1" applyFill="1" applyBorder="1" applyAlignment="1">
      <alignment horizontal="center" vertical="center" wrapText="1"/>
    </xf>
    <xf numFmtId="0" fontId="68" fillId="0" borderId="1" xfId="2" applyFont="1" applyBorder="1" applyAlignment="1">
      <alignment horizontal="center" vertical="center" wrapText="1"/>
    </xf>
    <xf numFmtId="172" fontId="51" fillId="12" borderId="10" xfId="1" applyNumberFormat="1" applyFont="1" applyFill="1" applyBorder="1" applyAlignment="1">
      <alignment horizontal="right" vertical="center" wrapText="1"/>
    </xf>
    <xf numFmtId="164" fontId="58" fillId="17" borderId="10" xfId="0" applyNumberFormat="1" applyFont="1" applyFill="1" applyBorder="1" applyAlignment="1">
      <alignment horizontal="left" vertical="center" wrapText="1"/>
    </xf>
    <xf numFmtId="3" fontId="54" fillId="17" borderId="10" xfId="1" applyNumberFormat="1" applyFont="1" applyFill="1" applyBorder="1" applyAlignment="1">
      <alignment horizontal="center" vertical="center" wrapText="1"/>
    </xf>
    <xf numFmtId="4" fontId="58" fillId="17" borderId="1" xfId="0" applyNumberFormat="1" applyFont="1" applyFill="1" applyBorder="1" applyAlignment="1">
      <alignment horizontal="left" vertical="center" wrapText="1"/>
    </xf>
    <xf numFmtId="165" fontId="58" fillId="17" borderId="1" xfId="0" applyNumberFormat="1" applyFont="1" applyFill="1" applyBorder="1" applyAlignment="1">
      <alignment horizontal="left" vertical="center"/>
    </xf>
    <xf numFmtId="171" fontId="60" fillId="17" borderId="2" xfId="0" applyNumberFormat="1" applyFont="1" applyFill="1" applyBorder="1" applyAlignment="1">
      <alignment horizontal="right" vertical="center"/>
    </xf>
    <xf numFmtId="172" fontId="51" fillId="12" borderId="1" xfId="1" applyNumberFormat="1" applyFont="1" applyFill="1" applyBorder="1" applyAlignment="1">
      <alignment vertical="center" wrapText="1"/>
    </xf>
    <xf numFmtId="0" fontId="104" fillId="5" borderId="1" xfId="0" applyFont="1" applyFill="1" applyBorder="1" applyAlignment="1">
      <alignment horizontal="center" vertical="center" wrapText="1"/>
    </xf>
    <xf numFmtId="0" fontId="104" fillId="0" borderId="1" xfId="2" applyFont="1" applyBorder="1" applyAlignment="1">
      <alignment horizontal="left" vertical="center" wrapText="1"/>
    </xf>
    <xf numFmtId="0" fontId="53" fillId="5" borderId="1" xfId="1" applyNumberFormat="1" applyFont="1" applyFill="1" applyBorder="1" applyAlignment="1">
      <alignment vertical="center" wrapText="1"/>
    </xf>
    <xf numFmtId="172" fontId="58" fillId="17" borderId="1" xfId="0" applyNumberFormat="1" applyFont="1" applyFill="1" applyBorder="1" applyAlignment="1">
      <alignment horizontal="left" vertical="center" wrapText="1"/>
    </xf>
    <xf numFmtId="172" fontId="60" fillId="17" borderId="2" xfId="0" applyNumberFormat="1" applyFont="1" applyFill="1" applyBorder="1" applyAlignment="1">
      <alignment horizontal="right" vertical="center"/>
    </xf>
    <xf numFmtId="172" fontId="51" fillId="12" borderId="4" xfId="1" applyNumberFormat="1" applyFont="1" applyFill="1" applyBorder="1" applyAlignment="1">
      <alignment horizontal="right" vertical="center" wrapText="1"/>
    </xf>
    <xf numFmtId="165" fontId="45" fillId="5" borderId="1" xfId="1" applyNumberFormat="1" applyFont="1" applyFill="1" applyBorder="1" applyAlignment="1">
      <alignment vertical="center" wrapText="1"/>
    </xf>
    <xf numFmtId="3" fontId="51" fillId="12" borderId="10" xfId="1" applyNumberFormat="1" applyFont="1" applyFill="1" applyBorder="1" applyAlignment="1">
      <alignment horizontal="center" vertical="center" wrapText="1"/>
    </xf>
    <xf numFmtId="171" fontId="51" fillId="11" borderId="2" xfId="0" applyNumberFormat="1" applyFont="1" applyFill="1" applyBorder="1" applyAlignment="1">
      <alignment horizontal="center" vertical="center" wrapText="1"/>
    </xf>
    <xf numFmtId="3" fontId="68" fillId="22" borderId="1" xfId="0" applyNumberFormat="1" applyFont="1" applyFill="1" applyBorder="1" applyAlignment="1">
      <alignment horizontal="center" vertical="center" wrapText="1"/>
    </xf>
    <xf numFmtId="0" fontId="41" fillId="20" borderId="3" xfId="0" applyFont="1" applyFill="1" applyBorder="1" applyAlignment="1">
      <alignment horizontal="center" vertical="center" wrapText="1"/>
    </xf>
    <xf numFmtId="0" fontId="41" fillId="20" borderId="1" xfId="0" applyFont="1" applyFill="1" applyBorder="1" applyAlignment="1">
      <alignment horizontal="center" vertical="center" wrapText="1"/>
    </xf>
    <xf numFmtId="43" fontId="40" fillId="20" borderId="1" xfId="33" applyFont="1" applyFill="1" applyBorder="1" applyAlignment="1">
      <alignment vertical="center"/>
    </xf>
    <xf numFmtId="43" fontId="40" fillId="20" borderId="1" xfId="33" applyFont="1" applyFill="1" applyBorder="1" applyAlignment="1">
      <alignment horizontal="right" vertical="center"/>
    </xf>
    <xf numFmtId="43" fontId="41" fillId="20" borderId="1" xfId="33" applyFont="1" applyFill="1" applyBorder="1" applyAlignment="1">
      <alignment horizontal="center" vertical="center"/>
    </xf>
    <xf numFmtId="0" fontId="0" fillId="2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72" fontId="40" fillId="20" borderId="1" xfId="33" applyNumberFormat="1" applyFont="1" applyFill="1" applyBorder="1" applyAlignment="1">
      <alignment vertical="center"/>
    </xf>
    <xf numFmtId="172" fontId="40" fillId="20" borderId="1" xfId="33" applyNumberFormat="1" applyFont="1" applyFill="1" applyBorder="1" applyAlignment="1">
      <alignment horizontal="right" vertical="center"/>
    </xf>
    <xf numFmtId="172" fontId="41" fillId="20" borderId="1" xfId="33" applyNumberFormat="1" applyFont="1" applyFill="1" applyBorder="1" applyAlignment="1">
      <alignment horizontal="center" vertical="center"/>
    </xf>
    <xf numFmtId="172" fontId="41" fillId="20" borderId="1" xfId="33" applyNumberFormat="1" applyFont="1" applyFill="1" applyBorder="1"/>
    <xf numFmtId="171" fontId="60" fillId="17" borderId="2" xfId="0" applyNumberFormat="1" applyFont="1" applyFill="1" applyBorder="1" applyAlignment="1">
      <alignment horizontal="center" vertical="center"/>
    </xf>
    <xf numFmtId="0" fontId="54" fillId="17" borderId="2" xfId="0" applyFont="1" applyFill="1" applyBorder="1" applyAlignment="1">
      <alignment vertical="center" wrapText="1"/>
    </xf>
    <xf numFmtId="164" fontId="23" fillId="5" borderId="0" xfId="1" applyFont="1" applyFill="1" applyAlignment="1">
      <alignment horizontal="left" vertical="center" wrapText="1"/>
    </xf>
    <xf numFmtId="164" fontId="23" fillId="5" borderId="0" xfId="1" applyFont="1" applyFill="1" applyAlignment="1">
      <alignment horizontal="left" vertical="center"/>
    </xf>
    <xf numFmtId="0" fontId="104" fillId="0" borderId="2" xfId="2" applyFont="1" applyBorder="1" applyAlignment="1">
      <alignment horizontal="left" vertical="center" wrapText="1"/>
    </xf>
    <xf numFmtId="2" fontId="53" fillId="0" borderId="1" xfId="0" applyNumberFormat="1" applyFont="1" applyBorder="1" applyAlignment="1">
      <alignment horizontal="center" vertical="center"/>
    </xf>
    <xf numFmtId="2" fontId="52" fillId="7" borderId="1" xfId="0" applyNumberFormat="1" applyFont="1" applyFill="1" applyBorder="1" applyAlignment="1">
      <alignment horizontal="center" vertical="center"/>
    </xf>
    <xf numFmtId="2" fontId="68" fillId="0" borderId="1" xfId="0" applyNumberFormat="1" applyFont="1" applyBorder="1" applyAlignment="1">
      <alignment horizontal="center" vertical="center"/>
    </xf>
    <xf numFmtId="2" fontId="45" fillId="0" borderId="10" xfId="1" applyNumberFormat="1" applyFont="1" applyBorder="1" applyAlignment="1">
      <alignment horizontal="center" vertical="center" wrapText="1"/>
    </xf>
    <xf numFmtId="2" fontId="68" fillId="0" borderId="10" xfId="1" applyNumberFormat="1" applyFont="1" applyBorder="1" applyAlignment="1">
      <alignment horizontal="center" vertical="center" wrapText="1"/>
    </xf>
    <xf numFmtId="2" fontId="58" fillId="10" borderId="1" xfId="0" applyNumberFormat="1" applyFont="1" applyFill="1" applyBorder="1" applyAlignment="1">
      <alignment horizontal="center" vertical="center" wrapText="1"/>
    </xf>
    <xf numFmtId="2" fontId="54" fillId="10" borderId="10" xfId="1" applyNumberFormat="1" applyFont="1" applyFill="1" applyBorder="1" applyAlignment="1">
      <alignment horizontal="center" vertical="center" wrapText="1"/>
    </xf>
    <xf numFmtId="2" fontId="71" fillId="7" borderId="1" xfId="0" applyNumberFormat="1" applyFont="1" applyFill="1" applyBorder="1" applyAlignment="1">
      <alignment horizontal="center" vertical="center"/>
    </xf>
    <xf numFmtId="2" fontId="53" fillId="5" borderId="1" xfId="0" applyNumberFormat="1" applyFont="1" applyFill="1" applyBorder="1" applyAlignment="1">
      <alignment horizontal="center" vertical="center"/>
    </xf>
    <xf numFmtId="2" fontId="97" fillId="0" borderId="1" xfId="0" applyNumberFormat="1" applyFont="1" applyBorder="1" applyAlignment="1">
      <alignment horizontal="center" vertical="center"/>
    </xf>
    <xf numFmtId="2" fontId="45" fillId="0" borderId="1" xfId="0" applyNumberFormat="1" applyFont="1" applyBorder="1" applyAlignment="1">
      <alignment horizontal="center" vertical="center"/>
    </xf>
    <xf numFmtId="2" fontId="59" fillId="16" borderId="1" xfId="0" applyNumberFormat="1" applyFont="1" applyFill="1" applyBorder="1" applyAlignment="1">
      <alignment horizontal="left" vertical="center" wrapText="1"/>
    </xf>
    <xf numFmtId="2" fontId="55" fillId="16" borderId="2" xfId="0" applyNumberFormat="1" applyFont="1" applyFill="1" applyBorder="1" applyAlignment="1">
      <alignment horizontal="right" vertical="center"/>
    </xf>
    <xf numFmtId="2" fontId="68" fillId="4" borderId="1" xfId="0" applyNumberFormat="1" applyFont="1" applyFill="1" applyBorder="1" applyAlignment="1">
      <alignment horizontal="center" vertical="center"/>
    </xf>
    <xf numFmtId="2" fontId="59" fillId="19" borderId="1" xfId="0" applyNumberFormat="1" applyFont="1" applyFill="1" applyBorder="1" applyAlignment="1">
      <alignment horizontal="left" vertical="center" wrapText="1"/>
    </xf>
    <xf numFmtId="2" fontId="55" fillId="19" borderId="2" xfId="0" applyNumberFormat="1" applyFont="1" applyFill="1" applyBorder="1" applyAlignment="1">
      <alignment horizontal="right" vertical="center"/>
    </xf>
    <xf numFmtId="2" fontId="51" fillId="7" borderId="10" xfId="1" applyNumberFormat="1" applyFont="1" applyFill="1" applyBorder="1" applyAlignment="1">
      <alignment horizontal="center" vertical="center" wrapText="1"/>
    </xf>
    <xf numFmtId="2" fontId="107" fillId="7" borderId="10" xfId="1" applyNumberFormat="1" applyFont="1" applyFill="1" applyBorder="1" applyAlignment="1">
      <alignment horizontal="center" vertical="center" wrapText="1"/>
    </xf>
    <xf numFmtId="2" fontId="51" fillId="7" borderId="1" xfId="0" applyNumberFormat="1" applyFont="1" applyFill="1" applyBorder="1" applyAlignment="1">
      <alignment horizontal="center" vertical="center"/>
    </xf>
    <xf numFmtId="2" fontId="58" fillId="0" borderId="1" xfId="0" applyNumberFormat="1" applyFont="1" applyBorder="1" applyAlignment="1">
      <alignment horizontal="center" vertical="center" wrapText="1"/>
    </xf>
    <xf numFmtId="2" fontId="58" fillId="0" borderId="1" xfId="0" applyNumberFormat="1" applyFont="1" applyBorder="1" applyAlignment="1">
      <alignment horizontal="center" vertical="center"/>
    </xf>
    <xf numFmtId="2" fontId="45" fillId="0" borderId="1" xfId="1" applyNumberFormat="1" applyFont="1" applyBorder="1" applyAlignment="1">
      <alignment horizontal="center" vertical="center" wrapText="1"/>
    </xf>
    <xf numFmtId="2" fontId="58" fillId="17" borderId="1" xfId="0" applyNumberFormat="1" applyFont="1" applyFill="1" applyBorder="1" applyAlignment="1">
      <alignment horizontal="center" vertical="center" wrapText="1"/>
    </xf>
    <xf numFmtId="2" fontId="54" fillId="17" borderId="10" xfId="1" applyNumberFormat="1" applyFont="1" applyFill="1" applyBorder="1" applyAlignment="1">
      <alignment horizontal="center" vertical="center" wrapText="1"/>
    </xf>
    <xf numFmtId="2" fontId="58" fillId="19" borderId="1" xfId="0" applyNumberFormat="1" applyFont="1" applyFill="1" applyBorder="1" applyAlignment="1">
      <alignment horizontal="center" vertical="center" wrapText="1"/>
    </xf>
    <xf numFmtId="2" fontId="54" fillId="19" borderId="2" xfId="0" applyNumberFormat="1" applyFont="1" applyFill="1" applyBorder="1" applyAlignment="1">
      <alignment horizontal="center" vertical="center"/>
    </xf>
    <xf numFmtId="2" fontId="53" fillId="0" borderId="10" xfId="0" applyNumberFormat="1" applyFont="1" applyBorder="1" applyAlignment="1">
      <alignment horizontal="center" vertical="center"/>
    </xf>
    <xf numFmtId="2" fontId="52" fillId="7" borderId="10" xfId="0" applyNumberFormat="1" applyFont="1" applyFill="1" applyBorder="1" applyAlignment="1">
      <alignment horizontal="center" vertical="center"/>
    </xf>
    <xf numFmtId="2" fontId="58" fillId="17" borderId="1" xfId="0" applyNumberFormat="1" applyFont="1" applyFill="1" applyBorder="1" applyAlignment="1">
      <alignment horizontal="left" vertical="center" wrapText="1"/>
    </xf>
    <xf numFmtId="2" fontId="58" fillId="17" borderId="1" xfId="0" applyNumberFormat="1" applyFont="1" applyFill="1" applyBorder="1" applyAlignment="1">
      <alignment horizontal="left" vertical="center"/>
    </xf>
    <xf numFmtId="2" fontId="55" fillId="19" borderId="2" xfId="0" applyNumberFormat="1" applyFont="1" applyFill="1" applyBorder="1" applyAlignment="1">
      <alignment horizontal="center" vertical="center"/>
    </xf>
    <xf numFmtId="4" fontId="68" fillId="22" borderId="1" xfId="0" applyNumberFormat="1" applyFont="1" applyFill="1" applyBorder="1" applyAlignment="1">
      <alignment horizontal="center" vertical="center"/>
    </xf>
    <xf numFmtId="4" fontId="68" fillId="0" borderId="1" xfId="0" applyNumberFormat="1" applyFont="1" applyFill="1" applyBorder="1" applyAlignment="1">
      <alignment horizontal="center" vertical="center"/>
    </xf>
    <xf numFmtId="4" fontId="45" fillId="0" borderId="10" xfId="1" applyNumberFormat="1" applyFont="1" applyFill="1" applyBorder="1" applyAlignment="1">
      <alignment horizontal="center" vertical="center" wrapText="1"/>
    </xf>
    <xf numFmtId="172" fontId="51" fillId="12" borderId="10" xfId="1" applyNumberFormat="1" applyFont="1" applyFill="1" applyBorder="1" applyAlignment="1">
      <alignment horizontal="center" vertical="center" wrapText="1"/>
    </xf>
    <xf numFmtId="4" fontId="51" fillId="12" borderId="10" xfId="1" applyNumberFormat="1" applyFont="1" applyFill="1" applyBorder="1" applyAlignment="1">
      <alignment horizontal="center" vertical="center" wrapText="1"/>
    </xf>
    <xf numFmtId="4" fontId="45" fillId="5" borderId="10" xfId="1" applyNumberFormat="1" applyFont="1" applyFill="1" applyBorder="1" applyAlignment="1">
      <alignment horizontal="center" vertical="center" wrapText="1"/>
    </xf>
    <xf numFmtId="4" fontId="45" fillId="0" borderId="6" xfId="1" applyNumberFormat="1" applyFont="1" applyBorder="1" applyAlignment="1">
      <alignment horizontal="center" vertical="center" wrapText="1"/>
    </xf>
    <xf numFmtId="4" fontId="45" fillId="0" borderId="10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41" fillId="0" borderId="37" xfId="0" applyFont="1" applyBorder="1" applyAlignment="1">
      <alignment horizontal="center" vertical="center" textRotation="90"/>
    </xf>
    <xf numFmtId="0" fontId="41" fillId="0" borderId="11" xfId="0" applyFont="1" applyBorder="1" applyAlignment="1">
      <alignment horizontal="center" vertical="center" textRotation="90"/>
    </xf>
    <xf numFmtId="0" fontId="41" fillId="0" borderId="38" xfId="0" applyFont="1" applyBorder="1" applyAlignment="1">
      <alignment horizontal="center" vertical="center" textRotation="90"/>
    </xf>
    <xf numFmtId="0" fontId="43" fillId="10" borderId="22" xfId="0" applyFont="1" applyFill="1" applyBorder="1" applyAlignment="1">
      <alignment horizontal="center" vertical="center"/>
    </xf>
    <xf numFmtId="0" fontId="43" fillId="10" borderId="17" xfId="0" applyFont="1" applyFill="1" applyBorder="1" applyAlignment="1">
      <alignment horizontal="center" vertical="center"/>
    </xf>
    <xf numFmtId="0" fontId="43" fillId="10" borderId="32" xfId="0" applyFont="1" applyFill="1" applyBorder="1" applyAlignment="1">
      <alignment horizontal="center" vertical="center"/>
    </xf>
    <xf numFmtId="0" fontId="43" fillId="10" borderId="23" xfId="0" applyFont="1" applyFill="1" applyBorder="1" applyAlignment="1">
      <alignment horizontal="center" vertical="center"/>
    </xf>
    <xf numFmtId="0" fontId="43" fillId="10" borderId="1" xfId="0" applyFont="1" applyFill="1" applyBorder="1" applyAlignment="1">
      <alignment horizontal="center" vertical="center"/>
    </xf>
    <xf numFmtId="0" fontId="43" fillId="10" borderId="24" xfId="0" applyFont="1" applyFill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41" fillId="7" borderId="30" xfId="0" applyFont="1" applyFill="1" applyBorder="1" applyAlignment="1">
      <alignment horizontal="center" vertical="center"/>
    </xf>
    <xf numFmtId="0" fontId="41" fillId="7" borderId="31" xfId="0" applyFont="1" applyFill="1" applyBorder="1" applyAlignment="1">
      <alignment horizontal="center" vertical="center"/>
    </xf>
    <xf numFmtId="0" fontId="41" fillId="7" borderId="20" xfId="0" applyFont="1" applyFill="1" applyBorder="1" applyAlignment="1">
      <alignment horizontal="center" vertical="center"/>
    </xf>
    <xf numFmtId="0" fontId="41" fillId="7" borderId="0" xfId="0" applyFont="1" applyFill="1" applyAlignment="1">
      <alignment horizontal="center" vertical="center"/>
    </xf>
    <xf numFmtId="0" fontId="41" fillId="0" borderId="27" xfId="0" applyFont="1" applyBorder="1" applyAlignment="1">
      <alignment horizontal="right"/>
    </xf>
    <xf numFmtId="0" fontId="41" fillId="0" borderId="28" xfId="0" applyFont="1" applyBorder="1" applyAlignment="1">
      <alignment horizontal="right"/>
    </xf>
    <xf numFmtId="0" fontId="41" fillId="0" borderId="21" xfId="0" applyFont="1" applyBorder="1" applyAlignment="1">
      <alignment horizontal="right"/>
    </xf>
    <xf numFmtId="0" fontId="41" fillId="0" borderId="22" xfId="0" applyFont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11" borderId="39" xfId="0" applyFont="1" applyFill="1" applyBorder="1" applyAlignment="1">
      <alignment horizontal="center" vertical="center"/>
    </xf>
    <xf numFmtId="0" fontId="41" fillId="11" borderId="31" xfId="0" applyFont="1" applyFill="1" applyBorder="1" applyAlignment="1">
      <alignment horizontal="center" vertical="center"/>
    </xf>
    <xf numFmtId="0" fontId="41" fillId="11" borderId="40" xfId="0" applyFont="1" applyFill="1" applyBorder="1" applyAlignment="1">
      <alignment horizontal="center" vertical="center"/>
    </xf>
    <xf numFmtId="0" fontId="41" fillId="11" borderId="4" xfId="0" applyFont="1" applyFill="1" applyBorder="1" applyAlignment="1">
      <alignment horizontal="center" vertical="center"/>
    </xf>
    <xf numFmtId="0" fontId="41" fillId="11" borderId="5" xfId="0" applyFont="1" applyFill="1" applyBorder="1" applyAlignment="1">
      <alignment horizontal="center" vertical="center"/>
    </xf>
    <xf numFmtId="0" fontId="41" fillId="11" borderId="41" xfId="0" applyFont="1" applyFill="1" applyBorder="1" applyAlignment="1">
      <alignment horizontal="center" vertical="center"/>
    </xf>
    <xf numFmtId="0" fontId="41" fillId="20" borderId="1" xfId="0" applyFont="1" applyFill="1" applyBorder="1" applyAlignment="1">
      <alignment horizontal="center" wrapText="1"/>
    </xf>
    <xf numFmtId="0" fontId="41" fillId="20" borderId="1" xfId="0" applyFont="1" applyFill="1" applyBorder="1" applyAlignment="1">
      <alignment horizontal="center"/>
    </xf>
    <xf numFmtId="0" fontId="41" fillId="10" borderId="1" xfId="0" applyFont="1" applyFill="1" applyBorder="1" applyAlignment="1">
      <alignment horizontal="center" wrapText="1"/>
    </xf>
    <xf numFmtId="0" fontId="41" fillId="10" borderId="1" xfId="0" applyFont="1" applyFill="1" applyBorder="1" applyAlignment="1">
      <alignment horizontal="center"/>
    </xf>
    <xf numFmtId="0" fontId="41" fillId="7" borderId="1" xfId="0" applyFont="1" applyFill="1" applyBorder="1" applyAlignment="1">
      <alignment horizontal="center" wrapText="1"/>
    </xf>
    <xf numFmtId="0" fontId="41" fillId="7" borderId="1" xfId="0" applyFont="1" applyFill="1" applyBorder="1" applyAlignment="1">
      <alignment horizontal="center"/>
    </xf>
    <xf numFmtId="2" fontId="51" fillId="7" borderId="6" xfId="0" applyNumberFormat="1" applyFont="1" applyFill="1" applyBorder="1" applyAlignment="1">
      <alignment horizontal="center" vertical="center"/>
    </xf>
    <xf numFmtId="2" fontId="51" fillId="7" borderId="10" xfId="0" applyNumberFormat="1" applyFont="1" applyFill="1" applyBorder="1" applyAlignment="1">
      <alignment horizontal="center" vertical="center"/>
    </xf>
    <xf numFmtId="0" fontId="55" fillId="17" borderId="2" xfId="0" applyFont="1" applyFill="1" applyBorder="1" applyAlignment="1">
      <alignment horizontal="left" vertical="center"/>
    </xf>
    <xf numFmtId="0" fontId="55" fillId="17" borderId="14" xfId="0" applyFont="1" applyFill="1" applyBorder="1" applyAlignment="1">
      <alignment horizontal="left" vertical="center"/>
    </xf>
    <xf numFmtId="0" fontId="55" fillId="17" borderId="3" xfId="0" applyFont="1" applyFill="1" applyBorder="1" applyAlignment="1">
      <alignment horizontal="left" vertical="center"/>
    </xf>
    <xf numFmtId="172" fontId="45" fillId="0" borderId="6" xfId="0" applyNumberFormat="1" applyFont="1" applyBorder="1" applyAlignment="1">
      <alignment horizontal="center" vertical="center" wrapText="1"/>
    </xf>
    <xf numFmtId="172" fontId="45" fillId="0" borderId="10" xfId="0" applyNumberFormat="1" applyFont="1" applyBorder="1" applyAlignment="1">
      <alignment horizontal="center" vertical="center" wrapText="1"/>
    </xf>
    <xf numFmtId="172" fontId="51" fillId="11" borderId="15" xfId="0" applyNumberFormat="1" applyFont="1" applyFill="1" applyBorder="1" applyAlignment="1">
      <alignment horizontal="center" vertical="center" wrapText="1"/>
    </xf>
    <xf numFmtId="172" fontId="51" fillId="11" borderId="4" xfId="0" applyNumberFormat="1" applyFont="1" applyFill="1" applyBorder="1" applyAlignment="1">
      <alignment horizontal="center" vertical="center" wrapText="1"/>
    </xf>
    <xf numFmtId="0" fontId="45" fillId="5" borderId="6" xfId="0" applyFont="1" applyFill="1" applyBorder="1" applyAlignment="1">
      <alignment horizontal="center" vertical="center" wrapText="1"/>
    </xf>
    <xf numFmtId="0" fontId="45" fillId="5" borderId="10" xfId="0" applyFont="1" applyFill="1" applyBorder="1" applyAlignment="1">
      <alignment horizontal="center" vertical="center" wrapText="1"/>
    </xf>
    <xf numFmtId="4" fontId="45" fillId="0" borderId="6" xfId="1" applyNumberFormat="1" applyFont="1" applyFill="1" applyBorder="1" applyAlignment="1">
      <alignment horizontal="center" vertical="center" wrapText="1"/>
    </xf>
    <xf numFmtId="4" fontId="45" fillId="0" borderId="10" xfId="1" applyNumberFormat="1" applyFont="1" applyFill="1" applyBorder="1" applyAlignment="1">
      <alignment horizontal="center" vertical="center" wrapText="1"/>
    </xf>
    <xf numFmtId="172" fontId="51" fillId="12" borderId="6" xfId="1" applyNumberFormat="1" applyFont="1" applyFill="1" applyBorder="1" applyAlignment="1">
      <alignment horizontal="center" vertical="center" wrapText="1"/>
    </xf>
    <xf numFmtId="172" fontId="51" fillId="12" borderId="10" xfId="1" applyNumberFormat="1" applyFont="1" applyFill="1" applyBorder="1" applyAlignment="1">
      <alignment horizontal="center" vertical="center" wrapText="1"/>
    </xf>
    <xf numFmtId="2" fontId="53" fillId="0" borderId="6" xfId="0" applyNumberFormat="1" applyFont="1" applyBorder="1" applyAlignment="1">
      <alignment horizontal="center" vertical="center"/>
    </xf>
    <xf numFmtId="2" fontId="53" fillId="0" borderId="10" xfId="0" applyNumberFormat="1" applyFont="1" applyBorder="1" applyAlignment="1">
      <alignment horizontal="center" vertical="center"/>
    </xf>
    <xf numFmtId="2" fontId="45" fillId="0" borderId="6" xfId="1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/>
    </xf>
    <xf numFmtId="2" fontId="45" fillId="0" borderId="10" xfId="1" applyNumberFormat="1" applyFont="1" applyBorder="1" applyAlignment="1">
      <alignment horizontal="center" vertical="center" wrapText="1"/>
    </xf>
    <xf numFmtId="0" fontId="50" fillId="10" borderId="5" xfId="0" applyFont="1" applyFill="1" applyBorder="1" applyAlignment="1">
      <alignment horizontal="center" vertical="center" wrapText="1"/>
    </xf>
    <xf numFmtId="0" fontId="47" fillId="3" borderId="6" xfId="0" applyFont="1" applyFill="1" applyBorder="1" applyAlignment="1">
      <alignment horizontal="center" vertical="center" wrapText="1"/>
    </xf>
    <xf numFmtId="0" fontId="47" fillId="3" borderId="11" xfId="0" applyFont="1" applyFill="1" applyBorder="1" applyAlignment="1">
      <alignment horizontal="center" vertical="center" wrapText="1"/>
    </xf>
    <xf numFmtId="0" fontId="47" fillId="3" borderId="10" xfId="0" applyFont="1" applyFill="1" applyBorder="1" applyAlignment="1">
      <alignment horizontal="center" vertical="center" wrapText="1"/>
    </xf>
    <xf numFmtId="4" fontId="48" fillId="3" borderId="8" xfId="0" applyNumberFormat="1" applyFont="1" applyFill="1" applyBorder="1" applyAlignment="1">
      <alignment horizontal="center" vertical="center" wrapText="1"/>
    </xf>
    <xf numFmtId="4" fontId="48" fillId="3" borderId="12" xfId="0" applyNumberFormat="1" applyFont="1" applyFill="1" applyBorder="1" applyAlignment="1">
      <alignment horizontal="center" vertical="center" wrapText="1"/>
    </xf>
    <xf numFmtId="4" fontId="48" fillId="3" borderId="13" xfId="0" applyNumberFormat="1" applyFont="1" applyFill="1" applyBorder="1" applyAlignment="1">
      <alignment horizontal="center" vertical="center" wrapText="1"/>
    </xf>
    <xf numFmtId="4" fontId="48" fillId="3" borderId="1" xfId="0" applyNumberFormat="1" applyFont="1" applyFill="1" applyBorder="1" applyAlignment="1">
      <alignment horizontal="center" vertical="center" wrapText="1"/>
    </xf>
    <xf numFmtId="4" fontId="48" fillId="10" borderId="1" xfId="0" applyNumberFormat="1" applyFont="1" applyFill="1" applyBorder="1" applyAlignment="1">
      <alignment horizontal="center" vertical="center" wrapText="1"/>
    </xf>
    <xf numFmtId="49" fontId="48" fillId="12" borderId="15" xfId="0" applyNumberFormat="1" applyFont="1" applyFill="1" applyBorder="1" applyAlignment="1">
      <alignment horizontal="center" vertical="center" wrapText="1"/>
    </xf>
    <xf numFmtId="49" fontId="48" fillId="12" borderId="8" xfId="0" applyNumberFormat="1" applyFont="1" applyFill="1" applyBorder="1" applyAlignment="1">
      <alignment horizontal="center" vertical="center" wrapText="1"/>
    </xf>
    <xf numFmtId="49" fontId="48" fillId="12" borderId="4" xfId="0" applyNumberFormat="1" applyFont="1" applyFill="1" applyBorder="1" applyAlignment="1">
      <alignment horizontal="center" vertical="center" wrapText="1"/>
    </xf>
    <xf numFmtId="49" fontId="48" fillId="12" borderId="13" xfId="0" applyNumberFormat="1" applyFont="1" applyFill="1" applyBorder="1" applyAlignment="1">
      <alignment horizontal="center" vertical="center" wrapText="1"/>
    </xf>
    <xf numFmtId="4" fontId="48" fillId="7" borderId="15" xfId="0" applyNumberFormat="1" applyFont="1" applyFill="1" applyBorder="1" applyAlignment="1">
      <alignment horizontal="center" vertical="center" wrapText="1"/>
    </xf>
    <xf numFmtId="4" fontId="48" fillId="7" borderId="8" xfId="0" applyNumberFormat="1" applyFont="1" applyFill="1" applyBorder="1" applyAlignment="1">
      <alignment horizontal="center" vertical="center" wrapText="1"/>
    </xf>
    <xf numFmtId="4" fontId="48" fillId="7" borderId="4" xfId="0" applyNumberFormat="1" applyFont="1" applyFill="1" applyBorder="1" applyAlignment="1">
      <alignment horizontal="center" vertical="center" wrapText="1"/>
    </xf>
    <xf numFmtId="4" fontId="48" fillId="7" borderId="13" xfId="0" applyNumberFormat="1" applyFont="1" applyFill="1" applyBorder="1" applyAlignment="1">
      <alignment horizontal="center" vertical="center" wrapText="1"/>
    </xf>
    <xf numFmtId="0" fontId="50" fillId="11" borderId="15" xfId="0" applyFont="1" applyFill="1" applyBorder="1" applyAlignment="1">
      <alignment horizontal="center" vertical="center" wrapText="1"/>
    </xf>
    <xf numFmtId="0" fontId="50" fillId="11" borderId="16" xfId="0" applyFont="1" applyFill="1" applyBorder="1" applyAlignment="1">
      <alignment horizontal="center" vertical="center" wrapText="1"/>
    </xf>
    <xf numFmtId="0" fontId="50" fillId="11" borderId="4" xfId="0" applyFont="1" applyFill="1" applyBorder="1" applyAlignment="1">
      <alignment horizontal="center" vertical="center" wrapText="1"/>
    </xf>
    <xf numFmtId="0" fontId="50" fillId="11" borderId="5" xfId="0" applyFont="1" applyFill="1" applyBorder="1" applyAlignment="1">
      <alignment horizontal="center" vertical="center" wrapText="1"/>
    </xf>
    <xf numFmtId="0" fontId="54" fillId="16" borderId="2" xfId="0" applyFont="1" applyFill="1" applyBorder="1" applyAlignment="1">
      <alignment horizontal="left" vertical="center" wrapText="1"/>
    </xf>
    <xf numFmtId="0" fontId="54" fillId="16" borderId="14" xfId="0" applyFont="1" applyFill="1" applyBorder="1" applyAlignment="1">
      <alignment horizontal="left" vertical="center" wrapText="1"/>
    </xf>
    <xf numFmtId="0" fontId="54" fillId="19" borderId="2" xfId="0" applyFont="1" applyFill="1" applyBorder="1" applyAlignment="1">
      <alignment horizontal="right" vertical="center" wrapText="1"/>
    </xf>
    <xf numFmtId="0" fontId="54" fillId="19" borderId="14" xfId="0" applyFont="1" applyFill="1" applyBorder="1" applyAlignment="1">
      <alignment horizontal="right" vertical="center" wrapText="1"/>
    </xf>
    <xf numFmtId="0" fontId="54" fillId="17" borderId="2" xfId="0" applyFont="1" applyFill="1" applyBorder="1" applyAlignment="1">
      <alignment horizontal="left" vertical="center"/>
    </xf>
    <xf numFmtId="0" fontId="54" fillId="17" borderId="14" xfId="0" applyFont="1" applyFill="1" applyBorder="1" applyAlignment="1">
      <alignment horizontal="left" vertical="center"/>
    </xf>
    <xf numFmtId="0" fontId="54" fillId="17" borderId="3" xfId="0" applyFont="1" applyFill="1" applyBorder="1" applyAlignment="1">
      <alignment horizontal="left" vertical="center"/>
    </xf>
    <xf numFmtId="172" fontId="51" fillId="11" borderId="42" xfId="0" applyNumberFormat="1" applyFont="1" applyFill="1" applyBorder="1" applyAlignment="1">
      <alignment horizontal="center" vertical="center" wrapText="1"/>
    </xf>
    <xf numFmtId="4" fontId="51" fillId="12" borderId="6" xfId="1" applyNumberFormat="1" applyFont="1" applyFill="1" applyBorder="1" applyAlignment="1">
      <alignment horizontal="center" vertical="center" wrapText="1"/>
    </xf>
    <xf numFmtId="4" fontId="51" fillId="12" borderId="11" xfId="1" applyNumberFormat="1" applyFont="1" applyFill="1" applyBorder="1" applyAlignment="1">
      <alignment horizontal="center" vertical="center" wrapText="1"/>
    </xf>
    <xf numFmtId="4" fontId="51" fillId="12" borderId="10" xfId="1" applyNumberFormat="1" applyFont="1" applyFill="1" applyBorder="1" applyAlignment="1">
      <alignment horizontal="center" vertical="center" wrapText="1"/>
    </xf>
    <xf numFmtId="172" fontId="45" fillId="0" borderId="11" xfId="0" applyNumberFormat="1" applyFont="1" applyBorder="1" applyAlignment="1">
      <alignment horizontal="center" vertical="center" wrapText="1"/>
    </xf>
    <xf numFmtId="4" fontId="45" fillId="0" borderId="6" xfId="0" applyNumberFormat="1" applyFont="1" applyBorder="1" applyAlignment="1">
      <alignment horizontal="center" vertical="center" wrapText="1"/>
    </xf>
    <xf numFmtId="4" fontId="45" fillId="0" borderId="11" xfId="0" applyNumberFormat="1" applyFont="1" applyBorder="1" applyAlignment="1">
      <alignment horizontal="center" vertical="center" wrapText="1"/>
    </xf>
    <xf numFmtId="4" fontId="45" fillId="0" borderId="10" xfId="0" applyNumberFormat="1" applyFont="1" applyBorder="1" applyAlignment="1">
      <alignment horizontal="center" vertical="center" wrapText="1"/>
    </xf>
    <xf numFmtId="2" fontId="52" fillId="7" borderId="6" xfId="0" applyNumberFormat="1" applyFont="1" applyFill="1" applyBorder="1" applyAlignment="1">
      <alignment horizontal="center" vertical="center"/>
    </xf>
    <xf numFmtId="2" fontId="52" fillId="7" borderId="11" xfId="0" applyNumberFormat="1" applyFont="1" applyFill="1" applyBorder="1" applyAlignment="1">
      <alignment horizontal="center" vertical="center"/>
    </xf>
    <xf numFmtId="2" fontId="52" fillId="7" borderId="10" xfId="0" applyNumberFormat="1" applyFont="1" applyFill="1" applyBorder="1" applyAlignment="1">
      <alignment horizontal="center" vertical="center"/>
    </xf>
    <xf numFmtId="0" fontId="55" fillId="18" borderId="2" xfId="0" applyFont="1" applyFill="1" applyBorder="1" applyAlignment="1">
      <alignment horizontal="left" vertical="center"/>
    </xf>
    <xf numFmtId="0" fontId="55" fillId="18" borderId="14" xfId="0" applyFont="1" applyFill="1" applyBorder="1" applyAlignment="1">
      <alignment horizontal="left" vertical="center"/>
    </xf>
    <xf numFmtId="0" fontId="55" fillId="18" borderId="3" xfId="0" applyFont="1" applyFill="1" applyBorder="1" applyAlignment="1">
      <alignment horizontal="left" vertical="center"/>
    </xf>
    <xf numFmtId="0" fontId="86" fillId="16" borderId="2" xfId="0" applyFont="1" applyFill="1" applyBorder="1" applyAlignment="1">
      <alignment horizontal="left" vertical="center" wrapText="1"/>
    </xf>
    <xf numFmtId="0" fontId="86" fillId="16" borderId="14" xfId="0" applyFont="1" applyFill="1" applyBorder="1" applyAlignment="1">
      <alignment horizontal="left" vertical="center" wrapText="1"/>
    </xf>
    <xf numFmtId="171" fontId="45" fillId="0" borderId="6" xfId="0" applyNumberFormat="1" applyFont="1" applyBorder="1" applyAlignment="1">
      <alignment horizontal="center" vertical="center" wrapText="1"/>
    </xf>
    <xf numFmtId="171" fontId="45" fillId="0" borderId="11" xfId="0" applyNumberFormat="1" applyFont="1" applyBorder="1" applyAlignment="1">
      <alignment horizontal="center" vertical="center" wrapText="1"/>
    </xf>
    <xf numFmtId="171" fontId="45" fillId="0" borderId="10" xfId="0" applyNumberFormat="1" applyFont="1" applyBorder="1" applyAlignment="1">
      <alignment horizontal="center" vertical="center" wrapText="1"/>
    </xf>
    <xf numFmtId="0" fontId="42" fillId="5" borderId="43" xfId="0" applyFont="1" applyFill="1" applyBorder="1" applyAlignment="1">
      <alignment horizontal="center" vertical="center" wrapText="1"/>
    </xf>
    <xf numFmtId="0" fontId="42" fillId="5" borderId="46" xfId="0" applyFont="1" applyFill="1" applyBorder="1" applyAlignment="1">
      <alignment horizontal="center" vertical="center" wrapText="1"/>
    </xf>
    <xf numFmtId="0" fontId="45" fillId="5" borderId="45" xfId="0" applyFont="1" applyFill="1" applyBorder="1" applyAlignment="1">
      <alignment horizontal="center" vertical="center" wrapText="1"/>
    </xf>
    <xf numFmtId="0" fontId="45" fillId="5" borderId="47" xfId="0" applyFont="1" applyFill="1" applyBorder="1" applyAlignment="1">
      <alignment horizontal="center" vertical="center" wrapText="1"/>
    </xf>
    <xf numFmtId="2" fontId="95" fillId="0" borderId="43" xfId="0" applyNumberFormat="1" applyFont="1" applyBorder="1" applyAlignment="1">
      <alignment horizontal="center" vertical="center" shrinkToFit="1"/>
    </xf>
    <xf numFmtId="2" fontId="95" fillId="0" borderId="48" xfId="0" applyNumberFormat="1" applyFont="1" applyBorder="1" applyAlignment="1">
      <alignment horizontal="center" vertical="center" shrinkToFit="1"/>
    </xf>
    <xf numFmtId="4" fontId="45" fillId="0" borderId="45" xfId="1" applyNumberFormat="1" applyFont="1" applyBorder="1" applyAlignment="1">
      <alignment horizontal="center" vertical="center" wrapText="1"/>
    </xf>
    <xf numFmtId="4" fontId="45" fillId="0" borderId="49" xfId="1" applyNumberFormat="1" applyFont="1" applyBorder="1" applyAlignment="1">
      <alignment horizontal="center" vertical="center" wrapText="1"/>
    </xf>
    <xf numFmtId="0" fontId="90" fillId="0" borderId="2" xfId="0" applyFont="1" applyBorder="1" applyAlignment="1">
      <alignment horizontal="left" vertical="center"/>
    </xf>
    <xf numFmtId="0" fontId="90" fillId="0" borderId="14" xfId="0" applyFont="1" applyBorder="1" applyAlignment="1">
      <alignment horizontal="left" vertical="center"/>
    </xf>
    <xf numFmtId="0" fontId="55" fillId="16" borderId="2" xfId="0" applyFont="1" applyFill="1" applyBorder="1" applyAlignment="1">
      <alignment horizontal="left" vertical="center" wrapText="1"/>
    </xf>
    <xf numFmtId="0" fontId="55" fillId="16" borderId="14" xfId="0" applyFont="1" applyFill="1" applyBorder="1" applyAlignment="1">
      <alignment horizontal="left" vertical="center" wrapText="1"/>
    </xf>
    <xf numFmtId="172" fontId="53" fillId="0" borderId="6" xfId="0" applyNumberFormat="1" applyFont="1" applyBorder="1" applyAlignment="1">
      <alignment horizontal="center" vertical="center"/>
    </xf>
    <xf numFmtId="172" fontId="53" fillId="0" borderId="10" xfId="0" applyNumberFormat="1" applyFont="1" applyBorder="1" applyAlignment="1">
      <alignment horizontal="center" vertical="center"/>
    </xf>
    <xf numFmtId="172" fontId="52" fillId="7" borderId="6" xfId="0" applyNumberFormat="1" applyFont="1" applyFill="1" applyBorder="1" applyAlignment="1">
      <alignment horizontal="center" vertical="center"/>
    </xf>
    <xf numFmtId="172" fontId="52" fillId="7" borderId="10" xfId="0" applyNumberFormat="1" applyFont="1" applyFill="1" applyBorder="1" applyAlignment="1">
      <alignment horizontal="center" vertical="center"/>
    </xf>
    <xf numFmtId="176" fontId="95" fillId="0" borderId="43" xfId="0" applyNumberFormat="1" applyFont="1" applyBorder="1" applyAlignment="1">
      <alignment horizontal="center" vertical="center" shrinkToFit="1"/>
    </xf>
    <xf numFmtId="176" fontId="95" fillId="0" borderId="48" xfId="0" applyNumberFormat="1" applyFont="1" applyBorder="1" applyAlignment="1">
      <alignment horizontal="center" vertical="center" shrinkToFit="1"/>
    </xf>
    <xf numFmtId="0" fontId="42" fillId="5" borderId="6" xfId="0" applyFont="1" applyFill="1" applyBorder="1" applyAlignment="1">
      <alignment horizontal="center" vertical="center" wrapText="1"/>
    </xf>
    <xf numFmtId="0" fontId="42" fillId="5" borderId="10" xfId="0" applyFont="1" applyFill="1" applyBorder="1" applyAlignment="1">
      <alignment horizontal="center" vertical="center" wrapText="1"/>
    </xf>
    <xf numFmtId="0" fontId="53" fillId="5" borderId="6" xfId="0" applyFont="1" applyFill="1" applyBorder="1" applyAlignment="1">
      <alignment horizontal="center" vertical="center" wrapText="1"/>
    </xf>
    <xf numFmtId="0" fontId="53" fillId="5" borderId="10" xfId="0" applyFont="1" applyFill="1" applyBorder="1" applyAlignment="1">
      <alignment horizontal="center" vertical="center" wrapText="1"/>
    </xf>
    <xf numFmtId="0" fontId="53" fillId="5" borderId="6" xfId="1" applyNumberFormat="1" applyFont="1" applyFill="1" applyBorder="1" applyAlignment="1">
      <alignment horizontal="center" vertical="center" wrapText="1"/>
    </xf>
    <xf numFmtId="0" fontId="53" fillId="5" borderId="10" xfId="1" applyNumberFormat="1" applyFont="1" applyFill="1" applyBorder="1" applyAlignment="1">
      <alignment horizontal="center" vertical="center" wrapText="1"/>
    </xf>
    <xf numFmtId="4" fontId="45" fillId="5" borderId="6" xfId="1" applyNumberFormat="1" applyFont="1" applyFill="1" applyBorder="1" applyAlignment="1">
      <alignment horizontal="center" vertical="center" wrapText="1"/>
    </xf>
    <xf numFmtId="4" fontId="45" fillId="5" borderId="10" xfId="1" applyNumberFormat="1" applyFont="1" applyFill="1" applyBorder="1" applyAlignment="1">
      <alignment horizontal="center" vertical="center" wrapText="1"/>
    </xf>
    <xf numFmtId="2" fontId="53" fillId="5" borderId="6" xfId="1" applyNumberFormat="1" applyFont="1" applyFill="1" applyBorder="1" applyAlignment="1">
      <alignment horizontal="center" vertical="center" wrapText="1"/>
    </xf>
    <xf numFmtId="2" fontId="53" fillId="5" borderId="10" xfId="1" applyNumberFormat="1" applyFont="1" applyFill="1" applyBorder="1" applyAlignment="1">
      <alignment horizontal="center" vertical="center" wrapText="1"/>
    </xf>
    <xf numFmtId="0" fontId="96" fillId="19" borderId="2" xfId="0" applyFont="1" applyFill="1" applyBorder="1" applyAlignment="1">
      <alignment horizontal="left" vertical="center" wrapText="1"/>
    </xf>
    <xf numFmtId="0" fontId="96" fillId="19" borderId="14" xfId="0" applyFont="1" applyFill="1" applyBorder="1" applyAlignment="1">
      <alignment horizontal="left" vertical="center" wrapText="1"/>
    </xf>
    <xf numFmtId="0" fontId="54" fillId="19" borderId="3" xfId="0" applyFont="1" applyFill="1" applyBorder="1" applyAlignment="1">
      <alignment horizontal="right" vertical="center" wrapText="1"/>
    </xf>
    <xf numFmtId="0" fontId="96" fillId="10" borderId="2" xfId="0" applyFont="1" applyFill="1" applyBorder="1" applyAlignment="1">
      <alignment horizontal="left" vertical="center" wrapText="1"/>
    </xf>
    <xf numFmtId="0" fontId="96" fillId="10" borderId="14" xfId="0" applyFont="1" applyFill="1" applyBorder="1" applyAlignment="1">
      <alignment horizontal="left" vertical="center" wrapText="1"/>
    </xf>
    <xf numFmtId="0" fontId="55" fillId="20" borderId="2" xfId="2" applyFont="1" applyFill="1" applyBorder="1" applyAlignment="1">
      <alignment horizontal="left" vertical="center" wrapText="1"/>
    </xf>
    <xf numFmtId="0" fontId="55" fillId="20" borderId="14" xfId="2" applyFont="1" applyFill="1" applyBorder="1" applyAlignment="1">
      <alignment horizontal="left" vertical="center" wrapText="1"/>
    </xf>
    <xf numFmtId="0" fontId="54" fillId="18" borderId="2" xfId="2" applyFont="1" applyFill="1" applyBorder="1" applyAlignment="1">
      <alignment horizontal="left" vertical="center" wrapText="1"/>
    </xf>
    <xf numFmtId="0" fontId="54" fillId="18" borderId="14" xfId="2" applyFont="1" applyFill="1" applyBorder="1" applyAlignment="1">
      <alignment horizontal="left" vertical="center" wrapText="1"/>
    </xf>
    <xf numFmtId="4" fontId="51" fillId="12" borderId="6" xfId="1" applyNumberFormat="1" applyFont="1" applyFill="1" applyBorder="1" applyAlignment="1">
      <alignment horizontal="right" vertical="center" wrapText="1"/>
    </xf>
    <xf numFmtId="4" fontId="51" fillId="12" borderId="10" xfId="1" applyNumberFormat="1" applyFont="1" applyFill="1" applyBorder="1" applyAlignment="1">
      <alignment horizontal="right" vertical="center" wrapText="1"/>
    </xf>
    <xf numFmtId="4" fontId="53" fillId="0" borderId="6" xfId="0" applyNumberFormat="1" applyFont="1" applyBorder="1" applyAlignment="1">
      <alignment horizontal="center" vertical="center"/>
    </xf>
    <xf numFmtId="4" fontId="53" fillId="0" borderId="10" xfId="0" applyNumberFormat="1" applyFont="1" applyBorder="1" applyAlignment="1">
      <alignment horizontal="center" vertical="center"/>
    </xf>
    <xf numFmtId="4" fontId="52" fillId="7" borderId="6" xfId="0" applyNumberFormat="1" applyFont="1" applyFill="1" applyBorder="1" applyAlignment="1">
      <alignment horizontal="center" vertical="center"/>
    </xf>
    <xf numFmtId="4" fontId="52" fillId="7" borderId="10" xfId="0" applyNumberFormat="1" applyFont="1" applyFill="1" applyBorder="1" applyAlignment="1">
      <alignment horizontal="center" vertical="center"/>
    </xf>
    <xf numFmtId="172" fontId="51" fillId="11" borderId="15" xfId="0" applyNumberFormat="1" applyFont="1" applyFill="1" applyBorder="1" applyAlignment="1">
      <alignment horizontal="right" vertical="center" wrapText="1"/>
    </xf>
    <xf numFmtId="172" fontId="51" fillId="11" borderId="4" xfId="0" applyNumberFormat="1" applyFont="1" applyFill="1" applyBorder="1" applyAlignment="1">
      <alignment horizontal="right" vertical="center" wrapText="1"/>
    </xf>
    <xf numFmtId="172" fontId="51" fillId="11" borderId="42" xfId="0" applyNumberFormat="1" applyFont="1" applyFill="1" applyBorder="1" applyAlignment="1">
      <alignment horizontal="right" vertical="center" wrapText="1"/>
    </xf>
    <xf numFmtId="0" fontId="53" fillId="5" borderId="53" xfId="0" applyFont="1" applyFill="1" applyBorder="1" applyAlignment="1">
      <alignment horizontal="center" vertical="center" wrapText="1"/>
    </xf>
    <xf numFmtId="0" fontId="53" fillId="5" borderId="55" xfId="0" applyFont="1" applyFill="1" applyBorder="1" applyAlignment="1">
      <alignment horizontal="center" vertical="center" wrapText="1"/>
    </xf>
    <xf numFmtId="2" fontId="95" fillId="0" borderId="54" xfId="0" applyNumberFormat="1" applyFont="1" applyBorder="1" applyAlignment="1">
      <alignment horizontal="center" vertical="center" shrinkToFit="1"/>
    </xf>
    <xf numFmtId="2" fontId="95" fillId="0" borderId="47" xfId="0" applyNumberFormat="1" applyFont="1" applyBorder="1" applyAlignment="1">
      <alignment horizontal="center" vertical="center" shrinkToFit="1"/>
    </xf>
    <xf numFmtId="0" fontId="42" fillId="5" borderId="51" xfId="0" applyFont="1" applyFill="1" applyBorder="1" applyAlignment="1">
      <alignment horizontal="center" vertical="center" wrapText="1"/>
    </xf>
    <xf numFmtId="4" fontId="45" fillId="0" borderId="52" xfId="1" applyNumberFormat="1" applyFont="1" applyBorder="1" applyAlignment="1">
      <alignment horizontal="center" vertical="center" wrapText="1"/>
    </xf>
    <xf numFmtId="4" fontId="51" fillId="12" borderId="11" xfId="1" applyNumberFormat="1" applyFont="1" applyFill="1" applyBorder="1" applyAlignment="1">
      <alignment horizontal="right" vertical="center" wrapText="1"/>
    </xf>
    <xf numFmtId="4" fontId="53" fillId="0" borderId="11" xfId="0" applyNumberFormat="1" applyFont="1" applyBorder="1" applyAlignment="1">
      <alignment horizontal="center" vertical="center"/>
    </xf>
    <xf numFmtId="4" fontId="52" fillId="7" borderId="11" xfId="0" applyNumberFormat="1" applyFont="1" applyFill="1" applyBorder="1" applyAlignment="1">
      <alignment horizontal="center" vertical="center"/>
    </xf>
    <xf numFmtId="0" fontId="54" fillId="18" borderId="4" xfId="2" applyFont="1" applyFill="1" applyBorder="1" applyAlignment="1">
      <alignment horizontal="left" vertical="center" wrapText="1"/>
    </xf>
    <xf numFmtId="0" fontId="54" fillId="18" borderId="5" xfId="2" applyFont="1" applyFill="1" applyBorder="1" applyAlignment="1">
      <alignment horizontal="left" vertical="center" wrapText="1"/>
    </xf>
    <xf numFmtId="0" fontId="54" fillId="18" borderId="13" xfId="2" applyFont="1" applyFill="1" applyBorder="1" applyAlignment="1">
      <alignment horizontal="left" vertical="center" wrapText="1"/>
    </xf>
    <xf numFmtId="4" fontId="51" fillId="12" borderId="45" xfId="1" applyNumberFormat="1" applyFont="1" applyFill="1" applyBorder="1" applyAlignment="1">
      <alignment horizontal="right" vertical="center" wrapText="1"/>
    </xf>
    <xf numFmtId="4" fontId="51" fillId="12" borderId="49" xfId="1" applyNumberFormat="1" applyFont="1" applyFill="1" applyBorder="1" applyAlignment="1">
      <alignment horizontal="right" vertical="center" wrapText="1"/>
    </xf>
    <xf numFmtId="2" fontId="53" fillId="0" borderId="11" xfId="0" applyNumberFormat="1" applyFont="1" applyBorder="1" applyAlignment="1">
      <alignment horizontal="center" vertical="center"/>
    </xf>
    <xf numFmtId="2" fontId="53" fillId="5" borderId="53" xfId="0" applyNumberFormat="1" applyFont="1" applyFill="1" applyBorder="1" applyAlignment="1">
      <alignment horizontal="center" vertical="center" wrapText="1"/>
    </xf>
    <xf numFmtId="4" fontId="45" fillId="0" borderId="6" xfId="1" applyNumberFormat="1" applyFont="1" applyBorder="1" applyAlignment="1">
      <alignment horizontal="center" vertical="center" wrapText="1"/>
    </xf>
    <xf numFmtId="4" fontId="45" fillId="0" borderId="10" xfId="1" applyNumberFormat="1" applyFont="1" applyBorder="1" applyAlignment="1">
      <alignment horizontal="center" vertical="center" wrapText="1"/>
    </xf>
    <xf numFmtId="171" fontId="51" fillId="11" borderId="15" xfId="0" applyNumberFormat="1" applyFont="1" applyFill="1" applyBorder="1" applyAlignment="1">
      <alignment horizontal="right" vertical="center" wrapText="1"/>
    </xf>
    <xf numFmtId="171" fontId="51" fillId="11" borderId="4" xfId="0" applyNumberFormat="1" applyFont="1" applyFill="1" applyBorder="1" applyAlignment="1">
      <alignment horizontal="right" vertical="center" wrapText="1"/>
    </xf>
    <xf numFmtId="171" fontId="51" fillId="11" borderId="42" xfId="0" applyNumberFormat="1" applyFont="1" applyFill="1" applyBorder="1" applyAlignment="1">
      <alignment horizontal="right" vertical="center" wrapText="1"/>
    </xf>
    <xf numFmtId="0" fontId="55" fillId="20" borderId="3" xfId="2" applyFont="1" applyFill="1" applyBorder="1" applyAlignment="1">
      <alignment horizontal="left" vertical="center" wrapText="1"/>
    </xf>
    <xf numFmtId="0" fontId="54" fillId="18" borderId="3" xfId="2" applyFont="1" applyFill="1" applyBorder="1" applyAlignment="1">
      <alignment horizontal="left" vertical="center" wrapText="1"/>
    </xf>
    <xf numFmtId="0" fontId="55" fillId="19" borderId="2" xfId="0" applyFont="1" applyFill="1" applyBorder="1" applyAlignment="1">
      <alignment horizontal="left" vertical="center" wrapText="1"/>
    </xf>
    <xf numFmtId="0" fontId="55" fillId="19" borderId="14" xfId="0" applyFont="1" applyFill="1" applyBorder="1" applyAlignment="1">
      <alignment horizontal="left" vertical="center" wrapText="1"/>
    </xf>
    <xf numFmtId="0" fontId="55" fillId="18" borderId="2" xfId="2" applyFont="1" applyFill="1" applyBorder="1" applyAlignment="1">
      <alignment horizontal="left" vertical="center" wrapText="1"/>
    </xf>
    <xf numFmtId="0" fontId="55" fillId="18" borderId="14" xfId="2" applyFont="1" applyFill="1" applyBorder="1" applyAlignment="1">
      <alignment horizontal="left" vertical="center" wrapText="1"/>
    </xf>
    <xf numFmtId="0" fontId="42" fillId="5" borderId="15" xfId="0" applyFont="1" applyFill="1" applyBorder="1" applyAlignment="1">
      <alignment horizontal="center" vertical="center" wrapText="1"/>
    </xf>
    <xf numFmtId="0" fontId="42" fillId="5" borderId="42" xfId="0" applyFont="1" applyFill="1" applyBorder="1" applyAlignment="1">
      <alignment horizontal="center" vertical="center" wrapText="1"/>
    </xf>
    <xf numFmtId="0" fontId="42" fillId="5" borderId="4" xfId="0" applyFont="1" applyFill="1" applyBorder="1" applyAlignment="1">
      <alignment horizontal="center" vertical="center" wrapText="1"/>
    </xf>
    <xf numFmtId="0" fontId="40" fillId="5" borderId="16" xfId="0" applyFont="1" applyFill="1" applyBorder="1" applyAlignment="1">
      <alignment horizontal="center" vertical="center" wrapText="1"/>
    </xf>
    <xf numFmtId="0" fontId="40" fillId="5" borderId="0" xfId="0" applyFont="1" applyFill="1" applyAlignment="1">
      <alignment horizontal="center" vertical="center" wrapText="1"/>
    </xf>
    <xf numFmtId="0" fontId="40" fillId="5" borderId="56" xfId="0" applyFont="1" applyFill="1" applyBorder="1" applyAlignment="1">
      <alignment horizontal="center" vertical="center" wrapText="1"/>
    </xf>
    <xf numFmtId="164" fontId="53" fillId="5" borderId="1" xfId="1" applyFont="1" applyFill="1" applyBorder="1" applyAlignment="1">
      <alignment horizontal="center" vertical="center" wrapText="1"/>
    </xf>
    <xf numFmtId="4" fontId="45" fillId="0" borderId="8" xfId="1" applyNumberFormat="1" applyFont="1" applyBorder="1" applyAlignment="1">
      <alignment horizontal="center" vertical="center" wrapText="1"/>
    </xf>
    <xf numFmtId="4" fontId="45" fillId="0" borderId="12" xfId="1" applyNumberFormat="1" applyFont="1" applyBorder="1" applyAlignment="1">
      <alignment horizontal="center" vertical="center" wrapText="1"/>
    </xf>
    <xf numFmtId="4" fontId="45" fillId="0" borderId="13" xfId="1" applyNumberFormat="1" applyFont="1" applyBorder="1" applyAlignment="1">
      <alignment horizontal="center" vertical="center" wrapText="1"/>
    </xf>
    <xf numFmtId="172" fontId="51" fillId="12" borderId="6" xfId="1" applyNumberFormat="1" applyFont="1" applyFill="1" applyBorder="1" applyAlignment="1">
      <alignment horizontal="right" vertical="center" wrapText="1"/>
    </xf>
    <xf numFmtId="172" fontId="51" fillId="12" borderId="11" xfId="1" applyNumberFormat="1" applyFont="1" applyFill="1" applyBorder="1" applyAlignment="1">
      <alignment horizontal="right" vertical="center" wrapText="1"/>
    </xf>
    <xf numFmtId="172" fontId="51" fillId="12" borderId="10" xfId="1" applyNumberFormat="1" applyFont="1" applyFill="1" applyBorder="1" applyAlignment="1">
      <alignment horizontal="righ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169" fontId="29" fillId="0" borderId="6" xfId="1" applyNumberFormat="1" applyFont="1" applyBorder="1" applyAlignment="1">
      <alignment horizontal="center" vertical="center" wrapText="1"/>
    </xf>
    <xf numFmtId="169" fontId="29" fillId="0" borderId="11" xfId="1" applyNumberFormat="1" applyFont="1" applyBorder="1" applyAlignment="1">
      <alignment horizontal="center" vertical="center" wrapText="1"/>
    </xf>
    <xf numFmtId="169" fontId="29" fillId="0" borderId="10" xfId="1" applyNumberFormat="1" applyFont="1" applyBorder="1" applyAlignment="1">
      <alignment horizontal="center" vertical="center" wrapText="1"/>
    </xf>
    <xf numFmtId="3" fontId="18" fillId="5" borderId="6" xfId="0" applyNumberFormat="1" applyFont="1" applyFill="1" applyBorder="1" applyAlignment="1">
      <alignment horizontal="center" vertical="center"/>
    </xf>
    <xf numFmtId="3" fontId="18" fillId="5" borderId="11" xfId="0" applyNumberFormat="1" applyFont="1" applyFill="1" applyBorder="1" applyAlignment="1">
      <alignment horizontal="center" vertical="center"/>
    </xf>
    <xf numFmtId="3" fontId="18" fillId="5" borderId="10" xfId="0" applyNumberFormat="1" applyFont="1" applyFill="1" applyBorder="1" applyAlignment="1">
      <alignment horizontal="center" vertical="center"/>
    </xf>
    <xf numFmtId="3" fontId="29" fillId="7" borderId="6" xfId="0" applyNumberFormat="1" applyFont="1" applyFill="1" applyBorder="1" applyAlignment="1">
      <alignment horizontal="center" vertical="center"/>
    </xf>
    <xf numFmtId="3" fontId="29" fillId="7" borderId="11" xfId="0" applyNumberFormat="1" applyFont="1" applyFill="1" applyBorder="1" applyAlignment="1">
      <alignment horizontal="center" vertical="center"/>
    </xf>
    <xf numFmtId="3" fontId="29" fillId="7" borderId="10" xfId="0" applyNumberFormat="1" applyFont="1" applyFill="1" applyBorder="1" applyAlignment="1">
      <alignment horizontal="center" vertical="center"/>
    </xf>
    <xf numFmtId="3" fontId="29" fillId="12" borderId="6" xfId="1" applyNumberFormat="1" applyFont="1" applyFill="1" applyBorder="1" applyAlignment="1">
      <alignment horizontal="center" vertical="center" wrapText="1"/>
    </xf>
    <xf numFmtId="3" fontId="29" fillId="12" borderId="10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3" fontId="19" fillId="0" borderId="6" xfId="1" applyNumberFormat="1" applyFont="1" applyBorder="1" applyAlignment="1">
      <alignment horizontal="center" wrapText="1"/>
    </xf>
    <xf numFmtId="3" fontId="19" fillId="0" borderId="10" xfId="1" applyNumberFormat="1" applyFont="1" applyBorder="1" applyAlignment="1">
      <alignment horizontal="center" wrapText="1"/>
    </xf>
    <xf numFmtId="1" fontId="32" fillId="6" borderId="6" xfId="2" applyNumberFormat="1" applyFont="1" applyFill="1" applyBorder="1" applyAlignment="1">
      <alignment horizontal="right" vertical="center"/>
    </xf>
    <xf numFmtId="1" fontId="32" fillId="6" borderId="10" xfId="2" applyNumberFormat="1" applyFont="1" applyFill="1" applyBorder="1" applyAlignment="1">
      <alignment horizontal="right" vertical="center"/>
    </xf>
    <xf numFmtId="0" fontId="18" fillId="0" borderId="6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12" borderId="6" xfId="0" applyFont="1" applyFill="1" applyBorder="1" applyAlignment="1">
      <alignment horizontal="center"/>
    </xf>
    <xf numFmtId="0" fontId="22" fillId="12" borderId="10" xfId="0" applyFont="1" applyFill="1" applyBorder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29" fillId="0" borderId="6" xfId="2" applyFont="1" applyBorder="1" applyAlignment="1">
      <alignment horizontal="center" vertical="center"/>
    </xf>
    <xf numFmtId="0" fontId="29" fillId="0" borderId="10" xfId="2" applyFont="1" applyBorder="1" applyAlignment="1">
      <alignment horizontal="center" vertical="center"/>
    </xf>
    <xf numFmtId="3" fontId="19" fillId="0" borderId="6" xfId="1" applyNumberFormat="1" applyFont="1" applyBorder="1" applyAlignment="1">
      <alignment horizontal="center" vertical="center" wrapText="1"/>
    </xf>
    <xf numFmtId="3" fontId="19" fillId="0" borderId="10" xfId="1" applyNumberFormat="1" applyFont="1" applyBorder="1" applyAlignment="1">
      <alignment horizontal="center" vertical="center" wrapText="1"/>
    </xf>
    <xf numFmtId="165" fontId="29" fillId="6" borderId="6" xfId="1" applyNumberFormat="1" applyFont="1" applyFill="1" applyBorder="1" applyAlignment="1">
      <alignment horizontal="center" vertical="center"/>
    </xf>
    <xf numFmtId="165" fontId="29" fillId="6" borderId="10" xfId="1" applyNumberFormat="1" applyFont="1" applyFill="1" applyBorder="1" applyAlignment="1">
      <alignment horizontal="center" vertical="center"/>
    </xf>
    <xf numFmtId="0" fontId="29" fillId="0" borderId="6" xfId="1" applyNumberFormat="1" applyFont="1" applyBorder="1" applyAlignment="1">
      <alignment horizontal="center" vertical="center" wrapText="1"/>
    </xf>
    <xf numFmtId="0" fontId="29" fillId="0" borderId="11" xfId="1" applyNumberFormat="1" applyFont="1" applyBorder="1" applyAlignment="1">
      <alignment horizontal="center" vertical="center" wrapText="1"/>
    </xf>
    <xf numFmtId="0" fontId="29" fillId="0" borderId="10" xfId="1" applyNumberFormat="1" applyFont="1" applyBorder="1" applyAlignment="1">
      <alignment horizontal="center" vertical="center" wrapText="1"/>
    </xf>
    <xf numFmtId="3" fontId="18" fillId="0" borderId="6" xfId="0" applyNumberFormat="1" applyFont="1" applyBorder="1" applyAlignment="1">
      <alignment horizontal="center" vertical="center"/>
    </xf>
    <xf numFmtId="3" fontId="18" fillId="0" borderId="11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3" fontId="30" fillId="11" borderId="6" xfId="0" applyNumberFormat="1" applyFont="1" applyFill="1" applyBorder="1" applyAlignment="1">
      <alignment horizontal="center" vertical="center" wrapText="1"/>
    </xf>
    <xf numFmtId="3" fontId="30" fillId="11" borderId="11" xfId="0" applyNumberFormat="1" applyFont="1" applyFill="1" applyBorder="1" applyAlignment="1">
      <alignment horizontal="center" vertical="center" wrapText="1"/>
    </xf>
    <xf numFmtId="3" fontId="30" fillId="11" borderId="10" xfId="0" applyNumberFormat="1" applyFont="1" applyFill="1" applyBorder="1" applyAlignment="1">
      <alignment horizontal="center" vertical="center" wrapText="1"/>
    </xf>
    <xf numFmtId="167" fontId="18" fillId="0" borderId="6" xfId="0" applyNumberFormat="1" applyFont="1" applyBorder="1" applyAlignment="1">
      <alignment horizontal="center" vertical="center"/>
    </xf>
    <xf numFmtId="167" fontId="18" fillId="0" borderId="11" xfId="0" applyNumberFormat="1" applyFont="1" applyBorder="1" applyAlignment="1">
      <alignment horizontal="center" vertical="center"/>
    </xf>
    <xf numFmtId="167" fontId="18" fillId="0" borderId="10" xfId="0" applyNumberFormat="1" applyFont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30" fillId="11" borderId="10" xfId="0" applyFont="1" applyFill="1" applyBorder="1" applyAlignment="1">
      <alignment horizontal="center" vertical="center" wrapText="1"/>
    </xf>
    <xf numFmtId="3" fontId="19" fillId="5" borderId="6" xfId="0" applyNumberFormat="1" applyFont="1" applyFill="1" applyBorder="1" applyAlignment="1">
      <alignment horizontal="center" vertical="center" wrapText="1"/>
    </xf>
    <xf numFmtId="3" fontId="19" fillId="5" borderId="11" xfId="0" applyNumberFormat="1" applyFont="1" applyFill="1" applyBorder="1" applyAlignment="1">
      <alignment horizontal="center" vertical="center" wrapText="1"/>
    </xf>
    <xf numFmtId="3" fontId="19" fillId="5" borderId="10" xfId="0" applyNumberFormat="1" applyFont="1" applyFill="1" applyBorder="1" applyAlignment="1">
      <alignment horizontal="center" vertical="center" wrapText="1"/>
    </xf>
    <xf numFmtId="0" fontId="30" fillId="11" borderId="11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3" fontId="19" fillId="0" borderId="6" xfId="0" applyNumberFormat="1" applyFont="1" applyBorder="1" applyAlignment="1" applyProtection="1">
      <alignment horizontal="center" vertical="center" wrapText="1"/>
      <protection locked="0"/>
    </xf>
    <xf numFmtId="3" fontId="19" fillId="0" borderId="11" xfId="0" applyNumberFormat="1" applyFont="1" applyBorder="1" applyAlignment="1" applyProtection="1">
      <alignment horizontal="center" vertical="center" wrapText="1"/>
      <protection locked="0"/>
    </xf>
    <xf numFmtId="3" fontId="19" fillId="0" borderId="10" xfId="0" applyNumberFormat="1" applyFont="1" applyBorder="1" applyAlignment="1" applyProtection="1">
      <alignment horizontal="center" vertical="center" wrapText="1"/>
      <protection locked="0"/>
    </xf>
    <xf numFmtId="3" fontId="23" fillId="5" borderId="6" xfId="0" applyNumberFormat="1" applyFont="1" applyFill="1" applyBorder="1" applyAlignment="1">
      <alignment horizontal="center" vertical="center" wrapText="1"/>
    </xf>
    <xf numFmtId="3" fontId="23" fillId="5" borderId="11" xfId="0" applyNumberFormat="1" applyFont="1" applyFill="1" applyBorder="1" applyAlignment="1">
      <alignment horizontal="center" vertical="center" wrapText="1"/>
    </xf>
    <xf numFmtId="3" fontId="23" fillId="5" borderId="10" xfId="0" applyNumberFormat="1" applyFont="1" applyFill="1" applyBorder="1" applyAlignment="1">
      <alignment horizontal="center" vertical="center" wrapText="1"/>
    </xf>
    <xf numFmtId="3" fontId="30" fillId="11" borderId="6" xfId="0" applyNumberFormat="1" applyFont="1" applyFill="1" applyBorder="1" applyAlignment="1" applyProtection="1">
      <alignment horizontal="center" vertical="center" wrapText="1"/>
      <protection locked="0"/>
    </xf>
    <xf numFmtId="3" fontId="30" fillId="11" borderId="11" xfId="0" applyNumberFormat="1" applyFont="1" applyFill="1" applyBorder="1" applyAlignment="1" applyProtection="1">
      <alignment horizontal="center" vertical="center" wrapText="1"/>
      <protection locked="0"/>
    </xf>
    <xf numFmtId="3" fontId="30" fillId="11" borderId="10" xfId="0" applyNumberFormat="1" applyFont="1" applyFill="1" applyBorder="1" applyAlignment="1" applyProtection="1">
      <alignment horizontal="center" vertical="center" wrapText="1"/>
      <protection locked="0"/>
    </xf>
    <xf numFmtId="3" fontId="29" fillId="11" borderId="6" xfId="0" applyNumberFormat="1" applyFont="1" applyFill="1" applyBorder="1" applyAlignment="1">
      <alignment horizontal="center" vertical="center" wrapText="1"/>
    </xf>
    <xf numFmtId="3" fontId="29" fillId="11" borderId="10" xfId="0" applyNumberFormat="1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30" fillId="11" borderId="6" xfId="1" applyNumberFormat="1" applyFont="1" applyFill="1" applyBorder="1" applyAlignment="1">
      <alignment horizontal="center" vertical="center" wrapText="1"/>
    </xf>
    <xf numFmtId="3" fontId="30" fillId="11" borderId="11" xfId="1" applyNumberFormat="1" applyFont="1" applyFill="1" applyBorder="1" applyAlignment="1">
      <alignment horizontal="center" vertical="center" wrapText="1"/>
    </xf>
    <xf numFmtId="3" fontId="30" fillId="11" borderId="10" xfId="1" applyNumberFormat="1" applyFont="1" applyFill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 wrapText="1"/>
    </xf>
    <xf numFmtId="3" fontId="23" fillId="0" borderId="11" xfId="0" applyNumberFormat="1" applyFont="1" applyBorder="1" applyAlignment="1">
      <alignment horizontal="center" vertical="center" wrapText="1"/>
    </xf>
    <xf numFmtId="3" fontId="23" fillId="0" borderId="10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29" fillId="12" borderId="11" xfId="1" applyNumberFormat="1" applyFont="1" applyFill="1" applyBorder="1" applyAlignment="1">
      <alignment horizontal="center" vertical="center" wrapText="1"/>
    </xf>
    <xf numFmtId="0" fontId="19" fillId="0" borderId="6" xfId="1" applyNumberFormat="1" applyFont="1" applyBorder="1" applyAlignment="1">
      <alignment horizontal="center" vertical="center" wrapText="1"/>
    </xf>
    <xf numFmtId="0" fontId="19" fillId="0" borderId="11" xfId="1" applyNumberFormat="1" applyFont="1" applyBorder="1" applyAlignment="1">
      <alignment horizontal="center" vertical="center" wrapText="1"/>
    </xf>
    <xf numFmtId="0" fontId="19" fillId="0" borderId="10" xfId="1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27" fillId="0" borderId="6" xfId="1" applyNumberFormat="1" applyFont="1" applyBorder="1" applyAlignment="1">
      <alignment horizontal="center" vertical="center" wrapText="1"/>
    </xf>
    <xf numFmtId="0" fontId="27" fillId="0" borderId="11" xfId="1" applyNumberFormat="1" applyFont="1" applyBorder="1" applyAlignment="1">
      <alignment horizontal="center" vertical="center" wrapText="1"/>
    </xf>
    <xf numFmtId="0" fontId="27" fillId="0" borderId="10" xfId="1" applyNumberFormat="1" applyFont="1" applyBorder="1" applyAlignment="1">
      <alignment horizontal="center" vertical="center" wrapText="1"/>
    </xf>
    <xf numFmtId="0" fontId="31" fillId="0" borderId="6" xfId="1" applyNumberFormat="1" applyFont="1" applyBorder="1" applyAlignment="1">
      <alignment horizontal="center" vertical="center" wrapText="1"/>
    </xf>
    <xf numFmtId="0" fontId="31" fillId="0" borderId="11" xfId="1" applyNumberFormat="1" applyFont="1" applyBorder="1" applyAlignment="1">
      <alignment horizontal="center" vertical="center" wrapText="1"/>
    </xf>
    <xf numFmtId="0" fontId="31" fillId="0" borderId="10" xfId="1" applyNumberFormat="1" applyFont="1" applyBorder="1" applyAlignment="1">
      <alignment horizontal="center" vertical="center" wrapText="1"/>
    </xf>
    <xf numFmtId="3" fontId="16" fillId="5" borderId="6" xfId="1" applyNumberFormat="1" applyFont="1" applyFill="1" applyBorder="1" applyAlignment="1">
      <alignment horizontal="center" vertical="top" wrapText="1"/>
    </xf>
    <xf numFmtId="3" fontId="16" fillId="5" borderId="11" xfId="1" applyNumberFormat="1" applyFont="1" applyFill="1" applyBorder="1" applyAlignment="1">
      <alignment horizontal="center" vertical="top" wrapText="1"/>
    </xf>
    <xf numFmtId="3" fontId="16" fillId="5" borderId="10" xfId="1" applyNumberFormat="1" applyFont="1" applyFill="1" applyBorder="1" applyAlignment="1">
      <alignment horizontal="center" vertical="top" wrapText="1"/>
    </xf>
    <xf numFmtId="3" fontId="29" fillId="5" borderId="6" xfId="1" applyNumberFormat="1" applyFont="1" applyFill="1" applyBorder="1" applyAlignment="1">
      <alignment horizontal="center" vertical="top" wrapText="1"/>
    </xf>
    <xf numFmtId="3" fontId="29" fillId="5" borderId="11" xfId="1" applyNumberFormat="1" applyFont="1" applyFill="1" applyBorder="1" applyAlignment="1">
      <alignment horizontal="center" vertical="top" wrapText="1"/>
    </xf>
    <xf numFmtId="3" fontId="29" fillId="5" borderId="10" xfId="1" applyNumberFormat="1" applyFont="1" applyFill="1" applyBorder="1" applyAlignment="1">
      <alignment horizontal="center" vertical="top" wrapText="1"/>
    </xf>
    <xf numFmtId="3" fontId="29" fillId="12" borderId="6" xfId="1" applyNumberFormat="1" applyFont="1" applyFill="1" applyBorder="1" applyAlignment="1">
      <alignment horizontal="center" vertical="top" wrapText="1"/>
    </xf>
    <xf numFmtId="3" fontId="29" fillId="12" borderId="11" xfId="1" applyNumberFormat="1" applyFont="1" applyFill="1" applyBorder="1" applyAlignment="1">
      <alignment horizontal="center" vertical="top" wrapText="1"/>
    </xf>
    <xf numFmtId="3" fontId="29" fillId="12" borderId="10" xfId="1" applyNumberFormat="1" applyFont="1" applyFill="1" applyBorder="1" applyAlignment="1">
      <alignment horizontal="center" vertical="top" wrapText="1"/>
    </xf>
    <xf numFmtId="3" fontId="19" fillId="0" borderId="11" xfId="1" applyNumberFormat="1" applyFont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65" fontId="29" fillId="6" borderId="11" xfId="1" applyNumberFormat="1" applyFont="1" applyFill="1" applyBorder="1" applyAlignment="1">
      <alignment horizontal="center" vertical="center"/>
    </xf>
    <xf numFmtId="164" fontId="27" fillId="0" borderId="6" xfId="1" applyFont="1" applyBorder="1" applyAlignment="1">
      <alignment horizontal="center" vertical="center" wrapText="1"/>
    </xf>
    <xf numFmtId="164" fontId="27" fillId="0" borderId="11" xfId="1" applyFont="1" applyBorder="1" applyAlignment="1">
      <alignment horizontal="center" vertical="center" wrapText="1"/>
    </xf>
    <xf numFmtId="164" fontId="27" fillId="0" borderId="10" xfId="1" applyFont="1" applyBorder="1" applyAlignment="1">
      <alignment horizontal="center" vertical="center" wrapText="1"/>
    </xf>
    <xf numFmtId="0" fontId="10" fillId="0" borderId="6" xfId="1" applyNumberFormat="1" applyFont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22" fillId="0" borderId="6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3" fontId="29" fillId="12" borderId="6" xfId="1" applyNumberFormat="1" applyFont="1" applyFill="1" applyBorder="1" applyAlignment="1">
      <alignment horizontal="center" wrapText="1"/>
    </xf>
    <xf numFmtId="3" fontId="29" fillId="12" borderId="11" xfId="1" applyNumberFormat="1" applyFont="1" applyFill="1" applyBorder="1" applyAlignment="1">
      <alignment horizontal="center" wrapText="1"/>
    </xf>
    <xf numFmtId="3" fontId="29" fillId="12" borderId="10" xfId="1" applyNumberFormat="1" applyFont="1" applyFill="1" applyBorder="1" applyAlignment="1">
      <alignment horizont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3" fontId="29" fillId="5" borderId="11" xfId="1" applyNumberFormat="1" applyFont="1" applyFill="1" applyBorder="1" applyAlignment="1">
      <alignment horizontal="center" vertical="center" wrapText="1"/>
    </xf>
    <xf numFmtId="3" fontId="29" fillId="5" borderId="10" xfId="1" applyNumberFormat="1" applyFont="1" applyFill="1" applyBorder="1" applyAlignment="1">
      <alignment horizontal="center" vertical="center" wrapText="1"/>
    </xf>
    <xf numFmtId="3" fontId="19" fillId="5" borderId="6" xfId="1" applyNumberFormat="1" applyFont="1" applyFill="1" applyBorder="1" applyAlignment="1">
      <alignment horizontal="center" vertical="center" wrapText="1"/>
    </xf>
    <xf numFmtId="3" fontId="19" fillId="5" borderId="11" xfId="1" applyNumberFormat="1" applyFont="1" applyFill="1" applyBorder="1" applyAlignment="1">
      <alignment horizontal="center" vertical="center" wrapText="1"/>
    </xf>
    <xf numFmtId="3" fontId="19" fillId="5" borderId="10" xfId="1" applyNumberFormat="1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/>
    </xf>
    <xf numFmtId="166" fontId="29" fillId="0" borderId="6" xfId="1" applyNumberFormat="1" applyFont="1" applyBorder="1" applyAlignment="1">
      <alignment horizontal="center" vertical="center" wrapText="1"/>
    </xf>
    <xf numFmtId="166" fontId="29" fillId="0" borderId="11" xfId="1" applyNumberFormat="1" applyFont="1" applyBorder="1" applyAlignment="1">
      <alignment horizontal="center" vertical="center" wrapText="1"/>
    </xf>
    <xf numFmtId="166" fontId="29" fillId="0" borderId="10" xfId="1" applyNumberFormat="1" applyFont="1" applyBorder="1" applyAlignment="1">
      <alignment horizontal="center" vertical="center" wrapText="1"/>
    </xf>
    <xf numFmtId="1" fontId="29" fillId="6" borderId="6" xfId="2" applyNumberFormat="1" applyFont="1" applyFill="1" applyBorder="1" applyAlignment="1">
      <alignment horizontal="center" vertical="center"/>
    </xf>
    <xf numFmtId="1" fontId="29" fillId="6" borderId="11" xfId="2" applyNumberFormat="1" applyFont="1" applyFill="1" applyBorder="1" applyAlignment="1">
      <alignment horizontal="center" vertical="center"/>
    </xf>
    <xf numFmtId="1" fontId="29" fillId="6" borderId="10" xfId="2" applyNumberFormat="1" applyFont="1" applyFill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 wrapText="1"/>
    </xf>
    <xf numFmtId="0" fontId="10" fillId="0" borderId="11" xfId="1" applyNumberFormat="1" applyFont="1" applyBorder="1" applyAlignment="1">
      <alignment horizontal="center" vertical="center" wrapText="1"/>
    </xf>
    <xf numFmtId="0" fontId="10" fillId="0" borderId="10" xfId="1" applyNumberFormat="1" applyFont="1" applyBorder="1" applyAlignment="1">
      <alignment horizontal="center" vertical="center" wrapText="1"/>
    </xf>
    <xf numFmtId="3" fontId="29" fillId="0" borderId="6" xfId="1" applyNumberFormat="1" applyFont="1" applyBorder="1" applyAlignment="1">
      <alignment horizontal="center" vertical="center" wrapText="1"/>
    </xf>
    <xf numFmtId="3" fontId="29" fillId="0" borderId="11" xfId="1" applyNumberFormat="1" applyFont="1" applyBorder="1" applyAlignment="1">
      <alignment horizontal="center" vertical="center" wrapText="1"/>
    </xf>
    <xf numFmtId="3" fontId="29" fillId="0" borderId="10" xfId="1" applyNumberFormat="1" applyFont="1" applyBorder="1" applyAlignment="1">
      <alignment horizontal="center" vertical="center" wrapText="1"/>
    </xf>
    <xf numFmtId="4" fontId="19" fillId="0" borderId="6" xfId="1" applyNumberFormat="1" applyFont="1" applyBorder="1" applyAlignment="1">
      <alignment horizontal="center" vertical="center" wrapText="1"/>
    </xf>
    <xf numFmtId="4" fontId="19" fillId="0" borderId="11" xfId="1" applyNumberFormat="1" applyFont="1" applyBorder="1" applyAlignment="1">
      <alignment horizontal="center" vertical="center" wrapText="1"/>
    </xf>
    <xf numFmtId="4" fontId="19" fillId="0" borderId="10" xfId="1" applyNumberFormat="1" applyFont="1" applyBorder="1" applyAlignment="1">
      <alignment horizontal="center" vertical="center" wrapText="1"/>
    </xf>
    <xf numFmtId="165" fontId="29" fillId="0" borderId="6" xfId="1" applyNumberFormat="1" applyFont="1" applyBorder="1" applyAlignment="1">
      <alignment horizontal="center" vertical="center" wrapText="1"/>
    </xf>
    <xf numFmtId="165" fontId="29" fillId="0" borderId="11" xfId="1" applyNumberFormat="1" applyFont="1" applyBorder="1" applyAlignment="1">
      <alignment horizontal="center" vertical="center" wrapText="1"/>
    </xf>
    <xf numFmtId="165" fontId="29" fillId="0" borderId="10" xfId="1" applyNumberFormat="1" applyFont="1" applyBorder="1" applyAlignment="1">
      <alignment horizontal="center" vertical="center" wrapText="1"/>
    </xf>
    <xf numFmtId="165" fontId="19" fillId="0" borderId="6" xfId="1" applyNumberFormat="1" applyFont="1" applyBorder="1" applyAlignment="1">
      <alignment horizontal="center" vertical="center" wrapText="1"/>
    </xf>
    <xf numFmtId="165" fontId="19" fillId="0" borderId="11" xfId="1" applyNumberFormat="1" applyFont="1" applyBorder="1" applyAlignment="1">
      <alignment horizontal="center" vertical="center" wrapText="1"/>
    </xf>
    <xf numFmtId="165" fontId="19" fillId="0" borderId="10" xfId="1" applyNumberFormat="1" applyFont="1" applyBorder="1" applyAlignment="1">
      <alignment horizontal="center" vertical="center" wrapText="1"/>
    </xf>
    <xf numFmtId="164" fontId="19" fillId="0" borderId="6" xfId="1" applyFont="1" applyBorder="1" applyAlignment="1">
      <alignment horizontal="center" vertical="center" wrapText="1"/>
    </xf>
    <xf numFmtId="164" fontId="19" fillId="0" borderId="11" xfId="1" applyFont="1" applyBorder="1" applyAlignment="1">
      <alignment horizontal="center" vertical="center" wrapText="1"/>
    </xf>
    <xf numFmtId="164" fontId="19" fillId="0" borderId="10" xfId="1" applyFont="1" applyBorder="1" applyAlignment="1">
      <alignment horizontal="center" vertical="center" wrapText="1"/>
    </xf>
    <xf numFmtId="0" fontId="10" fillId="0" borderId="10" xfId="1" applyNumberFormat="1" applyFont="1" applyBorder="1" applyAlignment="1">
      <alignment horizontal="center" wrapText="1"/>
    </xf>
    <xf numFmtId="1" fontId="32" fillId="6" borderId="6" xfId="2" applyNumberFormat="1" applyFont="1" applyFill="1" applyBorder="1" applyAlignment="1">
      <alignment horizontal="center" vertical="center"/>
    </xf>
    <xf numFmtId="1" fontId="32" fillId="6" borderId="10" xfId="2" applyNumberFormat="1" applyFont="1" applyFill="1" applyBorder="1" applyAlignment="1">
      <alignment horizontal="center" vertical="center"/>
    </xf>
    <xf numFmtId="0" fontId="27" fillId="5" borderId="6" xfId="1" applyNumberFormat="1" applyFont="1" applyFill="1" applyBorder="1" applyAlignment="1">
      <alignment horizontal="center" vertical="center" wrapText="1"/>
    </xf>
    <xf numFmtId="0" fontId="27" fillId="5" borderId="10" xfId="1" applyNumberFormat="1" applyFont="1" applyFill="1" applyBorder="1" applyAlignment="1">
      <alignment horizontal="center" vertical="center" wrapText="1"/>
    </xf>
    <xf numFmtId="0" fontId="27" fillId="5" borderId="11" xfId="1" applyNumberFormat="1" applyFont="1" applyFill="1" applyBorder="1" applyAlignment="1">
      <alignment horizontal="center" vertical="center" wrapText="1"/>
    </xf>
    <xf numFmtId="0" fontId="22" fillId="0" borderId="11" xfId="0" applyFont="1" applyBorder="1"/>
    <xf numFmtId="0" fontId="22" fillId="0" borderId="10" xfId="0" applyFont="1" applyBorder="1"/>
    <xf numFmtId="0" fontId="32" fillId="6" borderId="6" xfId="2" applyFont="1" applyFill="1" applyBorder="1" applyAlignment="1">
      <alignment horizontal="center" vertical="center"/>
    </xf>
    <xf numFmtId="0" fontId="32" fillId="6" borderId="11" xfId="2" applyFont="1" applyFill="1" applyBorder="1" applyAlignment="1">
      <alignment horizontal="center" vertical="center"/>
    </xf>
    <xf numFmtId="0" fontId="32" fillId="6" borderId="10" xfId="2" applyFont="1" applyFill="1" applyBorder="1" applyAlignment="1">
      <alignment horizontal="center" vertical="center"/>
    </xf>
    <xf numFmtId="165" fontId="19" fillId="5" borderId="6" xfId="1" applyNumberFormat="1" applyFont="1" applyFill="1" applyBorder="1" applyAlignment="1">
      <alignment horizontal="center" vertical="center" wrapText="1"/>
    </xf>
    <xf numFmtId="165" fontId="19" fillId="5" borderId="10" xfId="1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49" fontId="12" fillId="5" borderId="2" xfId="0" applyNumberFormat="1" applyFont="1" applyFill="1" applyBorder="1" applyAlignment="1">
      <alignment horizontal="center" vertical="center" wrapText="1"/>
    </xf>
    <xf numFmtId="49" fontId="12" fillId="5" borderId="14" xfId="0" applyNumberFormat="1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11" fillId="5" borderId="2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center"/>
    </xf>
    <xf numFmtId="4" fontId="11" fillId="5" borderId="14" xfId="0" applyNumberFormat="1" applyFont="1" applyFill="1" applyBorder="1" applyAlignment="1">
      <alignment horizontal="center" vertical="center"/>
    </xf>
    <xf numFmtId="4" fontId="11" fillId="5" borderId="3" xfId="0" applyNumberFormat="1" applyFont="1" applyFill="1" applyBorder="1" applyAlignment="1">
      <alignment horizontal="center" vertical="center"/>
    </xf>
    <xf numFmtId="4" fontId="12" fillId="5" borderId="2" xfId="0" applyNumberFormat="1" applyFont="1" applyFill="1" applyBorder="1" applyAlignment="1">
      <alignment horizontal="center" vertical="center"/>
    </xf>
    <xf numFmtId="4" fontId="12" fillId="5" borderId="14" xfId="0" applyNumberFormat="1" applyFont="1" applyFill="1" applyBorder="1" applyAlignment="1">
      <alignment horizontal="center" vertical="center"/>
    </xf>
    <xf numFmtId="4" fontId="12" fillId="5" borderId="3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4" fontId="11" fillId="5" borderId="8" xfId="0" applyNumberFormat="1" applyFont="1" applyFill="1" applyBorder="1" applyAlignment="1">
      <alignment horizontal="center" vertical="center" wrapText="1"/>
    </xf>
    <xf numFmtId="4" fontId="11" fillId="5" borderId="12" xfId="0" applyNumberFormat="1" applyFont="1" applyFill="1" applyBorder="1" applyAlignment="1">
      <alignment horizontal="center" vertical="center" wrapText="1"/>
    </xf>
    <xf numFmtId="4" fontId="11" fillId="5" borderId="13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1" fontId="32" fillId="6" borderId="11" xfId="2" applyNumberFormat="1" applyFont="1" applyFill="1" applyBorder="1" applyAlignment="1">
      <alignment horizontal="center" vertical="center"/>
    </xf>
    <xf numFmtId="0" fontId="10" fillId="0" borderId="11" xfId="1" applyNumberFormat="1" applyFont="1" applyBorder="1" applyAlignment="1">
      <alignment horizontal="center" wrapText="1"/>
    </xf>
    <xf numFmtId="0" fontId="10" fillId="5" borderId="6" xfId="1" applyNumberFormat="1" applyFont="1" applyFill="1" applyBorder="1" applyAlignment="1">
      <alignment horizontal="center" vertical="center" wrapText="1"/>
    </xf>
    <xf numFmtId="0" fontId="10" fillId="5" borderId="11" xfId="1" applyNumberFormat="1" applyFont="1" applyFill="1" applyBorder="1" applyAlignment="1">
      <alignment horizontal="center" vertical="center" wrapText="1"/>
    </xf>
    <xf numFmtId="0" fontId="10" fillId="5" borderId="10" xfId="1" applyNumberFormat="1" applyFont="1" applyFill="1" applyBorder="1" applyAlignment="1">
      <alignment horizontal="center" vertical="center" wrapText="1"/>
    </xf>
    <xf numFmtId="0" fontId="22" fillId="12" borderId="10" xfId="0" applyFont="1" applyFill="1" applyBorder="1" applyAlignment="1">
      <alignment horizontal="center" vertical="center"/>
    </xf>
    <xf numFmtId="0" fontId="19" fillId="5" borderId="6" xfId="1" applyNumberFormat="1" applyFont="1" applyFill="1" applyBorder="1" applyAlignment="1">
      <alignment horizontal="center" vertical="center" wrapText="1"/>
    </xf>
    <xf numFmtId="0" fontId="19" fillId="5" borderId="11" xfId="1" applyNumberFormat="1" applyFont="1" applyFill="1" applyBorder="1" applyAlignment="1">
      <alignment horizontal="center" vertical="center" wrapText="1"/>
    </xf>
    <xf numFmtId="0" fontId="19" fillId="5" borderId="10" xfId="1" applyNumberFormat="1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/>
    </xf>
    <xf numFmtId="167" fontId="29" fillId="5" borderId="6" xfId="1" applyNumberFormat="1" applyFont="1" applyFill="1" applyBorder="1" applyAlignment="1">
      <alignment horizontal="center" vertical="center" wrapText="1"/>
    </xf>
    <xf numFmtId="167" fontId="29" fillId="5" borderId="11" xfId="1" applyNumberFormat="1" applyFont="1" applyFill="1" applyBorder="1" applyAlignment="1">
      <alignment horizontal="center" vertical="center" wrapText="1"/>
    </xf>
    <xf numFmtId="167" fontId="29" fillId="5" borderId="10" xfId="1" applyNumberFormat="1" applyFont="1" applyFill="1" applyBorder="1" applyAlignment="1">
      <alignment horizontal="center" vertical="center" wrapText="1"/>
    </xf>
    <xf numFmtId="4" fontId="3" fillId="5" borderId="16" xfId="0" applyNumberFormat="1" applyFont="1" applyFill="1" applyBorder="1" applyAlignment="1">
      <alignment horizontal="center" vertical="center" wrapText="1"/>
    </xf>
    <xf numFmtId="4" fontId="3" fillId="5" borderId="5" xfId="0" applyNumberFormat="1" applyFont="1" applyFill="1" applyBorder="1" applyAlignment="1">
      <alignment horizontal="center" vertical="center" wrapText="1"/>
    </xf>
    <xf numFmtId="4" fontId="3" fillId="5" borderId="6" xfId="0" applyNumberFormat="1" applyFont="1" applyFill="1" applyBorder="1" applyAlignment="1">
      <alignment horizontal="center" vertical="center" wrapText="1"/>
    </xf>
    <xf numFmtId="4" fontId="3" fillId="5" borderId="10" xfId="0" applyNumberFormat="1" applyFont="1" applyFill="1" applyBorder="1" applyAlignment="1">
      <alignment horizontal="center" vertical="center" wrapText="1"/>
    </xf>
    <xf numFmtId="3" fontId="29" fillId="11" borderId="11" xfId="0" applyNumberFormat="1" applyFont="1" applyFill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1" fontId="19" fillId="0" borderId="11" xfId="0" applyNumberFormat="1" applyFont="1" applyBorder="1" applyAlignment="1">
      <alignment horizontal="center" vertical="center" wrapText="1"/>
    </xf>
    <xf numFmtId="1" fontId="19" fillId="0" borderId="10" xfId="0" applyNumberFormat="1" applyFont="1" applyBorder="1" applyAlignment="1">
      <alignment horizontal="center" vertical="center" wrapText="1"/>
    </xf>
    <xf numFmtId="4" fontId="19" fillId="0" borderId="6" xfId="0" applyNumberFormat="1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 wrapText="1"/>
    </xf>
    <xf numFmtId="164" fontId="4" fillId="6" borderId="3" xfId="0" applyNumberFormat="1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10" borderId="1" xfId="0" applyNumberFormat="1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left" vertical="top" wrapText="1"/>
    </xf>
    <xf numFmtId="0" fontId="6" fillId="13" borderId="14" xfId="0" applyFont="1" applyFill="1" applyBorder="1" applyAlignment="1">
      <alignment horizontal="left" vertical="top" wrapText="1"/>
    </xf>
    <xf numFmtId="0" fontId="6" fillId="13" borderId="3" xfId="0" applyFont="1" applyFill="1" applyBorder="1" applyAlignment="1">
      <alignment horizontal="left" vertical="top" wrapText="1"/>
    </xf>
    <xf numFmtId="49" fontId="12" fillId="12" borderId="2" xfId="0" applyNumberFormat="1" applyFont="1" applyFill="1" applyBorder="1" applyAlignment="1">
      <alignment horizontal="center" vertical="center" wrapText="1"/>
    </xf>
    <xf numFmtId="49" fontId="12" fillId="12" borderId="14" xfId="0" applyNumberFormat="1" applyFont="1" applyFill="1" applyBorder="1" applyAlignment="1">
      <alignment horizontal="center" vertical="center" wrapText="1"/>
    </xf>
    <xf numFmtId="49" fontId="12" fillId="12" borderId="3" xfId="0" applyNumberFormat="1" applyFont="1" applyFill="1" applyBorder="1" applyAlignment="1">
      <alignment horizontal="center" vertical="center" wrapText="1"/>
    </xf>
    <xf numFmtId="4" fontId="12" fillId="7" borderId="2" xfId="0" applyNumberFormat="1" applyFont="1" applyFill="1" applyBorder="1" applyAlignment="1">
      <alignment horizontal="center" vertical="center"/>
    </xf>
    <xf numFmtId="4" fontId="12" fillId="7" borderId="14" xfId="0" applyNumberFormat="1" applyFont="1" applyFill="1" applyBorder="1" applyAlignment="1">
      <alignment horizontal="center" vertical="center"/>
    </xf>
    <xf numFmtId="4" fontId="12" fillId="7" borderId="3" xfId="0" applyNumberFormat="1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 wrapText="1"/>
    </xf>
    <xf numFmtId="0" fontId="14" fillId="11" borderId="14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49" fontId="11" fillId="12" borderId="2" xfId="0" applyNumberFormat="1" applyFont="1" applyFill="1" applyBorder="1" applyAlignment="1">
      <alignment horizontal="center" vertical="center" wrapText="1"/>
    </xf>
    <xf numFmtId="49" fontId="11" fillId="12" borderId="14" xfId="0" applyNumberFormat="1" applyFont="1" applyFill="1" applyBorder="1" applyAlignment="1">
      <alignment horizontal="center" vertical="center" wrapText="1"/>
    </xf>
    <xf numFmtId="49" fontId="11" fillId="12" borderId="3" xfId="0" applyNumberFormat="1" applyFont="1" applyFill="1" applyBorder="1" applyAlignment="1">
      <alignment horizontal="center" vertical="center" wrapText="1"/>
    </xf>
    <xf numFmtId="4" fontId="11" fillId="7" borderId="2" xfId="0" applyNumberFormat="1" applyFont="1" applyFill="1" applyBorder="1" applyAlignment="1">
      <alignment horizontal="center" vertical="center"/>
    </xf>
    <xf numFmtId="4" fontId="11" fillId="7" borderId="14" xfId="0" applyNumberFormat="1" applyFont="1" applyFill="1" applyBorder="1" applyAlignment="1">
      <alignment horizontal="center" vertical="center"/>
    </xf>
    <xf numFmtId="4" fontId="11" fillId="7" borderId="3" xfId="0" applyNumberFormat="1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11" fillId="11" borderId="14" xfId="0" applyFont="1" applyFill="1" applyBorder="1" applyAlignment="1">
      <alignment horizontal="center" vertical="center"/>
    </xf>
    <xf numFmtId="0" fontId="11" fillId="11" borderId="3" xfId="0" applyFont="1" applyFill="1" applyBorder="1" applyAlignment="1">
      <alignment horizontal="center" vertical="center"/>
    </xf>
    <xf numFmtId="49" fontId="14" fillId="6" borderId="15" xfId="0" applyNumberFormat="1" applyFont="1" applyFill="1" applyBorder="1" applyAlignment="1">
      <alignment horizontal="center" vertical="center" wrapText="1"/>
    </xf>
    <xf numFmtId="49" fontId="14" fillId="6" borderId="8" xfId="0" applyNumberFormat="1" applyFont="1" applyFill="1" applyBorder="1" applyAlignment="1">
      <alignment horizontal="center" vertical="center" wrapText="1"/>
    </xf>
    <xf numFmtId="49" fontId="14" fillId="6" borderId="4" xfId="0" applyNumberFormat="1" applyFont="1" applyFill="1" applyBorder="1" applyAlignment="1">
      <alignment horizontal="center" vertical="center" wrapText="1"/>
    </xf>
    <xf numFmtId="49" fontId="14" fillId="6" borderId="1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2" fontId="55" fillId="19" borderId="2" xfId="0" applyNumberFormat="1" applyFont="1" applyFill="1" applyBorder="1" applyAlignment="1">
      <alignment horizontal="center" vertical="center"/>
    </xf>
    <xf numFmtId="4" fontId="53" fillId="5" borderId="1" xfId="0" applyNumberFormat="1" applyFont="1" applyFill="1" applyBorder="1" applyAlignment="1">
      <alignment horizontal="center" vertical="center"/>
    </xf>
    <xf numFmtId="0" fontId="55" fillId="16" borderId="3" xfId="0" applyFont="1" applyFill="1" applyBorder="1" applyAlignment="1">
      <alignment horizontal="left" vertical="center" wrapText="1"/>
    </xf>
    <xf numFmtId="43" fontId="41" fillId="12" borderId="1" xfId="33" applyFont="1" applyFill="1" applyBorder="1"/>
  </cellXfs>
  <cellStyles count="34">
    <cellStyle name="Normal" xfId="32" xr:uid="{00000000-0005-0000-0000-000000000000}"/>
    <cellStyle name="Акт" xfId="4" xr:uid="{00000000-0005-0000-0000-000001000000}"/>
    <cellStyle name="АктМТСН" xfId="5" xr:uid="{00000000-0005-0000-0000-000002000000}"/>
    <cellStyle name="ВедРесурсов" xfId="6" xr:uid="{00000000-0005-0000-0000-000003000000}"/>
    <cellStyle name="ВедРесурсовАкт" xfId="7" xr:uid="{00000000-0005-0000-0000-000004000000}"/>
    <cellStyle name="Итоги" xfId="8" xr:uid="{00000000-0005-0000-0000-000005000000}"/>
    <cellStyle name="ИтогоАктБазЦ" xfId="9" xr:uid="{00000000-0005-0000-0000-000006000000}"/>
    <cellStyle name="ИтогоАктБИМ" xfId="10" xr:uid="{00000000-0005-0000-0000-000007000000}"/>
    <cellStyle name="ИтогоАктРесМет" xfId="11" xr:uid="{00000000-0005-0000-0000-000008000000}"/>
    <cellStyle name="ИтогоАктТекЦ" xfId="12" xr:uid="{00000000-0005-0000-0000-000009000000}"/>
    <cellStyle name="ИтогоБазЦ" xfId="13" xr:uid="{00000000-0005-0000-0000-00000A000000}"/>
    <cellStyle name="ИтогоБИМ" xfId="14" xr:uid="{00000000-0005-0000-0000-00000B000000}"/>
    <cellStyle name="ИтогоРесМет" xfId="15" xr:uid="{00000000-0005-0000-0000-00000C000000}"/>
    <cellStyle name="ИтогоТекЦ" xfId="16" xr:uid="{00000000-0005-0000-0000-00000D000000}"/>
    <cellStyle name="ЛокСмета" xfId="17" xr:uid="{00000000-0005-0000-0000-00000E000000}"/>
    <cellStyle name="ЛокСмМТСН" xfId="18" xr:uid="{00000000-0005-0000-0000-00000F000000}"/>
    <cellStyle name="М29" xfId="19" xr:uid="{00000000-0005-0000-0000-000010000000}"/>
    <cellStyle name="ОбСмета" xfId="20" xr:uid="{00000000-0005-0000-0000-000011000000}"/>
    <cellStyle name="Обычный" xfId="0" builtinId="0"/>
    <cellStyle name="Обычный 2" xfId="2" xr:uid="{00000000-0005-0000-0000-000013000000}"/>
    <cellStyle name="Обычный 6" xfId="30" xr:uid="{00000000-0005-0000-0000-000014000000}"/>
    <cellStyle name="Обычный 9" xfId="29" xr:uid="{00000000-0005-0000-0000-000015000000}"/>
    <cellStyle name="Обычный_Выполнение декабрь ст. Дно" xfId="31" xr:uid="{00000000-0005-0000-0000-000016000000}"/>
    <cellStyle name="Параметр" xfId="21" xr:uid="{00000000-0005-0000-0000-000017000000}"/>
    <cellStyle name="ПеременныеСметы" xfId="22" xr:uid="{00000000-0005-0000-0000-000018000000}"/>
    <cellStyle name="Процентный" xfId="3" builtinId="5"/>
    <cellStyle name="РесСмета" xfId="23" xr:uid="{00000000-0005-0000-0000-00001A000000}"/>
    <cellStyle name="СводкаСтоимРаб" xfId="24" xr:uid="{00000000-0005-0000-0000-00001B000000}"/>
    <cellStyle name="СводРасч" xfId="25" xr:uid="{00000000-0005-0000-0000-00001C000000}"/>
    <cellStyle name="Титул" xfId="26" xr:uid="{00000000-0005-0000-0000-00001D000000}"/>
    <cellStyle name="Финансовый" xfId="1" builtinId="3"/>
    <cellStyle name="Финансовый 2" xfId="33" xr:uid="{5D78A33A-C766-4939-B5D1-19478337BBA6}"/>
    <cellStyle name="Хвост" xfId="27" xr:uid="{00000000-0005-0000-0000-00001F000000}"/>
    <cellStyle name="Экспертиза" xfId="28" xr:uid="{00000000-0005-0000-0000-000020000000}"/>
  </cellStyles>
  <dxfs count="0"/>
  <tableStyles count="0" defaultTableStyle="TableStyleMedium9" defaultPivotStyle="PivotStyleLight16"/>
  <colors>
    <mruColors>
      <color rgb="FFF2F2F2"/>
      <color rgb="FFFEF2D8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44;&#1062;%20&#1072;&#1074;&#1090;&#1086;&#1084;&#1072;&#1090;.%20&#1101;&#1083;&#1077;&#1082;&#1090;&#1088;&#1086;&#1086;&#1073;.%20&#1089;&#1090;&#1088;&#1077;&#1083;&#1086;&#1082;_&#1071;&#1088;&#1086;&#1089;&#1083;&#1072;&#1074;&#1083;&#1100;%203&#1101;&#1090;%20-%2011.02.25%20&#1089;%20&#1094;&#1077;&#1085;&#1072;&#1084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затрат ИТОГО "/>
      <sheetName val="Свод автом стрел.перевод"/>
      <sheetName val="Работы"/>
      <sheetName val="Материалы"/>
      <sheetName val="Справка"/>
      <sheetName val="Лист1"/>
      <sheetName val="лист"/>
      <sheetName val="Лист2"/>
      <sheetName val="Лист3"/>
    </sheetNames>
    <sheetDataSet>
      <sheetData sheetId="0"/>
      <sheetData sheetId="1"/>
      <sheetData sheetId="2"/>
      <sheetData sheetId="3">
        <row r="73">
          <cell r="F73">
            <v>28975654.809999999</v>
          </cell>
        </row>
        <row r="135">
          <cell r="F135">
            <v>11186243.100000001</v>
          </cell>
        </row>
        <row r="200">
          <cell r="F200">
            <v>11155684.109999999</v>
          </cell>
        </row>
        <row r="265">
          <cell r="F265">
            <v>11293677.550000001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M10"/>
  <sheetViews>
    <sheetView view="pageBreakPreview" zoomScale="80" zoomScaleNormal="100" zoomScaleSheetLayoutView="80" workbookViewId="0">
      <selection activeCell="K4" sqref="K4"/>
    </sheetView>
  </sheetViews>
  <sheetFormatPr defaultRowHeight="14.4" x14ac:dyDescent="0.3"/>
  <cols>
    <col min="1" max="1" width="7.33203125" customWidth="1"/>
    <col min="2" max="2" width="3.5546875" customWidth="1"/>
    <col min="3" max="3" width="43.44140625" customWidth="1"/>
    <col min="4" max="4" width="19.33203125" customWidth="1"/>
    <col min="5" max="5" width="14.5546875" customWidth="1"/>
    <col min="6" max="6" width="14" customWidth="1"/>
    <col min="7" max="7" width="12.109375" customWidth="1"/>
    <col min="8" max="8" width="14" customWidth="1"/>
    <col min="9" max="9" width="12.44140625" customWidth="1"/>
    <col min="10" max="10" width="10.5546875" customWidth="1"/>
    <col min="11" max="12" width="12.44140625" customWidth="1"/>
    <col min="13" max="13" width="35.6640625" customWidth="1"/>
  </cols>
  <sheetData>
    <row r="1" spans="1:13" x14ac:dyDescent="0.3">
      <c r="A1" s="825" t="s">
        <v>13</v>
      </c>
      <c r="B1" s="807" t="s">
        <v>1373</v>
      </c>
      <c r="C1" s="828" t="s">
        <v>1366</v>
      </c>
      <c r="D1" s="831" t="s">
        <v>1378</v>
      </c>
      <c r="E1" s="832"/>
      <c r="F1" s="833"/>
      <c r="G1" s="818" t="s">
        <v>1371</v>
      </c>
      <c r="H1" s="819"/>
      <c r="I1" s="819"/>
      <c r="J1" s="810" t="s">
        <v>1380</v>
      </c>
      <c r="K1" s="811"/>
      <c r="L1" s="812"/>
      <c r="M1" s="816" t="s">
        <v>1372</v>
      </c>
    </row>
    <row r="2" spans="1:13" ht="24" customHeight="1" x14ac:dyDescent="0.3">
      <c r="A2" s="826"/>
      <c r="B2" s="808"/>
      <c r="C2" s="829"/>
      <c r="D2" s="834"/>
      <c r="E2" s="835"/>
      <c r="F2" s="836"/>
      <c r="G2" s="820"/>
      <c r="H2" s="821"/>
      <c r="I2" s="821"/>
      <c r="J2" s="813"/>
      <c r="K2" s="814"/>
      <c r="L2" s="815"/>
      <c r="M2" s="817"/>
    </row>
    <row r="3" spans="1:13" ht="15" thickBot="1" x14ac:dyDescent="0.35">
      <c r="A3" s="827"/>
      <c r="B3" s="809"/>
      <c r="C3" s="830"/>
      <c r="D3" s="445" t="s">
        <v>1367</v>
      </c>
      <c r="E3" s="446" t="s">
        <v>1368</v>
      </c>
      <c r="F3" s="446" t="s">
        <v>1369</v>
      </c>
      <c r="G3" s="447" t="s">
        <v>1367</v>
      </c>
      <c r="H3" s="448" t="s">
        <v>1368</v>
      </c>
      <c r="I3" s="449" t="s">
        <v>1369</v>
      </c>
      <c r="J3" s="450" t="s">
        <v>1367</v>
      </c>
      <c r="K3" s="451" t="s">
        <v>1368</v>
      </c>
      <c r="L3" s="452" t="s">
        <v>1369</v>
      </c>
      <c r="M3" s="453"/>
    </row>
    <row r="4" spans="1:13" ht="31.5" customHeight="1" x14ac:dyDescent="0.3">
      <c r="A4" s="454">
        <v>1</v>
      </c>
      <c r="B4" s="455"/>
      <c r="C4" s="456" t="s">
        <v>1382</v>
      </c>
      <c r="D4" s="457" t="e">
        <f>'ТП Р'!#REF!</f>
        <v>#REF!</v>
      </c>
      <c r="E4" s="458" t="e">
        <f>'ТП М'!#REF!</f>
        <v>#REF!</v>
      </c>
      <c r="F4" s="459" t="e">
        <f>D4+E4</f>
        <v>#REF!</v>
      </c>
      <c r="G4" s="460" t="e">
        <f>'ТП Р'!#REF!</f>
        <v>#REF!</v>
      </c>
      <c r="H4" s="461" t="e">
        <f>'ТП М'!#REF!</f>
        <v>#REF!</v>
      </c>
      <c r="I4" s="462" t="e">
        <f t="shared" ref="I4:I7" si="0">G4+H4</f>
        <v>#REF!</v>
      </c>
      <c r="J4" s="463" t="e">
        <f>D4-G4</f>
        <v>#REF!</v>
      </c>
      <c r="K4" s="464" t="e">
        <f>E4-H4</f>
        <v>#REF!</v>
      </c>
      <c r="L4" s="465" t="e">
        <f>J4+K4</f>
        <v>#REF!</v>
      </c>
      <c r="M4" s="453"/>
    </row>
    <row r="5" spans="1:13" ht="29.25" customHeight="1" x14ac:dyDescent="0.3">
      <c r="A5" s="454">
        <f t="shared" ref="A5:A7" si="1">A4+1</f>
        <v>2</v>
      </c>
      <c r="B5" s="455"/>
      <c r="C5" s="456" t="s">
        <v>1384</v>
      </c>
      <c r="D5" s="466" t="e">
        <f>'ТП Р'!#REF!</f>
        <v>#REF!</v>
      </c>
      <c r="E5" s="467" t="e">
        <f>'ТП М'!#REF!</f>
        <v>#REF!</v>
      </c>
      <c r="F5" s="468" t="e">
        <f t="shared" ref="F5:F7" si="2">D5+E5</f>
        <v>#REF!</v>
      </c>
      <c r="G5" s="460" t="e">
        <f>'ТП Р'!#REF!</f>
        <v>#REF!</v>
      </c>
      <c r="H5" s="469" t="e">
        <f>'ТП М'!#REF!</f>
        <v>#REF!</v>
      </c>
      <c r="I5" s="462" t="e">
        <f t="shared" si="0"/>
        <v>#REF!</v>
      </c>
      <c r="J5" s="463" t="e">
        <f t="shared" ref="J5:J7" si="3">D5-G5</f>
        <v>#REF!</v>
      </c>
      <c r="K5" s="464" t="e">
        <f t="shared" ref="K5:K8" si="4">E5-H5</f>
        <v>#REF!</v>
      </c>
      <c r="L5" s="465" t="e">
        <f>J5+K5</f>
        <v>#REF!</v>
      </c>
      <c r="M5" s="453"/>
    </row>
    <row r="6" spans="1:13" ht="33.75" customHeight="1" x14ac:dyDescent="0.3">
      <c r="A6" s="454">
        <f t="shared" si="1"/>
        <v>3</v>
      </c>
      <c r="B6" s="455"/>
      <c r="C6" s="477" t="s">
        <v>1383</v>
      </c>
      <c r="D6" s="466" t="e">
        <f>'ТП Р'!#REF!</f>
        <v>#REF!</v>
      </c>
      <c r="E6" s="467" t="e">
        <f>'ТП М'!#REF!</f>
        <v>#REF!</v>
      </c>
      <c r="F6" s="468" t="e">
        <f t="shared" si="2"/>
        <v>#REF!</v>
      </c>
      <c r="G6" s="460" t="e">
        <f>'ТП Р'!#REF!</f>
        <v>#REF!</v>
      </c>
      <c r="H6" s="469" t="e">
        <f>'ТП М'!#REF!</f>
        <v>#REF!</v>
      </c>
      <c r="I6" s="462" t="e">
        <f t="shared" si="0"/>
        <v>#REF!</v>
      </c>
      <c r="J6" s="463" t="e">
        <f t="shared" si="3"/>
        <v>#REF!</v>
      </c>
      <c r="K6" s="464" t="e">
        <f t="shared" si="4"/>
        <v>#REF!</v>
      </c>
      <c r="L6" s="465" t="e">
        <f t="shared" ref="L6:L7" si="5">J6+K6</f>
        <v>#REF!</v>
      </c>
      <c r="M6" s="453"/>
    </row>
    <row r="7" spans="1:13" ht="25.5" customHeight="1" x14ac:dyDescent="0.3">
      <c r="A7" s="454">
        <f t="shared" si="1"/>
        <v>4</v>
      </c>
      <c r="B7" s="455"/>
      <c r="C7" s="477" t="s">
        <v>1381</v>
      </c>
      <c r="D7" s="466"/>
      <c r="E7" s="467"/>
      <c r="F7" s="468">
        <f t="shared" si="2"/>
        <v>0</v>
      </c>
      <c r="G7" s="460"/>
      <c r="H7" s="469"/>
      <c r="I7" s="462">
        <f t="shared" si="0"/>
        <v>0</v>
      </c>
      <c r="J7" s="463">
        <f t="shared" si="3"/>
        <v>0</v>
      </c>
      <c r="K7" s="464">
        <f t="shared" si="4"/>
        <v>0</v>
      </c>
      <c r="L7" s="465">
        <f t="shared" si="5"/>
        <v>0</v>
      </c>
      <c r="M7" s="453"/>
    </row>
    <row r="8" spans="1:13" ht="25.5" customHeight="1" thickBot="1" x14ac:dyDescent="0.35">
      <c r="A8" s="822" t="s">
        <v>1370</v>
      </c>
      <c r="B8" s="823"/>
      <c r="C8" s="824"/>
      <c r="D8" s="470" t="e">
        <f t="shared" ref="D8:I8" si="6">SUM(D4:D7)</f>
        <v>#REF!</v>
      </c>
      <c r="E8" s="470" t="e">
        <f t="shared" si="6"/>
        <v>#REF!</v>
      </c>
      <c r="F8" s="471" t="e">
        <f t="shared" si="6"/>
        <v>#REF!</v>
      </c>
      <c r="G8" s="472" t="e">
        <f t="shared" si="6"/>
        <v>#REF!</v>
      </c>
      <c r="H8" s="473" t="e">
        <f t="shared" si="6"/>
        <v>#REF!</v>
      </c>
      <c r="I8" s="474" t="e">
        <f t="shared" si="6"/>
        <v>#REF!</v>
      </c>
      <c r="J8" s="494" t="e">
        <f>D8-G8</f>
        <v>#REF!</v>
      </c>
      <c r="K8" s="495" t="e">
        <f t="shared" si="4"/>
        <v>#REF!</v>
      </c>
      <c r="L8" s="475" t="e">
        <f>SUM(L4:L7)</f>
        <v>#REF!</v>
      </c>
      <c r="M8" s="476"/>
    </row>
    <row r="10" spans="1:13" x14ac:dyDescent="0.3">
      <c r="A10" s="806" t="s">
        <v>1379</v>
      </c>
      <c r="B10" s="806"/>
      <c r="C10" s="806"/>
      <c r="D10" s="806"/>
      <c r="E10" s="806"/>
      <c r="F10" s="444" t="e">
        <f>ROUND((F8)*1.2,0)</f>
        <v>#REF!</v>
      </c>
    </row>
  </sheetData>
  <mergeCells count="9">
    <mergeCell ref="A10:E10"/>
    <mergeCell ref="B1:B3"/>
    <mergeCell ref="J1:L2"/>
    <mergeCell ref="M1:M2"/>
    <mergeCell ref="G1:I2"/>
    <mergeCell ref="A8:C8"/>
    <mergeCell ref="A1:A3"/>
    <mergeCell ref="C1:C3"/>
    <mergeCell ref="D1:F2"/>
  </mergeCells>
  <pageMargins left="0.7" right="0.7" top="0.75" bottom="0.75" header="0.3" footer="0.3"/>
  <pageSetup paperSize="9" scale="4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EC08B-819E-412B-A59A-6A12FCBFC15A}">
  <sheetPr>
    <tabColor theme="8" tint="0.59999389629810485"/>
  </sheetPr>
  <dimension ref="A1:K67"/>
  <sheetViews>
    <sheetView topLeftCell="A39" zoomScale="60" zoomScaleNormal="60" workbookViewId="0">
      <selection activeCell="G66" sqref="G66"/>
    </sheetView>
  </sheetViews>
  <sheetFormatPr defaultRowHeight="18" x14ac:dyDescent="0.3"/>
  <cols>
    <col min="1" max="1" width="6.109375" customWidth="1"/>
    <col min="2" max="2" width="105.88671875" style="106" customWidth="1"/>
    <col min="3" max="3" width="13" style="106" customWidth="1"/>
    <col min="4" max="4" width="13.88671875" customWidth="1"/>
    <col min="5" max="5" width="15.33203125" style="271" customWidth="1"/>
    <col min="6" max="6" width="24.88671875" style="198" customWidth="1"/>
    <col min="7" max="7" width="15" style="295" customWidth="1"/>
    <col min="8" max="8" width="22.44140625" style="209" customWidth="1"/>
    <col min="9" max="9" width="15.5546875" style="271" customWidth="1"/>
    <col min="10" max="10" width="20.109375" style="211" customWidth="1"/>
    <col min="11" max="11" width="25.5546875" style="518" customWidth="1"/>
    <col min="12" max="12" width="26" customWidth="1"/>
  </cols>
  <sheetData>
    <row r="1" spans="1:11" ht="93" customHeight="1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1" ht="23.25" customHeight="1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1375</v>
      </c>
      <c r="H2" s="877"/>
      <c r="I2" s="880" t="s">
        <v>1376</v>
      </c>
      <c r="J2" s="881"/>
    </row>
    <row r="3" spans="1:11" ht="9.75" customHeight="1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1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1" s="483" customFormat="1" ht="19.5" customHeight="1" x14ac:dyDescent="0.35">
      <c r="A5" s="485"/>
      <c r="B5" s="920" t="s">
        <v>2128</v>
      </c>
      <c r="C5" s="921"/>
      <c r="D5" s="921"/>
      <c r="E5" s="921"/>
      <c r="F5" s="921"/>
      <c r="G5" s="921"/>
      <c r="H5" s="921"/>
      <c r="I5" s="921"/>
      <c r="J5" s="921"/>
      <c r="K5" s="490"/>
    </row>
    <row r="6" spans="1:11" ht="23.25" customHeight="1" x14ac:dyDescent="0.3">
      <c r="A6" s="443">
        <f>A5+1</f>
        <v>1</v>
      </c>
      <c r="B6" s="428" t="s">
        <v>2061</v>
      </c>
      <c r="C6" s="442" t="s">
        <v>17</v>
      </c>
      <c r="D6" s="496">
        <f>62.88*1.1+414.58*1.1</f>
        <v>525.20600000000002</v>
      </c>
      <c r="E6" s="647">
        <f t="shared" ref="E6:E39" si="0">ROUND(F6/D6,2)</f>
        <v>516.51</v>
      </c>
      <c r="F6" s="648">
        <f>35726.25+235549.97</f>
        <v>271276.21999999997</v>
      </c>
      <c r="G6" s="767">
        <v>800</v>
      </c>
      <c r="H6" s="783">
        <f t="shared" ref="H6:H66" si="1">G6*D6</f>
        <v>420164.8</v>
      </c>
      <c r="I6" s="482">
        <f t="shared" ref="I6:J37" si="2">E6-G6</f>
        <v>-283.49</v>
      </c>
      <c r="J6" s="481">
        <f t="shared" si="2"/>
        <v>-148888.58000000002</v>
      </c>
    </row>
    <row r="7" spans="1:11" ht="23.25" customHeight="1" x14ac:dyDescent="0.3">
      <c r="A7" s="443">
        <f>A6+1</f>
        <v>2</v>
      </c>
      <c r="B7" s="428" t="s">
        <v>2192</v>
      </c>
      <c r="C7" s="442" t="s">
        <v>17</v>
      </c>
      <c r="D7" s="496">
        <f>62.88*1.15</f>
        <v>72.311999999999998</v>
      </c>
      <c r="E7" s="647">
        <f t="shared" si="0"/>
        <v>933.32</v>
      </c>
      <c r="F7" s="648">
        <v>67490.52</v>
      </c>
      <c r="G7" s="767">
        <v>5000</v>
      </c>
      <c r="H7" s="783">
        <f t="shared" si="1"/>
        <v>361560</v>
      </c>
      <c r="I7" s="482">
        <f t="shared" si="2"/>
        <v>-4066.68</v>
      </c>
      <c r="J7" s="481">
        <f t="shared" si="2"/>
        <v>-294069.48</v>
      </c>
    </row>
    <row r="8" spans="1:11" ht="24" customHeight="1" x14ac:dyDescent="0.3">
      <c r="A8" s="443">
        <f>A7+1</f>
        <v>3</v>
      </c>
      <c r="B8" s="428" t="s">
        <v>2193</v>
      </c>
      <c r="C8" s="442" t="s">
        <v>17</v>
      </c>
      <c r="D8" s="678">
        <f>1386.525*1.02</f>
        <v>1414.2555000000002</v>
      </c>
      <c r="E8" s="547">
        <f t="shared" si="0"/>
        <v>5536.82</v>
      </c>
      <c r="F8" s="747">
        <f>7217907.3+125542.58+487027.54</f>
        <v>7830477.4199999999</v>
      </c>
      <c r="G8" s="767">
        <v>6800</v>
      </c>
      <c r="H8" s="783">
        <f t="shared" si="1"/>
        <v>9616937.4000000022</v>
      </c>
      <c r="I8" s="482">
        <f t="shared" si="2"/>
        <v>-1263.1800000000003</v>
      </c>
      <c r="J8" s="748">
        <f t="shared" si="2"/>
        <v>-1786459.9800000023</v>
      </c>
      <c r="K8" s="489"/>
    </row>
    <row r="9" spans="1:11" s="514" customFormat="1" ht="21.75" customHeight="1" x14ac:dyDescent="0.3">
      <c r="A9" s="731"/>
      <c r="B9" s="507" t="s">
        <v>2194</v>
      </c>
      <c r="C9" s="508" t="s">
        <v>40</v>
      </c>
      <c r="D9" s="509">
        <v>225</v>
      </c>
      <c r="E9" s="510">
        <f t="shared" si="0"/>
        <v>49147</v>
      </c>
      <c r="F9" s="511">
        <v>11058075</v>
      </c>
      <c r="G9" s="780">
        <v>60516.666666666672</v>
      </c>
      <c r="H9" s="784">
        <f t="shared" si="1"/>
        <v>13616250.000000002</v>
      </c>
      <c r="I9" s="512">
        <f t="shared" si="2"/>
        <v>-11369.666666666672</v>
      </c>
      <c r="J9" s="513">
        <f t="shared" si="2"/>
        <v>-2558175.0000000019</v>
      </c>
      <c r="K9" s="521"/>
    </row>
    <row r="10" spans="1:11" s="514" customFormat="1" ht="21.75" customHeight="1" x14ac:dyDescent="0.3">
      <c r="A10" s="731"/>
      <c r="B10" s="507" t="s">
        <v>2195</v>
      </c>
      <c r="C10" s="508" t="s">
        <v>40</v>
      </c>
      <c r="D10" s="509">
        <v>8</v>
      </c>
      <c r="E10" s="510">
        <f t="shared" si="0"/>
        <v>57001</v>
      </c>
      <c r="F10" s="511">
        <v>456008</v>
      </c>
      <c r="G10" s="780">
        <v>60891.666666666672</v>
      </c>
      <c r="H10" s="784">
        <f t="shared" si="1"/>
        <v>487133.33333333337</v>
      </c>
      <c r="I10" s="512">
        <f t="shared" si="2"/>
        <v>-3890.6666666666715</v>
      </c>
      <c r="J10" s="513">
        <f t="shared" si="2"/>
        <v>-31125.333333333372</v>
      </c>
      <c r="K10" s="521"/>
    </row>
    <row r="11" spans="1:11" s="514" customFormat="1" ht="21.75" customHeight="1" x14ac:dyDescent="0.3">
      <c r="A11" s="731"/>
      <c r="B11" s="507" t="s">
        <v>2196</v>
      </c>
      <c r="C11" s="508" t="s">
        <v>40</v>
      </c>
      <c r="D11" s="509">
        <v>50</v>
      </c>
      <c r="E11" s="510">
        <f t="shared" si="0"/>
        <v>63920</v>
      </c>
      <c r="F11" s="511">
        <v>3196000</v>
      </c>
      <c r="G11" s="780">
        <v>76266.666666666672</v>
      </c>
      <c r="H11" s="784">
        <f t="shared" si="1"/>
        <v>3813333.3333333335</v>
      </c>
      <c r="I11" s="512">
        <f t="shared" si="2"/>
        <v>-12346.666666666672</v>
      </c>
      <c r="J11" s="513">
        <f t="shared" si="2"/>
        <v>-617333.33333333349</v>
      </c>
      <c r="K11" s="521"/>
    </row>
    <row r="12" spans="1:11" s="514" customFormat="1" ht="21.75" customHeight="1" x14ac:dyDescent="0.3">
      <c r="A12" s="731"/>
      <c r="B12" s="507" t="s">
        <v>2197</v>
      </c>
      <c r="C12" s="508" t="s">
        <v>40</v>
      </c>
      <c r="D12" s="509">
        <v>1</v>
      </c>
      <c r="E12" s="510">
        <f t="shared" si="0"/>
        <v>94212.3</v>
      </c>
      <c r="F12" s="511">
        <v>94212.3</v>
      </c>
      <c r="G12" s="780">
        <v>88983.333333333343</v>
      </c>
      <c r="H12" s="784">
        <f t="shared" si="1"/>
        <v>88983.333333333343</v>
      </c>
      <c r="I12" s="512">
        <f t="shared" si="2"/>
        <v>5228.9666666666599</v>
      </c>
      <c r="J12" s="513">
        <f t="shared" si="2"/>
        <v>5228.9666666666599</v>
      </c>
      <c r="K12" s="521"/>
    </row>
    <row r="13" spans="1:11" s="514" customFormat="1" ht="21.75" customHeight="1" x14ac:dyDescent="0.3">
      <c r="A13" s="731"/>
      <c r="B13" s="507" t="s">
        <v>2198</v>
      </c>
      <c r="C13" s="508" t="s">
        <v>40</v>
      </c>
      <c r="D13" s="509">
        <v>225</v>
      </c>
      <c r="E13" s="510">
        <f t="shared" si="0"/>
        <v>243950</v>
      </c>
      <c r="F13" s="511">
        <v>54888750</v>
      </c>
      <c r="G13" s="780">
        <v>157270.83333333334</v>
      </c>
      <c r="H13" s="784">
        <f t="shared" si="1"/>
        <v>35385937.5</v>
      </c>
      <c r="I13" s="512">
        <f t="shared" si="2"/>
        <v>86679.166666666657</v>
      </c>
      <c r="J13" s="513">
        <f t="shared" si="2"/>
        <v>19502812.5</v>
      </c>
      <c r="K13" s="521"/>
    </row>
    <row r="14" spans="1:11" s="514" customFormat="1" ht="21.75" customHeight="1" x14ac:dyDescent="0.3">
      <c r="A14" s="731"/>
      <c r="B14" s="507" t="s">
        <v>2199</v>
      </c>
      <c r="C14" s="508" t="s">
        <v>40</v>
      </c>
      <c r="D14" s="509">
        <v>8</v>
      </c>
      <c r="E14" s="510">
        <f t="shared" si="0"/>
        <v>259420</v>
      </c>
      <c r="F14" s="511">
        <v>2075360</v>
      </c>
      <c r="G14" s="780">
        <v>157733.33333333334</v>
      </c>
      <c r="H14" s="784">
        <f t="shared" si="1"/>
        <v>1261866.6666666667</v>
      </c>
      <c r="I14" s="512">
        <f t="shared" si="2"/>
        <v>101686.66666666666</v>
      </c>
      <c r="J14" s="513">
        <f t="shared" si="2"/>
        <v>813493.33333333326</v>
      </c>
      <c r="K14" s="521"/>
    </row>
    <row r="15" spans="1:11" s="514" customFormat="1" ht="21.75" customHeight="1" x14ac:dyDescent="0.3">
      <c r="A15" s="731"/>
      <c r="B15" s="507" t="s">
        <v>2200</v>
      </c>
      <c r="C15" s="508" t="s">
        <v>40</v>
      </c>
      <c r="D15" s="509">
        <v>50</v>
      </c>
      <c r="E15" s="510">
        <f t="shared" si="0"/>
        <v>308448</v>
      </c>
      <c r="F15" s="511">
        <v>15422400</v>
      </c>
      <c r="G15" s="780">
        <v>205091.66666666669</v>
      </c>
      <c r="H15" s="784">
        <f t="shared" si="1"/>
        <v>10254583.333333334</v>
      </c>
      <c r="I15" s="512">
        <f t="shared" si="2"/>
        <v>103356.33333333331</v>
      </c>
      <c r="J15" s="513">
        <f t="shared" si="2"/>
        <v>5167816.666666666</v>
      </c>
      <c r="K15" s="521"/>
    </row>
    <row r="16" spans="1:11" s="514" customFormat="1" ht="21.75" customHeight="1" x14ac:dyDescent="0.3">
      <c r="A16" s="731"/>
      <c r="B16" s="507" t="s">
        <v>2201</v>
      </c>
      <c r="C16" s="508" t="s">
        <v>40</v>
      </c>
      <c r="D16" s="509">
        <v>1</v>
      </c>
      <c r="E16" s="510">
        <f t="shared" si="0"/>
        <v>393717.45</v>
      </c>
      <c r="F16" s="511">
        <v>393717.45</v>
      </c>
      <c r="G16" s="780">
        <v>168091.66666666669</v>
      </c>
      <c r="H16" s="784">
        <f t="shared" si="1"/>
        <v>168091.66666666669</v>
      </c>
      <c r="I16" s="512">
        <f t="shared" si="2"/>
        <v>225625.78333333333</v>
      </c>
      <c r="J16" s="513">
        <f t="shared" si="2"/>
        <v>225625.78333333333</v>
      </c>
      <c r="K16" s="521"/>
    </row>
    <row r="17" spans="1:11" ht="24" customHeight="1" x14ac:dyDescent="0.3">
      <c r="A17" s="443">
        <f>A8+1</f>
        <v>4</v>
      </c>
      <c r="B17" s="428" t="s">
        <v>2202</v>
      </c>
      <c r="C17" s="422" t="s">
        <v>28</v>
      </c>
      <c r="D17" s="529">
        <v>147.98519999999999</v>
      </c>
      <c r="E17" s="647">
        <f t="shared" si="0"/>
        <v>4131.34</v>
      </c>
      <c r="F17" s="648">
        <v>611376.64000000001</v>
      </c>
      <c r="G17" s="767">
        <v>5500</v>
      </c>
      <c r="H17" s="783">
        <f t="shared" si="1"/>
        <v>813918.6</v>
      </c>
      <c r="I17" s="482">
        <f t="shared" si="2"/>
        <v>-1368.6599999999999</v>
      </c>
      <c r="J17" s="481">
        <f t="shared" si="2"/>
        <v>-202541.95999999996</v>
      </c>
      <c r="K17" s="520"/>
    </row>
    <row r="18" spans="1:11" s="514" customFormat="1" ht="21.75" customHeight="1" x14ac:dyDescent="0.3">
      <c r="A18" s="731"/>
      <c r="B18" s="507" t="s">
        <v>2203</v>
      </c>
      <c r="C18" s="508" t="s">
        <v>5</v>
      </c>
      <c r="D18" s="516">
        <f>15820*1.02</f>
        <v>16136.4</v>
      </c>
      <c r="E18" s="510">
        <f t="shared" si="0"/>
        <v>1466.25</v>
      </c>
      <c r="F18" s="511">
        <v>23659996.5</v>
      </c>
      <c r="G18" s="780">
        <v>950</v>
      </c>
      <c r="H18" s="784">
        <f t="shared" si="1"/>
        <v>15329580</v>
      </c>
      <c r="I18" s="512">
        <f t="shared" si="2"/>
        <v>516.25</v>
      </c>
      <c r="J18" s="513">
        <f t="shared" si="2"/>
        <v>8330416.5</v>
      </c>
      <c r="K18" s="521"/>
    </row>
    <row r="19" spans="1:11" s="514" customFormat="1" ht="21.75" customHeight="1" x14ac:dyDescent="0.3">
      <c r="A19" s="731"/>
      <c r="B19" s="507" t="s">
        <v>2204</v>
      </c>
      <c r="C19" s="508" t="s">
        <v>5</v>
      </c>
      <c r="D19" s="516">
        <f>2660*1.02</f>
        <v>2713.2000000000003</v>
      </c>
      <c r="E19" s="510">
        <f t="shared" si="0"/>
        <v>1654.1</v>
      </c>
      <c r="F19" s="511">
        <v>4487904.12</v>
      </c>
      <c r="G19" s="780">
        <v>916.66666666666674</v>
      </c>
      <c r="H19" s="784">
        <f t="shared" si="1"/>
        <v>2487100.0000000005</v>
      </c>
      <c r="I19" s="512">
        <f t="shared" si="2"/>
        <v>737.43333333333317</v>
      </c>
      <c r="J19" s="513">
        <f t="shared" si="2"/>
        <v>2000804.1199999996</v>
      </c>
      <c r="K19" s="521"/>
    </row>
    <row r="20" spans="1:11" s="514" customFormat="1" ht="21.75" customHeight="1" x14ac:dyDescent="0.3">
      <c r="A20" s="731"/>
      <c r="B20" s="507" t="s">
        <v>2205</v>
      </c>
      <c r="C20" s="508" t="s">
        <v>40</v>
      </c>
      <c r="D20" s="509">
        <v>526</v>
      </c>
      <c r="E20" s="510">
        <f t="shared" si="0"/>
        <v>2106.3000000000002</v>
      </c>
      <c r="F20" s="511">
        <v>1107913.8</v>
      </c>
      <c r="G20" s="780">
        <v>2383.3333333333335</v>
      </c>
      <c r="H20" s="784">
        <f t="shared" si="1"/>
        <v>1253633.3333333335</v>
      </c>
      <c r="I20" s="512">
        <f t="shared" si="2"/>
        <v>-277.0333333333333</v>
      </c>
      <c r="J20" s="513">
        <f t="shared" si="2"/>
        <v>-145719.53333333344</v>
      </c>
      <c r="K20" s="521"/>
    </row>
    <row r="21" spans="1:11" s="514" customFormat="1" ht="21.75" customHeight="1" x14ac:dyDescent="0.3">
      <c r="A21" s="731"/>
      <c r="B21" s="507" t="s">
        <v>2206</v>
      </c>
      <c r="C21" s="508" t="s">
        <v>40</v>
      </c>
      <c r="D21" s="509">
        <v>42</v>
      </c>
      <c r="E21" s="510">
        <f t="shared" si="0"/>
        <v>4635.05</v>
      </c>
      <c r="F21" s="511">
        <v>194672.1</v>
      </c>
      <c r="G21" s="780">
        <v>5225</v>
      </c>
      <c r="H21" s="784">
        <f t="shared" si="1"/>
        <v>219450</v>
      </c>
      <c r="I21" s="512">
        <f t="shared" si="2"/>
        <v>-589.94999999999982</v>
      </c>
      <c r="J21" s="513">
        <f t="shared" si="2"/>
        <v>-24777.899999999994</v>
      </c>
      <c r="K21" s="521"/>
    </row>
    <row r="22" spans="1:11" s="514" customFormat="1" ht="21.75" customHeight="1" x14ac:dyDescent="0.3">
      <c r="A22" s="731"/>
      <c r="B22" s="507" t="s">
        <v>2207</v>
      </c>
      <c r="C22" s="508" t="s">
        <v>40</v>
      </c>
      <c r="D22" s="509">
        <v>204</v>
      </c>
      <c r="E22" s="510">
        <f t="shared" si="0"/>
        <v>2754.85</v>
      </c>
      <c r="F22" s="511">
        <v>561989.4</v>
      </c>
      <c r="G22" s="780">
        <v>3433.3333333333335</v>
      </c>
      <c r="H22" s="784">
        <f t="shared" si="1"/>
        <v>700400</v>
      </c>
      <c r="I22" s="512">
        <f t="shared" si="2"/>
        <v>-678.48333333333358</v>
      </c>
      <c r="J22" s="513">
        <f t="shared" si="2"/>
        <v>-138410.59999999998</v>
      </c>
      <c r="K22" s="521"/>
    </row>
    <row r="23" spans="1:11" s="514" customFormat="1" ht="21.75" customHeight="1" x14ac:dyDescent="0.3">
      <c r="A23" s="731"/>
      <c r="B23" s="507" t="s">
        <v>2208</v>
      </c>
      <c r="C23" s="508" t="s">
        <v>40</v>
      </c>
      <c r="D23" s="509">
        <v>604</v>
      </c>
      <c r="E23" s="510">
        <f t="shared" si="0"/>
        <v>2986.9</v>
      </c>
      <c r="F23" s="511">
        <v>1804087.6</v>
      </c>
      <c r="G23" s="780">
        <v>3375</v>
      </c>
      <c r="H23" s="784">
        <f t="shared" si="1"/>
        <v>2038500</v>
      </c>
      <c r="I23" s="512">
        <f t="shared" si="2"/>
        <v>-388.09999999999991</v>
      </c>
      <c r="J23" s="513">
        <f t="shared" si="2"/>
        <v>-234412.39999999991</v>
      </c>
      <c r="K23" s="521"/>
    </row>
    <row r="24" spans="1:11" s="514" customFormat="1" ht="21.75" customHeight="1" x14ac:dyDescent="0.3">
      <c r="A24" s="731"/>
      <c r="B24" s="507" t="s">
        <v>2209</v>
      </c>
      <c r="C24" s="508" t="s">
        <v>40</v>
      </c>
      <c r="D24" s="509">
        <v>8</v>
      </c>
      <c r="E24" s="510">
        <f t="shared" si="0"/>
        <v>7746.9</v>
      </c>
      <c r="F24" s="511">
        <v>61975.199999999997</v>
      </c>
      <c r="G24" s="780">
        <v>8741.6666666666679</v>
      </c>
      <c r="H24" s="784">
        <f t="shared" si="1"/>
        <v>69933.333333333343</v>
      </c>
      <c r="I24" s="512">
        <f t="shared" si="2"/>
        <v>-994.76666666666824</v>
      </c>
      <c r="J24" s="513">
        <f t="shared" si="2"/>
        <v>-7958.1333333333459</v>
      </c>
      <c r="K24" s="521"/>
    </row>
    <row r="25" spans="1:11" s="514" customFormat="1" ht="21.75" customHeight="1" x14ac:dyDescent="0.3">
      <c r="A25" s="731"/>
      <c r="B25" s="507" t="s">
        <v>2210</v>
      </c>
      <c r="C25" s="508" t="s">
        <v>40</v>
      </c>
      <c r="D25" s="509">
        <v>18</v>
      </c>
      <c r="E25" s="510">
        <f t="shared" si="0"/>
        <v>5688.2</v>
      </c>
      <c r="F25" s="511">
        <v>102387.6</v>
      </c>
      <c r="G25" s="780">
        <v>6416.666666666667</v>
      </c>
      <c r="H25" s="784">
        <f t="shared" si="1"/>
        <v>115500</v>
      </c>
      <c r="I25" s="512">
        <f t="shared" si="2"/>
        <v>-728.46666666666715</v>
      </c>
      <c r="J25" s="513">
        <f t="shared" si="2"/>
        <v>-13112.399999999994</v>
      </c>
      <c r="K25" s="521"/>
    </row>
    <row r="26" spans="1:11" s="514" customFormat="1" ht="21.75" customHeight="1" x14ac:dyDescent="0.3">
      <c r="A26" s="731"/>
      <c r="B26" s="507" t="s">
        <v>2211</v>
      </c>
      <c r="C26" s="508" t="s">
        <v>40</v>
      </c>
      <c r="D26" s="509">
        <v>224</v>
      </c>
      <c r="E26" s="510">
        <f t="shared" si="0"/>
        <v>3427.2</v>
      </c>
      <c r="F26" s="511">
        <v>767692.80000000005</v>
      </c>
      <c r="G26" s="780">
        <v>3858.3333333333335</v>
      </c>
      <c r="H26" s="784">
        <f t="shared" si="1"/>
        <v>864266.66666666674</v>
      </c>
      <c r="I26" s="512">
        <f t="shared" si="2"/>
        <v>-431.13333333333367</v>
      </c>
      <c r="J26" s="513">
        <f t="shared" si="2"/>
        <v>-96573.866666666698</v>
      </c>
      <c r="K26" s="521"/>
    </row>
    <row r="27" spans="1:11" s="514" customFormat="1" ht="21.75" customHeight="1" x14ac:dyDescent="0.3">
      <c r="A27" s="731"/>
      <c r="B27" s="507" t="s">
        <v>2212</v>
      </c>
      <c r="C27" s="508" t="s">
        <v>40</v>
      </c>
      <c r="D27" s="509">
        <v>302</v>
      </c>
      <c r="E27" s="510">
        <f t="shared" si="0"/>
        <v>4272.1000000000004</v>
      </c>
      <c r="F27" s="511">
        <v>1290174.2</v>
      </c>
      <c r="G27" s="780">
        <v>4608.3333333333339</v>
      </c>
      <c r="H27" s="784">
        <f t="shared" si="1"/>
        <v>1391716.6666666667</v>
      </c>
      <c r="I27" s="512">
        <f t="shared" si="2"/>
        <v>-336.23333333333358</v>
      </c>
      <c r="J27" s="513">
        <f t="shared" si="2"/>
        <v>-101542.46666666679</v>
      </c>
      <c r="K27" s="521"/>
    </row>
    <row r="28" spans="1:11" s="514" customFormat="1" ht="21.75" customHeight="1" x14ac:dyDescent="0.3">
      <c r="A28" s="731"/>
      <c r="B28" s="507" t="s">
        <v>2213</v>
      </c>
      <c r="C28" s="508" t="s">
        <v>40</v>
      </c>
      <c r="D28" s="509">
        <v>5</v>
      </c>
      <c r="E28" s="510">
        <f t="shared" si="0"/>
        <v>5515.65</v>
      </c>
      <c r="F28" s="511">
        <v>27578.25</v>
      </c>
      <c r="G28" s="769">
        <v>5515.65</v>
      </c>
      <c r="H28" s="784">
        <f t="shared" si="1"/>
        <v>27578.25</v>
      </c>
      <c r="I28" s="512">
        <f t="shared" si="2"/>
        <v>0</v>
      </c>
      <c r="J28" s="513">
        <f t="shared" si="2"/>
        <v>0</v>
      </c>
      <c r="K28" s="521"/>
    </row>
    <row r="29" spans="1:11" ht="24" customHeight="1" x14ac:dyDescent="0.3">
      <c r="A29" s="443"/>
      <c r="B29" s="741" t="s">
        <v>2214</v>
      </c>
      <c r="C29" s="422" t="s">
        <v>364</v>
      </c>
      <c r="D29" s="529">
        <v>53</v>
      </c>
      <c r="E29" s="647">
        <f t="shared" si="0"/>
        <v>2227.92</v>
      </c>
      <c r="F29" s="648">
        <v>118079.95</v>
      </c>
      <c r="G29" s="767">
        <v>1450</v>
      </c>
      <c r="H29" s="783">
        <f t="shared" si="1"/>
        <v>76850</v>
      </c>
      <c r="I29" s="482">
        <f t="shared" si="2"/>
        <v>777.92000000000007</v>
      </c>
      <c r="J29" s="481">
        <f t="shared" si="2"/>
        <v>41229.949999999997</v>
      </c>
      <c r="K29" s="519"/>
    </row>
    <row r="30" spans="1:11" s="514" customFormat="1" ht="21.75" customHeight="1" x14ac:dyDescent="0.3">
      <c r="A30" s="731"/>
      <c r="B30" s="507" t="s">
        <v>2089</v>
      </c>
      <c r="C30" s="508" t="s">
        <v>40</v>
      </c>
      <c r="D30" s="509">
        <v>27</v>
      </c>
      <c r="E30" s="510">
        <f t="shared" si="0"/>
        <v>2618</v>
      </c>
      <c r="F30" s="511">
        <v>70686</v>
      </c>
      <c r="G30" s="769">
        <v>2618</v>
      </c>
      <c r="H30" s="784">
        <f t="shared" si="1"/>
        <v>70686</v>
      </c>
      <c r="I30" s="512">
        <f t="shared" si="2"/>
        <v>0</v>
      </c>
      <c r="J30" s="513">
        <f t="shared" si="2"/>
        <v>0</v>
      </c>
      <c r="K30" s="521"/>
    </row>
    <row r="31" spans="1:11" s="514" customFormat="1" ht="21.75" customHeight="1" x14ac:dyDescent="0.3">
      <c r="A31" s="731"/>
      <c r="B31" s="507" t="s">
        <v>2215</v>
      </c>
      <c r="C31" s="508" t="s">
        <v>40</v>
      </c>
      <c r="D31" s="509">
        <v>36</v>
      </c>
      <c r="E31" s="510">
        <f t="shared" si="0"/>
        <v>578000</v>
      </c>
      <c r="F31" s="511">
        <v>20808000</v>
      </c>
      <c r="G31" s="780">
        <v>541666.66666666674</v>
      </c>
      <c r="H31" s="784">
        <f t="shared" si="1"/>
        <v>19500000.000000004</v>
      </c>
      <c r="I31" s="512">
        <f t="shared" si="2"/>
        <v>36333.333333333256</v>
      </c>
      <c r="J31" s="513">
        <f t="shared" si="2"/>
        <v>1307999.9999999963</v>
      </c>
      <c r="K31" s="521"/>
    </row>
    <row r="32" spans="1:11" s="514" customFormat="1" ht="21.75" customHeight="1" x14ac:dyDescent="0.3">
      <c r="A32" s="731"/>
      <c r="B32" s="507" t="s">
        <v>2216</v>
      </c>
      <c r="C32" s="508" t="s">
        <v>40</v>
      </c>
      <c r="D32" s="509">
        <v>2</v>
      </c>
      <c r="E32" s="510">
        <f t="shared" si="0"/>
        <v>441424.55</v>
      </c>
      <c r="F32" s="511">
        <v>882849.1</v>
      </c>
      <c r="G32" s="769">
        <v>441424.55</v>
      </c>
      <c r="H32" s="784">
        <f t="shared" si="1"/>
        <v>882849.1</v>
      </c>
      <c r="I32" s="512">
        <f t="shared" si="2"/>
        <v>0</v>
      </c>
      <c r="J32" s="513">
        <f t="shared" si="2"/>
        <v>0</v>
      </c>
      <c r="K32" s="521"/>
    </row>
    <row r="33" spans="1:11" s="514" customFormat="1" ht="21.75" customHeight="1" x14ac:dyDescent="0.3">
      <c r="A33" s="731"/>
      <c r="B33" s="507" t="s">
        <v>2217</v>
      </c>
      <c r="C33" s="508" t="s">
        <v>40</v>
      </c>
      <c r="D33" s="509">
        <v>36</v>
      </c>
      <c r="E33" s="510">
        <f t="shared" si="0"/>
        <v>1082.9000000000001</v>
      </c>
      <c r="F33" s="511">
        <v>38984.400000000001</v>
      </c>
      <c r="G33" s="769">
        <v>1082.9000000000001</v>
      </c>
      <c r="H33" s="784">
        <f t="shared" si="1"/>
        <v>38984.400000000001</v>
      </c>
      <c r="I33" s="512">
        <f t="shared" si="2"/>
        <v>0</v>
      </c>
      <c r="J33" s="513">
        <f t="shared" si="2"/>
        <v>0</v>
      </c>
      <c r="K33" s="521"/>
    </row>
    <row r="34" spans="1:11" s="514" customFormat="1" ht="21.75" customHeight="1" x14ac:dyDescent="0.3">
      <c r="A34" s="731"/>
      <c r="B34" s="507" t="s">
        <v>2218</v>
      </c>
      <c r="C34" s="508" t="s">
        <v>40</v>
      </c>
      <c r="D34" s="509">
        <v>36</v>
      </c>
      <c r="E34" s="510">
        <f t="shared" si="0"/>
        <v>8734.6</v>
      </c>
      <c r="F34" s="511">
        <v>314445.59999999998</v>
      </c>
      <c r="G34" s="769">
        <v>8734.6</v>
      </c>
      <c r="H34" s="784">
        <f t="shared" si="1"/>
        <v>314445.60000000003</v>
      </c>
      <c r="I34" s="512">
        <f t="shared" si="2"/>
        <v>0</v>
      </c>
      <c r="J34" s="513">
        <f t="shared" si="2"/>
        <v>0</v>
      </c>
      <c r="K34" s="521"/>
    </row>
    <row r="35" spans="1:11" s="514" customFormat="1" ht="21.75" customHeight="1" x14ac:dyDescent="0.3">
      <c r="A35" s="731"/>
      <c r="B35" s="507" t="s">
        <v>2219</v>
      </c>
      <c r="C35" s="508" t="s">
        <v>5</v>
      </c>
      <c r="D35" s="516">
        <f>7.27*1000*1.02</f>
        <v>7415.4000000000005</v>
      </c>
      <c r="E35" s="510">
        <f t="shared" si="0"/>
        <v>168.3</v>
      </c>
      <c r="F35" s="511">
        <v>1248011.82</v>
      </c>
      <c r="G35" s="780">
        <v>120.83333333333334</v>
      </c>
      <c r="H35" s="784">
        <f t="shared" si="1"/>
        <v>896027.50000000012</v>
      </c>
      <c r="I35" s="512">
        <f t="shared" si="2"/>
        <v>47.466666666666669</v>
      </c>
      <c r="J35" s="513">
        <f t="shared" si="2"/>
        <v>351984.31999999995</v>
      </c>
      <c r="K35" s="521"/>
    </row>
    <row r="36" spans="1:11" s="514" customFormat="1" ht="21.75" customHeight="1" x14ac:dyDescent="0.3">
      <c r="A36" s="731"/>
      <c r="B36" s="507" t="s">
        <v>2220</v>
      </c>
      <c r="C36" s="508" t="s">
        <v>5</v>
      </c>
      <c r="D36" s="516">
        <v>100</v>
      </c>
      <c r="E36" s="510">
        <f t="shared" si="0"/>
        <v>119</v>
      </c>
      <c r="F36" s="511">
        <v>11900</v>
      </c>
      <c r="G36" s="769">
        <v>119</v>
      </c>
      <c r="H36" s="784">
        <f t="shared" si="1"/>
        <v>11900</v>
      </c>
      <c r="I36" s="512">
        <f t="shared" si="2"/>
        <v>0</v>
      </c>
      <c r="J36" s="513">
        <f t="shared" si="2"/>
        <v>0</v>
      </c>
      <c r="K36" s="521"/>
    </row>
    <row r="37" spans="1:11" s="514" customFormat="1" ht="21.75" customHeight="1" x14ac:dyDescent="0.3">
      <c r="A37" s="731"/>
      <c r="B37" s="507" t="s">
        <v>2221</v>
      </c>
      <c r="C37" s="508" t="s">
        <v>40</v>
      </c>
      <c r="D37" s="509">
        <v>75</v>
      </c>
      <c r="E37" s="510">
        <f t="shared" si="0"/>
        <v>142573.9</v>
      </c>
      <c r="F37" s="511">
        <v>10693042.5</v>
      </c>
      <c r="G37" s="780">
        <v>160741.66666666669</v>
      </c>
      <c r="H37" s="784">
        <f t="shared" si="1"/>
        <v>12055625.000000002</v>
      </c>
      <c r="I37" s="512">
        <f t="shared" si="2"/>
        <v>-18167.766666666692</v>
      </c>
      <c r="J37" s="513">
        <f t="shared" si="2"/>
        <v>-1362582.5000000019</v>
      </c>
      <c r="K37" s="521"/>
    </row>
    <row r="38" spans="1:11" s="514" customFormat="1" ht="21.75" customHeight="1" x14ac:dyDescent="0.3">
      <c r="A38" s="731"/>
      <c r="B38" s="507" t="s">
        <v>2222</v>
      </c>
      <c r="C38" s="508" t="s">
        <v>40</v>
      </c>
      <c r="D38" s="509">
        <v>59</v>
      </c>
      <c r="E38" s="510">
        <f t="shared" si="0"/>
        <v>116620</v>
      </c>
      <c r="F38" s="511">
        <v>6880580</v>
      </c>
      <c r="G38" s="780">
        <v>152183.33333333334</v>
      </c>
      <c r="H38" s="784">
        <f t="shared" si="1"/>
        <v>8978816.6666666679</v>
      </c>
      <c r="I38" s="512">
        <f t="shared" ref="I38:J66" si="3">E38-G38</f>
        <v>-35563.333333333343</v>
      </c>
      <c r="J38" s="513">
        <f t="shared" si="3"/>
        <v>-2098236.6666666679</v>
      </c>
      <c r="K38" s="521"/>
    </row>
    <row r="39" spans="1:11" s="514" customFormat="1" ht="21.75" customHeight="1" x14ac:dyDescent="0.3">
      <c r="A39" s="731"/>
      <c r="B39" s="507" t="s">
        <v>2223</v>
      </c>
      <c r="C39" s="508" t="s">
        <v>40</v>
      </c>
      <c r="D39" s="509">
        <v>10</v>
      </c>
      <c r="E39" s="510">
        <f t="shared" si="0"/>
        <v>78129.45</v>
      </c>
      <c r="F39" s="511">
        <v>781294.5</v>
      </c>
      <c r="G39" s="780">
        <v>116266.66666666667</v>
      </c>
      <c r="H39" s="784">
        <f t="shared" si="1"/>
        <v>1162666.6666666667</v>
      </c>
      <c r="I39" s="512">
        <f t="shared" si="3"/>
        <v>-38137.216666666674</v>
      </c>
      <c r="J39" s="513">
        <f t="shared" si="3"/>
        <v>-381372.16666666674</v>
      </c>
      <c r="K39" s="521"/>
    </row>
    <row r="40" spans="1:11" s="514" customFormat="1" ht="21.75" customHeight="1" x14ac:dyDescent="0.3">
      <c r="A40" s="731"/>
      <c r="B40" s="507" t="s">
        <v>2224</v>
      </c>
      <c r="C40" s="508" t="s">
        <v>40</v>
      </c>
      <c r="D40" s="509">
        <v>7</v>
      </c>
      <c r="E40" s="510">
        <f>F40/11</f>
        <v>44679.090909090912</v>
      </c>
      <c r="F40" s="511">
        <v>491470</v>
      </c>
      <c r="G40" s="780">
        <v>104483.33333333334</v>
      </c>
      <c r="H40" s="784">
        <f t="shared" si="1"/>
        <v>731383.33333333337</v>
      </c>
      <c r="I40" s="512">
        <f t="shared" si="3"/>
        <v>-59804.242424242431</v>
      </c>
      <c r="J40" s="513">
        <f t="shared" si="3"/>
        <v>-239913.33333333337</v>
      </c>
      <c r="K40" s="521"/>
    </row>
    <row r="41" spans="1:11" s="514" customFormat="1" ht="21.75" customHeight="1" x14ac:dyDescent="0.3">
      <c r="A41" s="731"/>
      <c r="B41" s="507" t="s">
        <v>2225</v>
      </c>
      <c r="C41" s="508" t="s">
        <v>40</v>
      </c>
      <c r="D41" s="509">
        <v>12</v>
      </c>
      <c r="E41" s="510">
        <f>F41/11</f>
        <v>89340.872727272726</v>
      </c>
      <c r="F41" s="511">
        <v>982749.6</v>
      </c>
      <c r="G41" s="780">
        <v>92333.333333333343</v>
      </c>
      <c r="H41" s="784">
        <f t="shared" si="1"/>
        <v>1108000</v>
      </c>
      <c r="I41" s="512">
        <f t="shared" si="3"/>
        <v>-2992.4606060606166</v>
      </c>
      <c r="J41" s="513">
        <f t="shared" si="3"/>
        <v>-125250.40000000002</v>
      </c>
      <c r="K41" s="521"/>
    </row>
    <row r="42" spans="1:11" s="514" customFormat="1" ht="21.75" customHeight="1" x14ac:dyDescent="0.3">
      <c r="A42" s="731"/>
      <c r="B42" s="507" t="s">
        <v>2226</v>
      </c>
      <c r="C42" s="508" t="s">
        <v>40</v>
      </c>
      <c r="D42" s="509">
        <v>171</v>
      </c>
      <c r="E42" s="510">
        <f>F42/11</f>
        <v>1471391.2636363637</v>
      </c>
      <c r="F42" s="511">
        <v>16185303.9</v>
      </c>
      <c r="G42" s="780">
        <v>112083.33333333334</v>
      </c>
      <c r="H42" s="784">
        <f t="shared" si="1"/>
        <v>19166250</v>
      </c>
      <c r="I42" s="512">
        <f t="shared" si="3"/>
        <v>1359307.9303030304</v>
      </c>
      <c r="J42" s="513">
        <f t="shared" si="3"/>
        <v>-2980946.0999999996</v>
      </c>
      <c r="K42" s="521"/>
    </row>
    <row r="43" spans="1:11" s="514" customFormat="1" ht="21.75" customHeight="1" x14ac:dyDescent="0.3">
      <c r="A43" s="731"/>
      <c r="B43" s="507" t="s">
        <v>2227</v>
      </c>
      <c r="C43" s="508" t="s">
        <v>40</v>
      </c>
      <c r="D43" s="509">
        <v>18</v>
      </c>
      <c r="E43" s="510">
        <f>F43/11</f>
        <v>156219.95454545456</v>
      </c>
      <c r="F43" s="511">
        <v>1718419.5</v>
      </c>
      <c r="G43" s="780">
        <v>107633.33333333334</v>
      </c>
      <c r="H43" s="784">
        <f t="shared" si="1"/>
        <v>1937400.0000000002</v>
      </c>
      <c r="I43" s="512">
        <f t="shared" si="3"/>
        <v>48586.621212121216</v>
      </c>
      <c r="J43" s="513">
        <f t="shared" si="3"/>
        <v>-218980.50000000023</v>
      </c>
      <c r="K43" s="521"/>
    </row>
    <row r="44" spans="1:11" s="514" customFormat="1" ht="21.75" customHeight="1" x14ac:dyDescent="0.3">
      <c r="A44" s="731"/>
      <c r="B44" s="507" t="s">
        <v>2210</v>
      </c>
      <c r="C44" s="508" t="s">
        <v>40</v>
      </c>
      <c r="D44" s="509">
        <v>18</v>
      </c>
      <c r="E44" s="510">
        <f t="shared" ref="E44:E62" si="4">ROUND(F44/D44,2)</f>
        <v>5688.2</v>
      </c>
      <c r="F44" s="511">
        <v>102387.6</v>
      </c>
      <c r="G44" s="769">
        <v>5688.2</v>
      </c>
      <c r="H44" s="784">
        <f t="shared" si="1"/>
        <v>102387.59999999999</v>
      </c>
      <c r="I44" s="512">
        <f t="shared" si="3"/>
        <v>0</v>
      </c>
      <c r="J44" s="513">
        <f t="shared" si="3"/>
        <v>0</v>
      </c>
      <c r="K44" s="521"/>
    </row>
    <row r="45" spans="1:11" s="514" customFormat="1" ht="21.75" customHeight="1" x14ac:dyDescent="0.3">
      <c r="A45" s="731"/>
      <c r="B45" s="507" t="s">
        <v>2228</v>
      </c>
      <c r="C45" s="508" t="s">
        <v>40</v>
      </c>
      <c r="D45" s="509">
        <v>461</v>
      </c>
      <c r="E45" s="510">
        <f t="shared" si="4"/>
        <v>3290.35</v>
      </c>
      <c r="F45" s="511">
        <v>1516851.35</v>
      </c>
      <c r="G45" s="780">
        <v>3708.3333333333335</v>
      </c>
      <c r="H45" s="784">
        <f t="shared" si="1"/>
        <v>1709541.6666666667</v>
      </c>
      <c r="I45" s="512">
        <f t="shared" si="3"/>
        <v>-417.98333333333358</v>
      </c>
      <c r="J45" s="513">
        <f t="shared" si="3"/>
        <v>-192690.31666666665</v>
      </c>
      <c r="K45" s="521"/>
    </row>
    <row r="46" spans="1:11" s="514" customFormat="1" ht="21.75" customHeight="1" x14ac:dyDescent="0.3">
      <c r="A46" s="731"/>
      <c r="B46" s="507" t="s">
        <v>2229</v>
      </c>
      <c r="C46" s="508" t="s">
        <v>40</v>
      </c>
      <c r="D46" s="509">
        <v>302</v>
      </c>
      <c r="E46" s="510">
        <f t="shared" si="4"/>
        <v>4278.05</v>
      </c>
      <c r="F46" s="511">
        <v>1291971.1000000001</v>
      </c>
      <c r="G46" s="780">
        <v>4816.666666666667</v>
      </c>
      <c r="H46" s="784">
        <f t="shared" si="1"/>
        <v>1454633.3333333335</v>
      </c>
      <c r="I46" s="512">
        <f t="shared" si="3"/>
        <v>-538.61666666666679</v>
      </c>
      <c r="J46" s="513">
        <f t="shared" si="3"/>
        <v>-162662.2333333334</v>
      </c>
      <c r="K46" s="521"/>
    </row>
    <row r="47" spans="1:11" s="514" customFormat="1" ht="21.75" customHeight="1" x14ac:dyDescent="0.3">
      <c r="A47" s="731"/>
      <c r="B47" s="507" t="s">
        <v>2230</v>
      </c>
      <c r="C47" s="508" t="s">
        <v>40</v>
      </c>
      <c r="D47" s="509">
        <v>457</v>
      </c>
      <c r="E47" s="510">
        <f t="shared" si="4"/>
        <v>2844.1</v>
      </c>
      <c r="F47" s="511">
        <v>1299753.7</v>
      </c>
      <c r="G47" s="780">
        <v>3208.3333333333335</v>
      </c>
      <c r="H47" s="784">
        <f t="shared" si="1"/>
        <v>1466208.3333333335</v>
      </c>
      <c r="I47" s="512">
        <f t="shared" si="3"/>
        <v>-364.23333333333358</v>
      </c>
      <c r="J47" s="513">
        <f t="shared" si="3"/>
        <v>-166454.63333333354</v>
      </c>
      <c r="K47" s="521"/>
    </row>
    <row r="48" spans="1:11" s="514" customFormat="1" ht="21.75" customHeight="1" x14ac:dyDescent="0.3">
      <c r="A48" s="731"/>
      <c r="B48" s="507" t="s">
        <v>2231</v>
      </c>
      <c r="C48" s="508" t="s">
        <v>40</v>
      </c>
      <c r="D48" s="509">
        <v>429</v>
      </c>
      <c r="E48" s="510">
        <f t="shared" si="4"/>
        <v>28613.55</v>
      </c>
      <c r="F48" s="511">
        <v>12275212.949999999</v>
      </c>
      <c r="G48" s="780">
        <v>32258.333333333336</v>
      </c>
      <c r="H48" s="784">
        <f t="shared" si="1"/>
        <v>13838825.000000002</v>
      </c>
      <c r="I48" s="512">
        <f t="shared" si="3"/>
        <v>-3644.7833333333365</v>
      </c>
      <c r="J48" s="513">
        <f t="shared" si="3"/>
        <v>-1563612.0500000026</v>
      </c>
      <c r="K48" s="521"/>
    </row>
    <row r="49" spans="1:11" s="514" customFormat="1" ht="21.75" customHeight="1" x14ac:dyDescent="0.3">
      <c r="A49" s="731"/>
      <c r="B49" s="507" t="s">
        <v>2232</v>
      </c>
      <c r="C49" s="508" t="s">
        <v>40</v>
      </c>
      <c r="D49" s="749">
        <v>114</v>
      </c>
      <c r="E49" s="510">
        <f t="shared" si="4"/>
        <v>6516.19</v>
      </c>
      <c r="F49" s="511">
        <v>742845.6</v>
      </c>
      <c r="G49" s="780">
        <v>5825</v>
      </c>
      <c r="H49" s="784">
        <f t="shared" si="1"/>
        <v>664050</v>
      </c>
      <c r="I49" s="512">
        <f t="shared" si="3"/>
        <v>691.1899999999996</v>
      </c>
      <c r="J49" s="513">
        <f t="shared" si="3"/>
        <v>78795.599999999977</v>
      </c>
      <c r="K49" s="521"/>
    </row>
    <row r="50" spans="1:11" s="514" customFormat="1" ht="21.75" customHeight="1" x14ac:dyDescent="0.3">
      <c r="A50" s="731"/>
      <c r="B50" s="507" t="s">
        <v>2233</v>
      </c>
      <c r="C50" s="508" t="s">
        <v>40</v>
      </c>
      <c r="D50" s="509">
        <v>53</v>
      </c>
      <c r="E50" s="510">
        <f t="shared" si="4"/>
        <v>6217.75</v>
      </c>
      <c r="F50" s="511">
        <v>329540.75</v>
      </c>
      <c r="G50" s="780">
        <v>7008.3333333333339</v>
      </c>
      <c r="H50" s="784">
        <f t="shared" si="1"/>
        <v>371441.66666666669</v>
      </c>
      <c r="I50" s="512">
        <f t="shared" si="3"/>
        <v>-790.58333333333394</v>
      </c>
      <c r="J50" s="513">
        <f t="shared" si="3"/>
        <v>-41900.916666666686</v>
      </c>
      <c r="K50" s="521"/>
    </row>
    <row r="51" spans="1:11" s="514" customFormat="1" ht="21.75" customHeight="1" x14ac:dyDescent="0.3">
      <c r="A51" s="731"/>
      <c r="B51" s="507" t="s">
        <v>2234</v>
      </c>
      <c r="C51" s="508" t="s">
        <v>40</v>
      </c>
      <c r="D51" s="509">
        <v>54</v>
      </c>
      <c r="E51" s="510">
        <f t="shared" si="4"/>
        <v>26804.75</v>
      </c>
      <c r="F51" s="511">
        <v>1447456.5</v>
      </c>
      <c r="G51" s="780">
        <v>30216.666666666668</v>
      </c>
      <c r="H51" s="784">
        <f t="shared" si="1"/>
        <v>1631700</v>
      </c>
      <c r="I51" s="512">
        <f t="shared" si="3"/>
        <v>-3411.9166666666679</v>
      </c>
      <c r="J51" s="513">
        <f t="shared" si="3"/>
        <v>-184243.5</v>
      </c>
      <c r="K51" s="521"/>
    </row>
    <row r="52" spans="1:11" s="514" customFormat="1" ht="21.75" customHeight="1" x14ac:dyDescent="0.3">
      <c r="A52" s="731"/>
      <c r="B52" s="507" t="s">
        <v>2235</v>
      </c>
      <c r="C52" s="508" t="s">
        <v>40</v>
      </c>
      <c r="D52" s="509">
        <v>467</v>
      </c>
      <c r="E52" s="510">
        <f t="shared" si="4"/>
        <v>35075.25</v>
      </c>
      <c r="F52" s="511">
        <v>16380141.75</v>
      </c>
      <c r="G52" s="780">
        <v>39550</v>
      </c>
      <c r="H52" s="784">
        <f t="shared" si="1"/>
        <v>18469850</v>
      </c>
      <c r="I52" s="512">
        <f t="shared" si="3"/>
        <v>-4474.75</v>
      </c>
      <c r="J52" s="513">
        <f t="shared" si="3"/>
        <v>-2089708.25</v>
      </c>
      <c r="K52" s="521"/>
    </row>
    <row r="53" spans="1:11" s="514" customFormat="1" ht="21.75" customHeight="1" x14ac:dyDescent="0.3">
      <c r="A53" s="731"/>
      <c r="B53" s="507" t="s">
        <v>2236</v>
      </c>
      <c r="C53" s="508" t="s">
        <v>40</v>
      </c>
      <c r="D53" s="509">
        <v>4</v>
      </c>
      <c r="E53" s="510">
        <f t="shared" si="4"/>
        <v>495420.8</v>
      </c>
      <c r="F53" s="511">
        <v>1981683.2</v>
      </c>
      <c r="G53" s="780">
        <v>558566.66666666674</v>
      </c>
      <c r="H53" s="784">
        <f t="shared" si="1"/>
        <v>2234266.666666667</v>
      </c>
      <c r="I53" s="512">
        <f t="shared" si="3"/>
        <v>-63145.866666666756</v>
      </c>
      <c r="J53" s="513">
        <f t="shared" si="3"/>
        <v>-252583.46666666702</v>
      </c>
      <c r="K53" s="521"/>
    </row>
    <row r="54" spans="1:11" s="514" customFormat="1" ht="21.75" customHeight="1" x14ac:dyDescent="0.3">
      <c r="A54" s="731"/>
      <c r="B54" s="507" t="s">
        <v>2237</v>
      </c>
      <c r="C54" s="508" t="s">
        <v>40</v>
      </c>
      <c r="D54" s="509">
        <v>54</v>
      </c>
      <c r="E54" s="510">
        <f t="shared" si="4"/>
        <v>10180.450000000001</v>
      </c>
      <c r="F54" s="511">
        <v>549744.30000000005</v>
      </c>
      <c r="G54" s="780">
        <v>11483.333333333334</v>
      </c>
      <c r="H54" s="784">
        <f t="shared" si="1"/>
        <v>620100</v>
      </c>
      <c r="I54" s="512">
        <f t="shared" si="3"/>
        <v>-1302.8833333333332</v>
      </c>
      <c r="J54" s="513">
        <f t="shared" si="3"/>
        <v>-70355.699999999953</v>
      </c>
      <c r="K54" s="521"/>
    </row>
    <row r="55" spans="1:11" s="514" customFormat="1" ht="21.75" customHeight="1" x14ac:dyDescent="0.3">
      <c r="A55" s="731"/>
      <c r="B55" s="507" t="s">
        <v>2238</v>
      </c>
      <c r="C55" s="508" t="s">
        <v>40</v>
      </c>
      <c r="D55" s="509">
        <v>52</v>
      </c>
      <c r="E55" s="510">
        <f t="shared" si="4"/>
        <v>24317.65</v>
      </c>
      <c r="F55" s="511">
        <v>1264517.8</v>
      </c>
      <c r="G55" s="780">
        <v>27416.666666666668</v>
      </c>
      <c r="H55" s="784">
        <f t="shared" si="1"/>
        <v>1425666.6666666667</v>
      </c>
      <c r="I55" s="512">
        <f t="shared" si="3"/>
        <v>-3099.0166666666664</v>
      </c>
      <c r="J55" s="513">
        <f t="shared" si="3"/>
        <v>-161148.8666666667</v>
      </c>
      <c r="K55" s="521"/>
    </row>
    <row r="56" spans="1:11" s="514" customFormat="1" ht="21.75" customHeight="1" x14ac:dyDescent="0.3">
      <c r="A56" s="731"/>
      <c r="B56" s="507" t="s">
        <v>2239</v>
      </c>
      <c r="C56" s="508" t="s">
        <v>40</v>
      </c>
      <c r="D56" s="509">
        <v>250</v>
      </c>
      <c r="E56" s="510">
        <f t="shared" si="4"/>
        <v>4777.8500000000004</v>
      </c>
      <c r="F56" s="511">
        <v>1194462.5</v>
      </c>
      <c r="G56" s="780">
        <v>5391.666666666667</v>
      </c>
      <c r="H56" s="784">
        <f t="shared" si="1"/>
        <v>1347916.6666666667</v>
      </c>
      <c r="I56" s="512">
        <f t="shared" si="3"/>
        <v>-613.81666666666661</v>
      </c>
      <c r="J56" s="513">
        <f t="shared" si="3"/>
        <v>-153454.16666666674</v>
      </c>
      <c r="K56" s="521"/>
    </row>
    <row r="57" spans="1:11" s="514" customFormat="1" ht="21.75" customHeight="1" x14ac:dyDescent="0.3">
      <c r="A57" s="731"/>
      <c r="B57" s="507" t="s">
        <v>2240</v>
      </c>
      <c r="C57" s="508" t="s">
        <v>40</v>
      </c>
      <c r="D57" s="509">
        <v>10</v>
      </c>
      <c r="E57" s="510">
        <f t="shared" si="4"/>
        <v>4777.8500000000004</v>
      </c>
      <c r="F57" s="511">
        <v>47778.5</v>
      </c>
      <c r="G57" s="780">
        <v>0</v>
      </c>
      <c r="H57" s="784">
        <f t="shared" si="1"/>
        <v>0</v>
      </c>
      <c r="I57" s="512">
        <f t="shared" si="3"/>
        <v>4777.8500000000004</v>
      </c>
      <c r="J57" s="513">
        <f t="shared" si="3"/>
        <v>47778.5</v>
      </c>
      <c r="K57" s="521"/>
    </row>
    <row r="58" spans="1:11" s="514" customFormat="1" ht="21.75" customHeight="1" x14ac:dyDescent="0.3">
      <c r="A58" s="731"/>
      <c r="B58" s="507" t="s">
        <v>2241</v>
      </c>
      <c r="C58" s="508" t="s">
        <v>40</v>
      </c>
      <c r="D58" s="509">
        <v>626</v>
      </c>
      <c r="E58" s="510">
        <f t="shared" si="4"/>
        <v>8252.65</v>
      </c>
      <c r="F58" s="511">
        <v>5166158.9000000004</v>
      </c>
      <c r="G58" s="780">
        <v>9308.3333333333339</v>
      </c>
      <c r="H58" s="784">
        <f t="shared" si="1"/>
        <v>5827016.666666667</v>
      </c>
      <c r="I58" s="512">
        <f t="shared" si="3"/>
        <v>-1055.6833333333343</v>
      </c>
      <c r="J58" s="513">
        <f t="shared" si="3"/>
        <v>-660857.7666666666</v>
      </c>
      <c r="K58" s="521"/>
    </row>
    <row r="59" spans="1:11" s="514" customFormat="1" ht="21.75" customHeight="1" x14ac:dyDescent="0.3">
      <c r="A59" s="731"/>
      <c r="B59" s="507" t="s">
        <v>2242</v>
      </c>
      <c r="C59" s="508" t="s">
        <v>40</v>
      </c>
      <c r="D59" s="509">
        <v>37</v>
      </c>
      <c r="E59" s="510">
        <f t="shared" si="4"/>
        <v>4236.3999999999996</v>
      </c>
      <c r="F59" s="511">
        <v>156746.79999999999</v>
      </c>
      <c r="G59" s="780">
        <v>4775</v>
      </c>
      <c r="H59" s="784">
        <f t="shared" si="1"/>
        <v>176675</v>
      </c>
      <c r="I59" s="512">
        <f t="shared" si="3"/>
        <v>-538.60000000000036</v>
      </c>
      <c r="J59" s="513">
        <f t="shared" si="3"/>
        <v>-19928.200000000012</v>
      </c>
      <c r="K59" s="521"/>
    </row>
    <row r="60" spans="1:11" s="514" customFormat="1" ht="21.75" customHeight="1" x14ac:dyDescent="0.3">
      <c r="A60" s="731"/>
      <c r="B60" s="507" t="s">
        <v>2243</v>
      </c>
      <c r="C60" s="508" t="s">
        <v>40</v>
      </c>
      <c r="D60" s="509">
        <v>428</v>
      </c>
      <c r="E60" s="510">
        <f t="shared" si="4"/>
        <v>4212.6000000000004</v>
      </c>
      <c r="F60" s="511">
        <v>1802992.8</v>
      </c>
      <c r="G60" s="780">
        <v>4750</v>
      </c>
      <c r="H60" s="784">
        <f t="shared" si="1"/>
        <v>2033000</v>
      </c>
      <c r="I60" s="512">
        <f t="shared" si="3"/>
        <v>-537.39999999999964</v>
      </c>
      <c r="J60" s="513">
        <f t="shared" si="3"/>
        <v>-230007.19999999995</v>
      </c>
      <c r="K60" s="521"/>
    </row>
    <row r="61" spans="1:11" s="514" customFormat="1" ht="21.75" customHeight="1" x14ac:dyDescent="0.3">
      <c r="A61" s="731"/>
      <c r="B61" s="507" t="s">
        <v>2244</v>
      </c>
      <c r="C61" s="508" t="s">
        <v>40</v>
      </c>
      <c r="D61" s="509">
        <v>99</v>
      </c>
      <c r="E61" s="510">
        <f t="shared" si="4"/>
        <v>5991.65</v>
      </c>
      <c r="F61" s="511">
        <v>593173.35</v>
      </c>
      <c r="G61" s="769">
        <v>5991.65</v>
      </c>
      <c r="H61" s="784">
        <f t="shared" si="1"/>
        <v>593173.35</v>
      </c>
      <c r="I61" s="512">
        <f t="shared" si="3"/>
        <v>0</v>
      </c>
      <c r="J61" s="513">
        <f t="shared" si="3"/>
        <v>0</v>
      </c>
      <c r="K61" s="521"/>
    </row>
    <row r="62" spans="1:11" s="514" customFormat="1" ht="21.75" customHeight="1" x14ac:dyDescent="0.3">
      <c r="A62" s="731"/>
      <c r="B62" s="507" t="s">
        <v>2245</v>
      </c>
      <c r="C62" s="508" t="s">
        <v>40</v>
      </c>
      <c r="D62" s="509">
        <v>72</v>
      </c>
      <c r="E62" s="510">
        <f t="shared" si="4"/>
        <v>3679.93</v>
      </c>
      <c r="F62" s="511">
        <v>264954.96000000002</v>
      </c>
      <c r="G62" s="769">
        <v>3679.93</v>
      </c>
      <c r="H62" s="784">
        <f t="shared" si="1"/>
        <v>264954.95999999996</v>
      </c>
      <c r="I62" s="512">
        <f t="shared" si="3"/>
        <v>0</v>
      </c>
      <c r="J62" s="513">
        <f t="shared" si="3"/>
        <v>0</v>
      </c>
      <c r="K62" s="521"/>
    </row>
    <row r="63" spans="1:11" ht="23.25" customHeight="1" x14ac:dyDescent="0.3">
      <c r="A63" s="443"/>
      <c r="B63" s="540" t="s">
        <v>2246</v>
      </c>
      <c r="C63" s="508" t="s">
        <v>40</v>
      </c>
      <c r="D63" s="493">
        <v>72</v>
      </c>
      <c r="E63" s="647">
        <f>F63/11</f>
        <v>14426.665454545455</v>
      </c>
      <c r="F63" s="648">
        <v>158693.32</v>
      </c>
      <c r="G63" s="767">
        <v>5050</v>
      </c>
      <c r="H63" s="783">
        <f t="shared" si="1"/>
        <v>363600</v>
      </c>
      <c r="I63" s="427">
        <f t="shared" si="3"/>
        <v>9376.6654545454548</v>
      </c>
      <c r="J63" s="481">
        <f t="shared" si="3"/>
        <v>-204906.68</v>
      </c>
      <c r="K63" s="519"/>
    </row>
    <row r="64" spans="1:11" s="514" customFormat="1" ht="21.75" customHeight="1" x14ac:dyDescent="0.3">
      <c r="A64" s="731"/>
      <c r="B64" s="507" t="s">
        <v>2247</v>
      </c>
      <c r="C64" s="508" t="s">
        <v>40</v>
      </c>
      <c r="D64" s="509">
        <v>76</v>
      </c>
      <c r="E64" s="510">
        <f>ROUND(F64/D64,2)</f>
        <v>8652.15</v>
      </c>
      <c r="F64" s="511">
        <v>657563.4</v>
      </c>
      <c r="G64" s="769">
        <v>8652.15</v>
      </c>
      <c r="H64" s="784">
        <f t="shared" si="1"/>
        <v>657563.4</v>
      </c>
      <c r="I64" s="512">
        <f t="shared" si="3"/>
        <v>0</v>
      </c>
      <c r="J64" s="513">
        <f t="shared" si="3"/>
        <v>0</v>
      </c>
      <c r="K64" s="521"/>
    </row>
    <row r="65" spans="1:11" s="514" customFormat="1" ht="21.75" customHeight="1" x14ac:dyDescent="0.3">
      <c r="A65" s="731"/>
      <c r="B65" s="507" t="s">
        <v>2248</v>
      </c>
      <c r="C65" s="508" t="s">
        <v>40</v>
      </c>
      <c r="D65" s="509">
        <v>6</v>
      </c>
      <c r="E65" s="510">
        <f>ROUND(F65/D65,2)</f>
        <v>158265.32</v>
      </c>
      <c r="F65" s="511">
        <v>949591.92</v>
      </c>
      <c r="G65" s="769">
        <v>158265.32</v>
      </c>
      <c r="H65" s="784">
        <f t="shared" si="1"/>
        <v>949591.92</v>
      </c>
      <c r="I65" s="512">
        <f t="shared" si="3"/>
        <v>0</v>
      </c>
      <c r="J65" s="513">
        <f t="shared" si="3"/>
        <v>0</v>
      </c>
      <c r="K65" s="521"/>
    </row>
    <row r="66" spans="1:11" s="514" customFormat="1" ht="21.75" customHeight="1" x14ac:dyDescent="0.3">
      <c r="A66" s="731"/>
      <c r="B66" s="507" t="s">
        <v>2249</v>
      </c>
      <c r="C66" s="508" t="s">
        <v>40</v>
      </c>
      <c r="D66" s="509">
        <v>36</v>
      </c>
      <c r="E66" s="510">
        <f>ROUND(F66/D66,2)</f>
        <v>4890.8999999999996</v>
      </c>
      <c r="F66" s="511">
        <v>176072.4</v>
      </c>
      <c r="G66" s="780">
        <v>5516.666666666667</v>
      </c>
      <c r="H66" s="784">
        <f t="shared" si="1"/>
        <v>198600</v>
      </c>
      <c r="I66" s="512">
        <f t="shared" si="3"/>
        <v>-625.76666666666733</v>
      </c>
      <c r="J66" s="513">
        <f t="shared" si="3"/>
        <v>-22527.600000000006</v>
      </c>
      <c r="K66" s="521"/>
    </row>
    <row r="67" spans="1:11" s="483" customFormat="1" ht="19.5" customHeight="1" x14ac:dyDescent="0.35">
      <c r="A67" s="485"/>
      <c r="B67" s="920" t="s">
        <v>2250</v>
      </c>
      <c r="C67" s="921"/>
      <c r="D67" s="921"/>
      <c r="E67" s="684"/>
      <c r="F67" s="685">
        <f>SUM(F6:F66)</f>
        <v>242007627.43999997</v>
      </c>
      <c r="G67" s="778"/>
      <c r="H67" s="779">
        <f>SUM(H6:H66)</f>
        <v>224119065.37999994</v>
      </c>
      <c r="I67" s="686"/>
      <c r="J67" s="685">
        <f>SUM(J6:J66)</f>
        <v>17888562.059999999</v>
      </c>
      <c r="K67" s="490"/>
    </row>
  </sheetData>
  <mergeCells count="10">
    <mergeCell ref="A1:J1"/>
    <mergeCell ref="I2:J3"/>
    <mergeCell ref="B5:J5"/>
    <mergeCell ref="B67:D67"/>
    <mergeCell ref="A2:A4"/>
    <mergeCell ref="B2:B4"/>
    <mergeCell ref="C2:C4"/>
    <mergeCell ref="D2:D4"/>
    <mergeCell ref="E2:F3"/>
    <mergeCell ref="G2:H3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0049-9DDB-4ACC-9237-F1AE8758A978}">
  <sheetPr>
    <tabColor theme="9" tint="0.59999389629810485"/>
  </sheetPr>
  <dimension ref="A1:L22"/>
  <sheetViews>
    <sheetView view="pageBreakPreview" topLeftCell="A18" zoomScale="60" zoomScaleNormal="50" workbookViewId="0">
      <selection activeCell="H34" sqref="H34"/>
    </sheetView>
  </sheetViews>
  <sheetFormatPr defaultRowHeight="18" x14ac:dyDescent="0.3"/>
  <cols>
    <col min="1" max="1" width="6.109375" customWidth="1"/>
    <col min="2" max="2" width="111.109375" style="106" customWidth="1"/>
    <col min="3" max="3" width="13" style="106" customWidth="1"/>
    <col min="4" max="4" width="15.109375" customWidth="1"/>
    <col min="5" max="5" width="14.33203125" style="271" customWidth="1"/>
    <col min="6" max="6" width="19.6640625" style="198" customWidth="1"/>
    <col min="7" max="7" width="13.5546875" style="295" customWidth="1"/>
    <col min="8" max="8" width="16.44140625" style="209" customWidth="1"/>
    <col min="9" max="9" width="14" style="271" customWidth="1"/>
    <col min="10" max="10" width="17.33203125" style="211" customWidth="1"/>
    <col min="11" max="11" width="26.109375" style="490" customWidth="1"/>
    <col min="12" max="12" width="26" customWidth="1"/>
    <col min="15" max="15" width="19.109375" customWidth="1"/>
  </cols>
  <sheetData>
    <row r="1" spans="1:12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2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1377</v>
      </c>
      <c r="H2" s="877"/>
      <c r="I2" s="880" t="s">
        <v>1376</v>
      </c>
      <c r="J2" s="881"/>
    </row>
    <row r="3" spans="1:12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2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2" s="483" customFormat="1" x14ac:dyDescent="0.35">
      <c r="A5" s="485"/>
      <c r="B5" s="920" t="s">
        <v>2259</v>
      </c>
      <c r="C5" s="921"/>
      <c r="D5" s="921"/>
      <c r="E5" s="921"/>
      <c r="F5" s="921"/>
      <c r="G5" s="921"/>
      <c r="H5" s="921"/>
      <c r="I5" s="921"/>
      <c r="J5" s="921"/>
      <c r="K5" s="490" t="s">
        <v>2260</v>
      </c>
    </row>
    <row r="6" spans="1:12" s="484" customFormat="1" x14ac:dyDescent="0.3">
      <c r="A6" s="486"/>
      <c r="B6" s="487" t="s">
        <v>2261</v>
      </c>
      <c r="C6" s="488"/>
      <c r="D6" s="497"/>
      <c r="E6" s="734"/>
      <c r="F6" s="735"/>
      <c r="G6" s="736"/>
      <c r="H6" s="737"/>
      <c r="I6" s="736"/>
      <c r="J6" s="762"/>
      <c r="K6" s="490"/>
    </row>
    <row r="7" spans="1:12" s="484" customFormat="1" ht="64.8" x14ac:dyDescent="0.3">
      <c r="A7" s="486"/>
      <c r="B7" s="763" t="s">
        <v>2262</v>
      </c>
      <c r="C7" s="488"/>
      <c r="D7" s="497"/>
      <c r="E7" s="734"/>
      <c r="F7" s="735"/>
      <c r="G7" s="736"/>
      <c r="H7" s="737"/>
      <c r="I7" s="736"/>
      <c r="J7" s="762"/>
      <c r="K7" s="490"/>
    </row>
    <row r="8" spans="1:12" ht="109.2" x14ac:dyDescent="0.3">
      <c r="A8" s="630">
        <v>1</v>
      </c>
      <c r="B8" s="428" t="s">
        <v>2263</v>
      </c>
      <c r="C8" s="422" t="s">
        <v>17</v>
      </c>
      <c r="D8" s="682">
        <f>156.95*2+112.22+172.66+152.68+144.45+306.05+78.48+ 74.55+370.27+114.28+228.5+ 212.1+50.22+61.21+122.42+144.39+91.82+ 141.26+159.08+152.68+43.16+51.01</f>
        <v>3297.39</v>
      </c>
      <c r="E8" s="647">
        <f>ROUND(F8/D8,2)</f>
        <v>68.17</v>
      </c>
      <c r="F8" s="644">
        <v>224786.26</v>
      </c>
      <c r="G8" s="767">
        <v>374</v>
      </c>
      <c r="H8" s="768">
        <f>ROUND(G8*D8,2)</f>
        <v>1233223.8600000001</v>
      </c>
      <c r="I8" s="482">
        <f t="shared" ref="I8:I21" si="0">E8-G8</f>
        <v>-305.83</v>
      </c>
      <c r="J8" s="481">
        <f>ROUND(F8-H8,2)</f>
        <v>-1008437.6</v>
      </c>
      <c r="K8" s="764" t="s">
        <v>2264</v>
      </c>
    </row>
    <row r="9" spans="1:12" ht="109.2" x14ac:dyDescent="0.3">
      <c r="A9" s="630">
        <f t="shared" ref="A9:A20" si="1">A8+1</f>
        <v>2</v>
      </c>
      <c r="B9" s="428" t="s">
        <v>2265</v>
      </c>
      <c r="C9" s="442" t="s">
        <v>17</v>
      </c>
      <c r="D9" s="678">
        <f>4.05+4.05+2.9+4.46+10.15+9.6+7.9+2.03+1.92+24.6+7.59+18.77+14.09+1.3+1.58+3.16+3.73+2.37+3.65+10.57+10.15+1.11+1.32</f>
        <v>151.05000000000001</v>
      </c>
      <c r="E9" s="647">
        <f>ROUND(F9/D9,2)</f>
        <v>1120.46</v>
      </c>
      <c r="F9" s="644">
        <v>169245.45</v>
      </c>
      <c r="G9" s="767">
        <v>2397.5</v>
      </c>
      <c r="H9" s="768">
        <f t="shared" ref="H9:H21" si="2">ROUND(G9*D9,2)</f>
        <v>362142.38</v>
      </c>
      <c r="I9" s="482">
        <f t="shared" si="0"/>
        <v>-1277.04</v>
      </c>
      <c r="J9" s="481">
        <f t="shared" ref="J9:J21" si="3">ROUND(F9-H9,2)</f>
        <v>-192896.93</v>
      </c>
      <c r="K9" s="764" t="s">
        <v>2266</v>
      </c>
    </row>
    <row r="10" spans="1:12" ht="31.2" x14ac:dyDescent="0.3">
      <c r="A10" s="630">
        <f t="shared" si="1"/>
        <v>3</v>
      </c>
      <c r="B10" s="428" t="s">
        <v>2267</v>
      </c>
      <c r="C10" s="443" t="s">
        <v>20</v>
      </c>
      <c r="D10" s="678">
        <f>(151.5/2.3/1.2*2) / 100</f>
        <v>1.097826086956522</v>
      </c>
      <c r="E10" s="647">
        <f>ROUND(F10/D10,2)</f>
        <v>26782.23</v>
      </c>
      <c r="F10" s="644">
        <f>17418.06+11984.17</f>
        <v>29402.230000000003</v>
      </c>
      <c r="G10" s="767">
        <v>1362</v>
      </c>
      <c r="H10" s="768">
        <f t="shared" si="2"/>
        <v>1495.24</v>
      </c>
      <c r="I10" s="482">
        <f t="shared" si="0"/>
        <v>25420.23</v>
      </c>
      <c r="J10" s="481">
        <f t="shared" si="3"/>
        <v>27906.99</v>
      </c>
      <c r="L10" s="539"/>
    </row>
    <row r="11" spans="1:12" ht="109.2" x14ac:dyDescent="0.3">
      <c r="A11" s="630">
        <f t="shared" si="1"/>
        <v>4</v>
      </c>
      <c r="B11" s="428" t="s">
        <v>2268</v>
      </c>
      <c r="C11" s="442" t="s">
        <v>17</v>
      </c>
      <c r="D11" s="678">
        <f>2.6+2.6+1.86+2.86+ 6.51+6.16+5.07+1.3+1.24+15.8+4.88+12.05+9.05+0.83+1.01+2.03+2.39+1.52+2.34+6.79+6.51+0.72+0.85</f>
        <v>96.970000000000013</v>
      </c>
      <c r="E11" s="647">
        <f t="shared" ref="E11:E21" si="4">ROUND(F11/D11,2)</f>
        <v>1211.25</v>
      </c>
      <c r="F11" s="644">
        <v>117454.78</v>
      </c>
      <c r="G11" s="767">
        <v>1480.83</v>
      </c>
      <c r="H11" s="768">
        <f t="shared" si="2"/>
        <v>143596.09</v>
      </c>
      <c r="I11" s="482">
        <f t="shared" si="0"/>
        <v>-269.57999999999993</v>
      </c>
      <c r="J11" s="481">
        <f t="shared" si="3"/>
        <v>-26141.31</v>
      </c>
    </row>
    <row r="12" spans="1:12" ht="109.2" x14ac:dyDescent="0.3">
      <c r="A12" s="630">
        <f t="shared" si="1"/>
        <v>5</v>
      </c>
      <c r="B12" s="428" t="s">
        <v>2269</v>
      </c>
      <c r="C12" s="492" t="s">
        <v>17</v>
      </c>
      <c r="D12" s="678">
        <f>31.28+31.28+22.36+34.4+78.34+74.12+60.99+15.64+14.86+190+58.64+144.96+108.84+10.01+12.2+24.39+28.77+18.3+28.15+81.63+78.34+ 8.6+10.16</f>
        <v>1166.2599999999998</v>
      </c>
      <c r="E12" s="647">
        <f t="shared" si="4"/>
        <v>619.14</v>
      </c>
      <c r="F12" s="644">
        <v>722074.28</v>
      </c>
      <c r="G12" s="767">
        <v>1184.664</v>
      </c>
      <c r="H12" s="768">
        <f t="shared" si="2"/>
        <v>1381626.24</v>
      </c>
      <c r="I12" s="482">
        <f t="shared" si="0"/>
        <v>-565.524</v>
      </c>
      <c r="J12" s="481">
        <f t="shared" si="3"/>
        <v>-659551.96</v>
      </c>
    </row>
    <row r="13" spans="1:12" ht="109.2" x14ac:dyDescent="0.3">
      <c r="A13" s="630">
        <f t="shared" si="1"/>
        <v>6</v>
      </c>
      <c r="B13" s="428" t="s">
        <v>2270</v>
      </c>
      <c r="C13" s="442" t="s">
        <v>17</v>
      </c>
      <c r="D13" s="678">
        <f>123.2+123.2+88.09+135.52+68.14+64.46+240.24+61.6+58.52+165.24+51+126.07+94.66+39.42+48.05+96.1+113.34+72.07+110.88+70.99+ 68.14+33.88+40.04</f>
        <v>2092.85</v>
      </c>
      <c r="E13" s="647">
        <f t="shared" si="4"/>
        <v>5.62</v>
      </c>
      <c r="F13" s="644">
        <v>11756.22</v>
      </c>
      <c r="G13" s="767">
        <v>277.87</v>
      </c>
      <c r="H13" s="768">
        <f t="shared" si="2"/>
        <v>581540.23</v>
      </c>
      <c r="I13" s="482">
        <f t="shared" si="0"/>
        <v>-272.25</v>
      </c>
      <c r="J13" s="481">
        <f t="shared" si="3"/>
        <v>-569784.01</v>
      </c>
      <c r="K13" s="764" t="s">
        <v>2271</v>
      </c>
    </row>
    <row r="14" spans="1:12" x14ac:dyDescent="0.3">
      <c r="A14" s="630">
        <f t="shared" si="1"/>
        <v>7</v>
      </c>
      <c r="B14" s="428" t="s">
        <v>2272</v>
      </c>
      <c r="C14" s="442" t="s">
        <v>17</v>
      </c>
      <c r="D14" s="678">
        <v>2092.85</v>
      </c>
      <c r="E14" s="647">
        <f t="shared" si="4"/>
        <v>152.38</v>
      </c>
      <c r="F14" s="644">
        <v>318910.21999999997</v>
      </c>
      <c r="G14" s="767">
        <v>1030</v>
      </c>
      <c r="H14" s="768">
        <f t="shared" si="2"/>
        <v>2155635.5</v>
      </c>
      <c r="I14" s="482">
        <f t="shared" si="0"/>
        <v>-877.62</v>
      </c>
      <c r="J14" s="481">
        <f t="shared" si="3"/>
        <v>-1836725.28</v>
      </c>
    </row>
    <row r="15" spans="1:12" ht="124.8" x14ac:dyDescent="0.3">
      <c r="A15" s="630">
        <f t="shared" si="1"/>
        <v>8</v>
      </c>
      <c r="B15" s="428" t="s">
        <v>2273</v>
      </c>
      <c r="C15" s="442" t="s">
        <v>28</v>
      </c>
      <c r="D15" s="678">
        <f>76.73+76.73+54.86+ 84.41+ 192.22+181.86+149.63+38.37+36.45+466.16+143.88+355.66+267.08+24.55+29.93+ 59.85+70.6+44.89+69.06+200.28+192.22+21.1+24.94</f>
        <v>2861.46</v>
      </c>
      <c r="E15" s="647">
        <f t="shared" si="4"/>
        <v>187.58</v>
      </c>
      <c r="F15" s="644">
        <v>536745.54</v>
      </c>
      <c r="G15" s="767">
        <v>220</v>
      </c>
      <c r="H15" s="768">
        <f t="shared" si="2"/>
        <v>629521.19999999995</v>
      </c>
      <c r="I15" s="482">
        <f t="shared" si="0"/>
        <v>-32.419999999999987</v>
      </c>
      <c r="J15" s="481">
        <f t="shared" si="3"/>
        <v>-92775.66</v>
      </c>
      <c r="K15" s="764" t="s">
        <v>2274</v>
      </c>
    </row>
    <row r="16" spans="1:12" ht="109.2" x14ac:dyDescent="0.3">
      <c r="A16" s="630">
        <f t="shared" si="1"/>
        <v>9</v>
      </c>
      <c r="B16" s="428" t="s">
        <v>2275</v>
      </c>
      <c r="C16" s="443" t="s">
        <v>5</v>
      </c>
      <c r="D16" s="678">
        <f>20+10.5+4.8+10.5+4.5+4.5+39+1+3+66+6+57.9+22.8+1+1.8+5.6+10.4+1+18+38.1+35.1+5.5+1</f>
        <v>368.00000000000006</v>
      </c>
      <c r="E16" s="547">
        <f t="shared" si="4"/>
        <v>273.83</v>
      </c>
      <c r="F16" s="644">
        <v>100769.28</v>
      </c>
      <c r="G16" s="767">
        <v>801.45</v>
      </c>
      <c r="H16" s="768">
        <f t="shared" si="2"/>
        <v>294933.59999999998</v>
      </c>
      <c r="I16" s="482">
        <f t="shared" si="0"/>
        <v>-527.62000000000012</v>
      </c>
      <c r="J16" s="481">
        <f t="shared" si="3"/>
        <v>-194164.32</v>
      </c>
      <c r="L16" s="539"/>
    </row>
    <row r="17" spans="1:12" ht="78" x14ac:dyDescent="0.3">
      <c r="A17" s="630">
        <f t="shared" si="1"/>
        <v>10</v>
      </c>
      <c r="B17" s="428" t="s">
        <v>2276</v>
      </c>
      <c r="C17" s="443" t="s">
        <v>5</v>
      </c>
      <c r="D17" s="678">
        <f>9.5+9.5+11.5+45.6+42.9+9+6.5+55.5+31.5+34.8+46.8+5.4+6+10+ 8+10.7+14.1+15+5.5</f>
        <v>377.8</v>
      </c>
      <c r="E17" s="547">
        <f t="shared" si="4"/>
        <v>1027.8699999999999</v>
      </c>
      <c r="F17" s="644">
        <v>388329.88</v>
      </c>
      <c r="G17" s="767">
        <f>E17*1.94</f>
        <v>1994.0677999999998</v>
      </c>
      <c r="H17" s="768">
        <f t="shared" si="2"/>
        <v>753358.81</v>
      </c>
      <c r="I17" s="482">
        <f t="shared" si="0"/>
        <v>-966.19779999999992</v>
      </c>
      <c r="J17" s="481">
        <f t="shared" si="3"/>
        <v>-365028.93</v>
      </c>
      <c r="L17" s="539"/>
    </row>
    <row r="18" spans="1:12" ht="78" x14ac:dyDescent="0.3">
      <c r="A18" s="630">
        <f t="shared" si="1"/>
        <v>11</v>
      </c>
      <c r="B18" s="428" t="s">
        <v>2277</v>
      </c>
      <c r="C18" s="442" t="s">
        <v>5</v>
      </c>
      <c r="D18" s="678">
        <f>9.5+9.5+11.5+45.6+42.9+ 9+6.5+55.5+ 31.5+34.8+46.8+5.4+6+10+8+10.7+14.1+15+ 5.5</f>
        <v>377.8</v>
      </c>
      <c r="E18" s="628">
        <f t="shared" si="4"/>
        <v>1121.22</v>
      </c>
      <c r="F18" s="644">
        <v>423598.5</v>
      </c>
      <c r="G18" s="767">
        <v>801.45</v>
      </c>
      <c r="H18" s="768">
        <f t="shared" si="2"/>
        <v>302787.81</v>
      </c>
      <c r="I18" s="482">
        <f t="shared" si="0"/>
        <v>319.77</v>
      </c>
      <c r="J18" s="481">
        <f t="shared" si="3"/>
        <v>120810.69</v>
      </c>
    </row>
    <row r="19" spans="1:12" ht="93.6" x14ac:dyDescent="0.3">
      <c r="A19" s="630">
        <f t="shared" si="1"/>
        <v>12</v>
      </c>
      <c r="B19" s="428" t="s">
        <v>2278</v>
      </c>
      <c r="C19" s="443" t="s">
        <v>40</v>
      </c>
      <c r="D19" s="678">
        <f>1+1+1+1+1+1+1+1+1+1+1+1+1+1+1+1+1+1+1+1+1</f>
        <v>21</v>
      </c>
      <c r="E19" s="646">
        <f t="shared" si="4"/>
        <v>10749.92</v>
      </c>
      <c r="F19" s="644">
        <v>225748.31</v>
      </c>
      <c r="G19" s="767">
        <v>10000</v>
      </c>
      <c r="H19" s="768">
        <f t="shared" si="2"/>
        <v>210000</v>
      </c>
      <c r="I19" s="482">
        <f t="shared" si="0"/>
        <v>749.92000000000007</v>
      </c>
      <c r="J19" s="481">
        <f t="shared" si="3"/>
        <v>15748.31</v>
      </c>
      <c r="L19" s="539"/>
    </row>
    <row r="20" spans="1:12" ht="109.2" x14ac:dyDescent="0.3">
      <c r="A20" s="630">
        <f t="shared" si="1"/>
        <v>13</v>
      </c>
      <c r="B20" s="428" t="s">
        <v>2279</v>
      </c>
      <c r="C20" s="442" t="s">
        <v>17</v>
      </c>
      <c r="D20" s="678">
        <v>43.68</v>
      </c>
      <c r="E20" s="547">
        <f t="shared" si="4"/>
        <v>21249.59</v>
      </c>
      <c r="F20" s="644">
        <v>928182.27</v>
      </c>
      <c r="G20" s="767">
        <f>E20*0.975</f>
        <v>20718.35025</v>
      </c>
      <c r="H20" s="768">
        <f t="shared" si="2"/>
        <v>904977.54</v>
      </c>
      <c r="I20" s="482">
        <f t="shared" si="0"/>
        <v>531.23975000000064</v>
      </c>
      <c r="J20" s="481">
        <f t="shared" si="3"/>
        <v>23204.73</v>
      </c>
      <c r="K20" s="765" t="s">
        <v>2280</v>
      </c>
      <c r="L20" s="539"/>
    </row>
    <row r="21" spans="1:12" s="478" customFormat="1" ht="16.8" x14ac:dyDescent="0.3">
      <c r="A21" s="630">
        <v>14</v>
      </c>
      <c r="B21" s="766" t="s">
        <v>2281</v>
      </c>
      <c r="C21" s="443" t="s">
        <v>5</v>
      </c>
      <c r="D21" s="630">
        <v>377.8</v>
      </c>
      <c r="E21" s="630">
        <f t="shared" si="4"/>
        <v>273.83</v>
      </c>
      <c r="F21" s="644">
        <v>103452.74</v>
      </c>
      <c r="G21" s="767">
        <f>E21*0.975</f>
        <v>266.98424999999997</v>
      </c>
      <c r="H21" s="768">
        <f t="shared" si="2"/>
        <v>100866.65</v>
      </c>
      <c r="I21" s="630">
        <f t="shared" si="0"/>
        <v>6.8457500000000095</v>
      </c>
      <c r="J21" s="481">
        <f t="shared" si="3"/>
        <v>2586.09</v>
      </c>
      <c r="K21" s="765" t="s">
        <v>2282</v>
      </c>
      <c r="L21" s="539"/>
    </row>
    <row r="22" spans="1:12" s="673" customFormat="1" x14ac:dyDescent="0.35">
      <c r="A22" s="667"/>
      <c r="B22" s="938" t="s">
        <v>2283</v>
      </c>
      <c r="C22" s="939"/>
      <c r="D22" s="939"/>
      <c r="E22" s="668"/>
      <c r="F22" s="669">
        <f>SUM(F7:F21)</f>
        <v>4300455.96</v>
      </c>
      <c r="G22" s="781"/>
      <c r="H22" s="797">
        <f>SUM(H7:H20)</f>
        <v>8954838.5</v>
      </c>
      <c r="I22" s="670"/>
      <c r="J22" s="669">
        <f>SUM(J7:J20)</f>
        <v>-4757835.28</v>
      </c>
      <c r="K22" s="490"/>
    </row>
  </sheetData>
  <mergeCells count="10">
    <mergeCell ref="B5:J5"/>
    <mergeCell ref="B22:D22"/>
    <mergeCell ref="A1:J1"/>
    <mergeCell ref="A2:A4"/>
    <mergeCell ref="B2:B4"/>
    <mergeCell ref="C2:C4"/>
    <mergeCell ref="D2:D4"/>
    <mergeCell ref="E2:F3"/>
    <mergeCell ref="G2:H3"/>
    <mergeCell ref="I2:J3"/>
  </mergeCells>
  <pageMargins left="0.7" right="0.7" top="0.75" bottom="0.75" header="0.3" footer="0.3"/>
  <pageSetup paperSize="9" scale="37" orientation="portrait" verticalDpi="0" r:id="rId1"/>
  <colBreaks count="1" manualBreakCount="1">
    <brk id="1" max="2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41AE-7646-4CDB-8604-3DA83BD91A71}">
  <sheetPr>
    <tabColor theme="8" tint="0.59999389629810485"/>
  </sheetPr>
  <dimension ref="A1:K18"/>
  <sheetViews>
    <sheetView view="pageBreakPreview" zoomScale="60" zoomScaleNormal="70" workbookViewId="0">
      <selection activeCell="F27" sqref="F27"/>
    </sheetView>
  </sheetViews>
  <sheetFormatPr defaultRowHeight="18" x14ac:dyDescent="0.3"/>
  <cols>
    <col min="1" max="1" width="6.109375" customWidth="1"/>
    <col min="2" max="2" width="105.88671875" style="106" customWidth="1"/>
    <col min="3" max="3" width="13" style="106" customWidth="1"/>
    <col min="4" max="4" width="13.88671875" customWidth="1"/>
    <col min="5" max="5" width="15.33203125" style="271" customWidth="1"/>
    <col min="6" max="6" width="24.88671875" style="198" customWidth="1"/>
    <col min="7" max="7" width="15" style="295" customWidth="1"/>
    <col min="8" max="8" width="22.44140625" style="209" customWidth="1"/>
    <col min="9" max="9" width="15.5546875" style="271" customWidth="1"/>
    <col min="10" max="10" width="20.109375" style="211" customWidth="1"/>
    <col min="11" max="11" width="25.5546875" style="518" customWidth="1"/>
    <col min="12" max="12" width="26" customWidth="1"/>
  </cols>
  <sheetData>
    <row r="1" spans="1:11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1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1375</v>
      </c>
      <c r="H2" s="877"/>
      <c r="I2" s="880" t="s">
        <v>1376</v>
      </c>
      <c r="J2" s="881"/>
    </row>
    <row r="3" spans="1:11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1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1" s="483" customFormat="1" x14ac:dyDescent="0.35">
      <c r="A5" s="485"/>
      <c r="B5" s="920" t="s">
        <v>2259</v>
      </c>
      <c r="C5" s="921"/>
      <c r="D5" s="921"/>
      <c r="E5" s="921"/>
      <c r="F5" s="921"/>
      <c r="G5" s="921"/>
      <c r="H5" s="921"/>
      <c r="I5" s="921"/>
      <c r="J5" s="921"/>
      <c r="K5" s="490"/>
    </row>
    <row r="6" spans="1:11" s="484" customFormat="1" x14ac:dyDescent="0.3">
      <c r="A6" s="486"/>
      <c r="B6" s="487" t="s">
        <v>2261</v>
      </c>
      <c r="C6" s="488"/>
      <c r="D6" s="497"/>
      <c r="E6" s="734"/>
      <c r="F6" s="735"/>
      <c r="G6" s="736"/>
      <c r="H6" s="737"/>
      <c r="I6" s="736"/>
      <c r="J6" s="762"/>
      <c r="K6" s="491"/>
    </row>
    <row r="7" spans="1:11" x14ac:dyDescent="0.3">
      <c r="A7" s="443">
        <f>A5+1</f>
        <v>1</v>
      </c>
      <c r="B7" s="428" t="s">
        <v>2284</v>
      </c>
      <c r="C7" s="442" t="s">
        <v>17</v>
      </c>
      <c r="D7" s="496">
        <f>106.667+1166.26*1.1</f>
        <v>1389.5530000000001</v>
      </c>
      <c r="E7" s="647">
        <f t="shared" ref="E7:E16" si="0">ROUND(F7/D7,2)</f>
        <v>475.79</v>
      </c>
      <c r="F7" s="648">
        <f>50750.96+610382.53</f>
        <v>661133.49</v>
      </c>
      <c r="G7" s="777">
        <v>800</v>
      </c>
      <c r="H7" s="768">
        <f>ROUND(G7*D7,2)</f>
        <v>1111642.3999999999</v>
      </c>
      <c r="I7" s="482">
        <f>ROUND(E7-G7,2)</f>
        <v>-324.20999999999998</v>
      </c>
      <c r="J7" s="481">
        <f>ROUND(F7-H7,2)</f>
        <v>-450508.91</v>
      </c>
    </row>
    <row r="8" spans="1:11" x14ac:dyDescent="0.3">
      <c r="A8" s="443">
        <f>A7+1</f>
        <v>2</v>
      </c>
      <c r="B8" s="428" t="s">
        <v>2285</v>
      </c>
      <c r="C8" s="442" t="s">
        <v>5</v>
      </c>
      <c r="D8" s="501">
        <f>368+377.8</f>
        <v>745.8</v>
      </c>
      <c r="E8" s="647">
        <f t="shared" si="0"/>
        <v>1346.26</v>
      </c>
      <c r="F8" s="648">
        <f>495423.53+508616.89</f>
        <v>1004040.42</v>
      </c>
      <c r="G8" s="777">
        <v>1298.93</v>
      </c>
      <c r="H8" s="768">
        <f t="shared" ref="H8:H17" si="1">ROUND(G8*D8,2)</f>
        <v>968741.99</v>
      </c>
      <c r="I8" s="482">
        <f t="shared" ref="I8:J17" si="2">ROUND(E8-G8,2)</f>
        <v>47.33</v>
      </c>
      <c r="J8" s="481">
        <f t="shared" si="2"/>
        <v>35298.43</v>
      </c>
    </row>
    <row r="9" spans="1:11" x14ac:dyDescent="0.3">
      <c r="A9" s="443">
        <f>A8+1</f>
        <v>3</v>
      </c>
      <c r="B9" s="428" t="s">
        <v>2286</v>
      </c>
      <c r="C9" s="442" t="s">
        <v>40</v>
      </c>
      <c r="D9" s="493">
        <v>66</v>
      </c>
      <c r="E9" s="547">
        <f t="shared" si="0"/>
        <v>1476.53</v>
      </c>
      <c r="F9" s="648">
        <v>97450.91</v>
      </c>
      <c r="G9" s="777">
        <v>1806.2</v>
      </c>
      <c r="H9" s="768">
        <f t="shared" si="1"/>
        <v>119209.2</v>
      </c>
      <c r="I9" s="482">
        <f t="shared" si="2"/>
        <v>-329.67</v>
      </c>
      <c r="J9" s="481">
        <f t="shared" si="2"/>
        <v>-21758.29</v>
      </c>
      <c r="K9" s="489"/>
    </row>
    <row r="10" spans="1:11" x14ac:dyDescent="0.3">
      <c r="A10" s="443">
        <v>4</v>
      </c>
      <c r="B10" s="428" t="s">
        <v>2287</v>
      </c>
      <c r="C10" s="442" t="s">
        <v>5</v>
      </c>
      <c r="D10" s="682">
        <f>377.8*1.01</f>
        <v>381.57800000000003</v>
      </c>
      <c r="E10" s="547">
        <f t="shared" si="0"/>
        <v>4228.46</v>
      </c>
      <c r="F10" s="648">
        <v>1613486.19</v>
      </c>
      <c r="G10" s="777">
        <v>4081.93</v>
      </c>
      <c r="H10" s="768">
        <f t="shared" si="1"/>
        <v>1557574.69</v>
      </c>
      <c r="I10" s="482">
        <f t="shared" si="2"/>
        <v>146.53</v>
      </c>
      <c r="J10" s="481">
        <f t="shared" si="2"/>
        <v>55911.5</v>
      </c>
      <c r="K10" s="489"/>
    </row>
    <row r="11" spans="1:11" x14ac:dyDescent="0.3">
      <c r="A11" s="443">
        <v>5</v>
      </c>
      <c r="B11" s="428" t="s">
        <v>2288</v>
      </c>
      <c r="C11" s="442" t="s">
        <v>40</v>
      </c>
      <c r="D11" s="493">
        <v>28</v>
      </c>
      <c r="E11" s="501">
        <f t="shared" si="0"/>
        <v>676.4</v>
      </c>
      <c r="F11" s="648">
        <v>18939.240000000002</v>
      </c>
      <c r="G11" s="777">
        <v>880</v>
      </c>
      <c r="H11" s="768">
        <f t="shared" si="1"/>
        <v>24640</v>
      </c>
      <c r="I11" s="482">
        <f t="shared" si="2"/>
        <v>-203.6</v>
      </c>
      <c r="J11" s="481">
        <f t="shared" si="2"/>
        <v>-5700.76</v>
      </c>
      <c r="K11" s="489"/>
    </row>
    <row r="12" spans="1:11" s="514" customFormat="1" x14ac:dyDescent="0.3">
      <c r="A12" s="443">
        <v>6</v>
      </c>
      <c r="B12" s="428" t="s">
        <v>2289</v>
      </c>
      <c r="C12" s="442" t="s">
        <v>40</v>
      </c>
      <c r="D12" s="493">
        <f>28*2</f>
        <v>56</v>
      </c>
      <c r="E12" s="501">
        <f t="shared" si="0"/>
        <v>5577.3</v>
      </c>
      <c r="F12" s="648">
        <v>312328.78000000003</v>
      </c>
      <c r="G12" s="777">
        <v>3950</v>
      </c>
      <c r="H12" s="768">
        <f t="shared" si="1"/>
        <v>221200</v>
      </c>
      <c r="I12" s="482">
        <f t="shared" si="2"/>
        <v>1627.3</v>
      </c>
      <c r="J12" s="481">
        <f t="shared" si="2"/>
        <v>91128.78</v>
      </c>
      <c r="K12" s="521"/>
    </row>
    <row r="13" spans="1:11" s="514" customFormat="1" x14ac:dyDescent="0.3">
      <c r="A13" s="443">
        <v>7</v>
      </c>
      <c r="B13" s="428" t="s">
        <v>2290</v>
      </c>
      <c r="C13" s="442" t="s">
        <v>40</v>
      </c>
      <c r="D13" s="493">
        <f>28*3</f>
        <v>84</v>
      </c>
      <c r="E13" s="492">
        <f t="shared" si="0"/>
        <v>270.61</v>
      </c>
      <c r="F13" s="648">
        <v>22731.43</v>
      </c>
      <c r="G13" s="777">
        <v>600</v>
      </c>
      <c r="H13" s="768">
        <f t="shared" si="1"/>
        <v>50400</v>
      </c>
      <c r="I13" s="482">
        <f t="shared" si="2"/>
        <v>-329.39</v>
      </c>
      <c r="J13" s="481">
        <f t="shared" si="2"/>
        <v>-27668.57</v>
      </c>
      <c r="K13" s="521"/>
    </row>
    <row r="14" spans="1:11" s="514" customFormat="1" x14ac:dyDescent="0.3">
      <c r="A14" s="443">
        <v>8</v>
      </c>
      <c r="B14" s="428" t="s">
        <v>2291</v>
      </c>
      <c r="C14" s="442" t="s">
        <v>40</v>
      </c>
      <c r="D14" s="493">
        <v>28</v>
      </c>
      <c r="E14" s="492">
        <f t="shared" si="0"/>
        <v>3984.97</v>
      </c>
      <c r="F14" s="648">
        <v>111579.06</v>
      </c>
      <c r="G14" s="777">
        <v>3150</v>
      </c>
      <c r="H14" s="768">
        <f t="shared" si="1"/>
        <v>88200</v>
      </c>
      <c r="I14" s="482">
        <f t="shared" si="2"/>
        <v>834.97</v>
      </c>
      <c r="J14" s="481">
        <f t="shared" si="2"/>
        <v>23379.06</v>
      </c>
      <c r="K14" s="521"/>
    </row>
    <row r="15" spans="1:11" s="514" customFormat="1" x14ac:dyDescent="0.3">
      <c r="A15" s="443">
        <v>9</v>
      </c>
      <c r="B15" s="428" t="s">
        <v>2292</v>
      </c>
      <c r="C15" s="442" t="s">
        <v>40</v>
      </c>
      <c r="D15" s="493">
        <v>28</v>
      </c>
      <c r="E15" s="492">
        <f t="shared" si="0"/>
        <v>3337.49</v>
      </c>
      <c r="F15" s="648">
        <v>93449.84</v>
      </c>
      <c r="G15" s="777">
        <v>3400</v>
      </c>
      <c r="H15" s="768">
        <f t="shared" si="1"/>
        <v>95200</v>
      </c>
      <c r="I15" s="482">
        <f t="shared" si="2"/>
        <v>-62.51</v>
      </c>
      <c r="J15" s="481">
        <f t="shared" si="2"/>
        <v>-1750.16</v>
      </c>
      <c r="K15" s="521"/>
    </row>
    <row r="16" spans="1:11" s="514" customFormat="1" x14ac:dyDescent="0.3">
      <c r="A16" s="443">
        <v>10</v>
      </c>
      <c r="B16" s="428" t="s">
        <v>2293</v>
      </c>
      <c r="C16" s="442" t="s">
        <v>40</v>
      </c>
      <c r="D16" s="493">
        <v>1</v>
      </c>
      <c r="E16" s="501">
        <f t="shared" si="0"/>
        <v>5131.8999999999996</v>
      </c>
      <c r="F16" s="648">
        <v>5131.8999999999996</v>
      </c>
      <c r="G16" s="777">
        <v>13400</v>
      </c>
      <c r="H16" s="768">
        <f t="shared" si="1"/>
        <v>13400</v>
      </c>
      <c r="I16" s="482">
        <f t="shared" si="2"/>
        <v>-8268.1</v>
      </c>
      <c r="J16" s="481">
        <f t="shared" si="2"/>
        <v>-8268.1</v>
      </c>
      <c r="K16" s="521"/>
    </row>
    <row r="17" spans="1:11" x14ac:dyDescent="0.3">
      <c r="A17" s="443">
        <v>11</v>
      </c>
      <c r="B17" s="428" t="s">
        <v>215</v>
      </c>
      <c r="C17" s="442" t="s">
        <v>28</v>
      </c>
      <c r="D17" s="496">
        <f>28*36/1000</f>
        <v>1.008</v>
      </c>
      <c r="E17" s="492">
        <f>ROUND(F17/D17,2)</f>
        <v>65186.33</v>
      </c>
      <c r="F17" s="648">
        <v>65707.820000000007</v>
      </c>
      <c r="G17" s="777">
        <v>152000</v>
      </c>
      <c r="H17" s="768">
        <f t="shared" si="1"/>
        <v>153216</v>
      </c>
      <c r="I17" s="482">
        <f t="shared" si="2"/>
        <v>-86813.67</v>
      </c>
      <c r="J17" s="481">
        <f t="shared" si="2"/>
        <v>-87508.18</v>
      </c>
      <c r="K17" s="520"/>
    </row>
    <row r="18" spans="1:11" s="483" customFormat="1" x14ac:dyDescent="0.35">
      <c r="A18" s="485"/>
      <c r="B18" s="920" t="s">
        <v>2294</v>
      </c>
      <c r="C18" s="921"/>
      <c r="D18" s="921"/>
      <c r="E18" s="684"/>
      <c r="F18" s="685">
        <f>SUM(F7:F17)</f>
        <v>4005979.08</v>
      </c>
      <c r="G18" s="778"/>
      <c r="H18" s="779">
        <f>SUM(H7:H17)</f>
        <v>4403424.2799999993</v>
      </c>
      <c r="I18" s="686"/>
      <c r="J18" s="685">
        <f>SUM(J7:J17)</f>
        <v>-397445.19999999995</v>
      </c>
      <c r="K18" s="490"/>
    </row>
  </sheetData>
  <mergeCells count="10">
    <mergeCell ref="B5:J5"/>
    <mergeCell ref="B18:D18"/>
    <mergeCell ref="A1:J1"/>
    <mergeCell ref="A2:A4"/>
    <mergeCell ref="B2:B4"/>
    <mergeCell ref="C2:C4"/>
    <mergeCell ref="D2:D4"/>
    <mergeCell ref="E2:F3"/>
    <mergeCell ref="G2:H3"/>
    <mergeCell ref="I2:J3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461A-A710-42A3-B313-3B1501619E8F}">
  <sheetPr>
    <tabColor theme="9" tint="0.59999389629810485"/>
  </sheetPr>
  <dimension ref="A1:L23"/>
  <sheetViews>
    <sheetView zoomScale="60" zoomScaleNormal="60" workbookViewId="0">
      <selection activeCell="B30" sqref="B30"/>
    </sheetView>
  </sheetViews>
  <sheetFormatPr defaultRowHeight="18" x14ac:dyDescent="0.3"/>
  <cols>
    <col min="1" max="1" width="6.109375" customWidth="1"/>
    <col min="2" max="2" width="109.5546875" style="106" customWidth="1"/>
    <col min="3" max="3" width="13" style="106" customWidth="1"/>
    <col min="4" max="4" width="15.109375" customWidth="1"/>
    <col min="5" max="5" width="14.33203125" style="271" customWidth="1"/>
    <col min="6" max="6" width="19.6640625" style="198" customWidth="1"/>
    <col min="7" max="7" width="13.5546875" style="295" customWidth="1"/>
    <col min="8" max="8" width="17.88671875" style="209" customWidth="1"/>
    <col min="9" max="9" width="14" style="271" customWidth="1"/>
    <col min="10" max="10" width="17.33203125" style="211" customWidth="1"/>
    <col min="11" max="11" width="26.109375" style="489" customWidth="1"/>
    <col min="12" max="12" width="26" customWidth="1"/>
    <col min="15" max="15" width="19.109375" customWidth="1"/>
  </cols>
  <sheetData>
    <row r="1" spans="1:12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2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1377</v>
      </c>
      <c r="H2" s="877"/>
      <c r="I2" s="880" t="s">
        <v>1376</v>
      </c>
      <c r="J2" s="881"/>
    </row>
    <row r="3" spans="1:12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2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2" s="483" customFormat="1" x14ac:dyDescent="0.35">
      <c r="A5" s="485"/>
      <c r="B5" s="920" t="s">
        <v>2295</v>
      </c>
      <c r="C5" s="921"/>
      <c r="D5" s="921"/>
      <c r="E5" s="921"/>
      <c r="F5" s="921"/>
      <c r="G5" s="921"/>
      <c r="H5" s="921"/>
      <c r="I5" s="921"/>
      <c r="J5" s="921"/>
      <c r="K5" s="490"/>
    </row>
    <row r="6" spans="1:12" x14ac:dyDescent="0.3">
      <c r="A6" s="443">
        <v>1</v>
      </c>
      <c r="B6" s="650" t="s">
        <v>2296</v>
      </c>
      <c r="C6" s="442" t="s">
        <v>40</v>
      </c>
      <c r="D6" s="683">
        <v>3</v>
      </c>
      <c r="E6" s="800">
        <f>ROUND(F6/D6,2)</f>
        <v>108.35</v>
      </c>
      <c r="F6" s="801">
        <f>325.06</f>
        <v>325.06</v>
      </c>
      <c r="G6" s="652">
        <v>1440</v>
      </c>
      <c r="H6" s="589">
        <f t="shared" ref="H6:H22" si="0">ROUND(G6*D6,2)</f>
        <v>4320</v>
      </c>
      <c r="I6" s="482">
        <f t="shared" ref="I6" si="1">ROUND(E6-G6,2)</f>
        <v>-1331.65</v>
      </c>
      <c r="J6" s="481">
        <f t="shared" ref="J6" si="2">F6-H6</f>
        <v>-3994.94</v>
      </c>
    </row>
    <row r="7" spans="1:12" x14ac:dyDescent="0.3">
      <c r="A7" s="443">
        <v>2</v>
      </c>
      <c r="B7" s="650" t="s">
        <v>2297</v>
      </c>
      <c r="C7" s="442" t="s">
        <v>40</v>
      </c>
      <c r="D7" s="683">
        <v>17</v>
      </c>
      <c r="E7" s="805">
        <f>ROUND(F7/D7,2)</f>
        <v>144.43</v>
      </c>
      <c r="F7" s="801">
        <f>2455.39</f>
        <v>2455.39</v>
      </c>
      <c r="G7" s="652">
        <f>G6*1.44</f>
        <v>2073.6</v>
      </c>
      <c r="H7" s="589">
        <f t="shared" si="0"/>
        <v>35251.199999999997</v>
      </c>
      <c r="I7" s="482">
        <f t="shared" ref="I7:I21" si="3">E7-G7</f>
        <v>-1929.1699999999998</v>
      </c>
      <c r="J7" s="481">
        <f>ROUND(F7-H7,2)</f>
        <v>-32795.81</v>
      </c>
    </row>
    <row r="8" spans="1:12" x14ac:dyDescent="0.3">
      <c r="A8" s="630">
        <v>3</v>
      </c>
      <c r="B8" s="428" t="s">
        <v>2298</v>
      </c>
      <c r="C8" s="442" t="s">
        <v>40</v>
      </c>
      <c r="D8" s="683">
        <v>76</v>
      </c>
      <c r="E8" s="805">
        <f>ROUND(F8/D8,2)</f>
        <v>222.8</v>
      </c>
      <c r="F8" s="801">
        <f>16932.71</f>
        <v>16932.71</v>
      </c>
      <c r="G8" s="652">
        <f>G7*1.5</f>
        <v>3110.3999999999996</v>
      </c>
      <c r="H8" s="589">
        <f t="shared" si="0"/>
        <v>236390.39999999999</v>
      </c>
      <c r="I8" s="482">
        <f t="shared" si="3"/>
        <v>-2887.5999999999995</v>
      </c>
      <c r="J8" s="481">
        <f t="shared" ref="J8:J22" si="4">ROUND(F8-H8,2)</f>
        <v>-219457.69</v>
      </c>
    </row>
    <row r="9" spans="1:12" x14ac:dyDescent="0.3">
      <c r="A9" s="630">
        <v>4</v>
      </c>
      <c r="B9" s="428" t="s">
        <v>2299</v>
      </c>
      <c r="C9" s="442" t="s">
        <v>40</v>
      </c>
      <c r="D9" s="683">
        <v>3</v>
      </c>
      <c r="E9" s="805">
        <f t="shared" ref="E9:E22" si="5">ROUND(F9/D9,2)</f>
        <v>360.35</v>
      </c>
      <c r="F9" s="801">
        <v>1081.05</v>
      </c>
      <c r="G9" s="652">
        <f>G6*0.75</f>
        <v>1080</v>
      </c>
      <c r="H9" s="589">
        <f t="shared" si="0"/>
        <v>3240</v>
      </c>
      <c r="I9" s="482">
        <f t="shared" si="3"/>
        <v>-719.65</v>
      </c>
      <c r="J9" s="481">
        <f t="shared" si="4"/>
        <v>-2158.9499999999998</v>
      </c>
    </row>
    <row r="10" spans="1:12" x14ac:dyDescent="0.3">
      <c r="A10" s="630">
        <v>5</v>
      </c>
      <c r="B10" s="428" t="s">
        <v>2300</v>
      </c>
      <c r="C10" s="442" t="s">
        <v>40</v>
      </c>
      <c r="D10" s="683">
        <v>17</v>
      </c>
      <c r="E10" s="805">
        <f t="shared" si="5"/>
        <v>463.21</v>
      </c>
      <c r="F10" s="801">
        <f>7874.51</f>
        <v>7874.51</v>
      </c>
      <c r="G10" s="652">
        <f>G9*1.5</f>
        <v>1620</v>
      </c>
      <c r="H10" s="589">
        <f t="shared" si="0"/>
        <v>27540</v>
      </c>
      <c r="I10" s="482">
        <f t="shared" si="3"/>
        <v>-1156.79</v>
      </c>
      <c r="J10" s="481">
        <f t="shared" si="4"/>
        <v>-19665.490000000002</v>
      </c>
      <c r="L10" s="539"/>
    </row>
    <row r="11" spans="1:12" x14ac:dyDescent="0.3">
      <c r="A11" s="630">
        <v>6</v>
      </c>
      <c r="B11" s="428" t="s">
        <v>2301</v>
      </c>
      <c r="C11" s="442" t="s">
        <v>40</v>
      </c>
      <c r="D11" s="683">
        <v>76</v>
      </c>
      <c r="E11" s="805">
        <f t="shared" si="5"/>
        <v>775.66</v>
      </c>
      <c r="F11" s="801">
        <v>58950.42</v>
      </c>
      <c r="G11" s="652">
        <f>G10*1.5</f>
        <v>2430</v>
      </c>
      <c r="H11" s="589">
        <f t="shared" si="0"/>
        <v>184680</v>
      </c>
      <c r="I11" s="482">
        <f t="shared" si="3"/>
        <v>-1654.3400000000001</v>
      </c>
      <c r="J11" s="481">
        <f t="shared" si="4"/>
        <v>-125729.58</v>
      </c>
    </row>
    <row r="12" spans="1:12" x14ac:dyDescent="0.3">
      <c r="A12" s="630">
        <f t="shared" ref="A12:A22" si="6">A11+1</f>
        <v>7</v>
      </c>
      <c r="B12" s="428" t="s">
        <v>2302</v>
      </c>
      <c r="C12" s="442" t="s">
        <v>2303</v>
      </c>
      <c r="D12" s="674">
        <f>1545/10000</f>
        <v>0.1545</v>
      </c>
      <c r="E12" s="805">
        <f t="shared" si="5"/>
        <v>26380</v>
      </c>
      <c r="F12" s="801">
        <v>4075.71</v>
      </c>
      <c r="G12" s="657">
        <v>286300</v>
      </c>
      <c r="H12" s="589">
        <f t="shared" si="0"/>
        <v>44233.35</v>
      </c>
      <c r="I12" s="482">
        <f t="shared" si="3"/>
        <v>-259920</v>
      </c>
      <c r="J12" s="481">
        <f t="shared" si="4"/>
        <v>-40157.64</v>
      </c>
    </row>
    <row r="13" spans="1:12" ht="31.2" x14ac:dyDescent="0.3">
      <c r="A13" s="630">
        <f t="shared" si="6"/>
        <v>8</v>
      </c>
      <c r="B13" s="428" t="s">
        <v>2304</v>
      </c>
      <c r="C13" s="442" t="s">
        <v>2303</v>
      </c>
      <c r="D13" s="674">
        <f>1545/10000</f>
        <v>0.1545</v>
      </c>
      <c r="E13" s="805">
        <f t="shared" si="5"/>
        <v>16476.12</v>
      </c>
      <c r="F13" s="801">
        <f>2802.39-256.83</f>
        <v>2545.56</v>
      </c>
      <c r="G13" s="657">
        <f>G12*0.56</f>
        <v>160328.00000000003</v>
      </c>
      <c r="H13" s="589">
        <f t="shared" si="0"/>
        <v>24770.68</v>
      </c>
      <c r="I13" s="482">
        <f t="shared" si="3"/>
        <v>-143851.88000000003</v>
      </c>
      <c r="J13" s="481">
        <f t="shared" si="4"/>
        <v>-22225.119999999999</v>
      </c>
    </row>
    <row r="14" spans="1:12" x14ac:dyDescent="0.3">
      <c r="A14" s="630">
        <f t="shared" si="6"/>
        <v>9</v>
      </c>
      <c r="B14" s="428" t="s">
        <v>2305</v>
      </c>
      <c r="C14" s="442" t="s">
        <v>2303</v>
      </c>
      <c r="D14" s="674">
        <f>1545/10000</f>
        <v>0.1545</v>
      </c>
      <c r="E14" s="805">
        <f t="shared" si="5"/>
        <v>7572.1</v>
      </c>
      <c r="F14" s="801">
        <v>1169.8900000000001</v>
      </c>
      <c r="G14" s="657">
        <f>G13*0.86</f>
        <v>137882.08000000002</v>
      </c>
      <c r="H14" s="589">
        <f t="shared" si="0"/>
        <v>21302.78</v>
      </c>
      <c r="I14" s="482">
        <f t="shared" si="3"/>
        <v>-130309.98000000001</v>
      </c>
      <c r="J14" s="481">
        <f t="shared" si="4"/>
        <v>-20132.89</v>
      </c>
    </row>
    <row r="15" spans="1:12" x14ac:dyDescent="0.3">
      <c r="A15" s="630">
        <f t="shared" si="6"/>
        <v>10</v>
      </c>
      <c r="B15" s="428" t="s">
        <v>2306</v>
      </c>
      <c r="C15" s="442" t="s">
        <v>40</v>
      </c>
      <c r="D15" s="683">
        <v>3</v>
      </c>
      <c r="E15" s="805">
        <f t="shared" si="5"/>
        <v>553.97</v>
      </c>
      <c r="F15" s="801">
        <v>1661.91</v>
      </c>
      <c r="G15" s="657">
        <v>1650</v>
      </c>
      <c r="H15" s="589">
        <f t="shared" si="0"/>
        <v>4950</v>
      </c>
      <c r="I15" s="482">
        <f t="shared" si="3"/>
        <v>-1096.03</v>
      </c>
      <c r="J15" s="481">
        <f t="shared" si="4"/>
        <v>-3288.09</v>
      </c>
    </row>
    <row r="16" spans="1:12" x14ac:dyDescent="0.3">
      <c r="A16" s="630">
        <f t="shared" si="6"/>
        <v>11</v>
      </c>
      <c r="B16" s="428" t="s">
        <v>2307</v>
      </c>
      <c r="C16" s="442" t="s">
        <v>40</v>
      </c>
      <c r="D16" s="683">
        <v>17</v>
      </c>
      <c r="E16" s="547">
        <f t="shared" si="5"/>
        <v>665</v>
      </c>
      <c r="F16" s="801">
        <v>11305.02</v>
      </c>
      <c r="G16" s="657">
        <f>G15*1.25</f>
        <v>2062.5</v>
      </c>
      <c r="H16" s="589">
        <f t="shared" si="0"/>
        <v>35062.5</v>
      </c>
      <c r="I16" s="482">
        <f t="shared" si="3"/>
        <v>-1397.5</v>
      </c>
      <c r="J16" s="481">
        <f t="shared" si="4"/>
        <v>-23757.48</v>
      </c>
      <c r="L16" s="539"/>
    </row>
    <row r="17" spans="1:12" x14ac:dyDescent="0.3">
      <c r="A17" s="630">
        <f t="shared" si="6"/>
        <v>12</v>
      </c>
      <c r="B17" s="428" t="s">
        <v>2308</v>
      </c>
      <c r="C17" s="442" t="s">
        <v>40</v>
      </c>
      <c r="D17" s="683">
        <v>76</v>
      </c>
      <c r="E17" s="547">
        <f t="shared" si="5"/>
        <v>1403.04</v>
      </c>
      <c r="F17" s="801">
        <v>106630.85</v>
      </c>
      <c r="G17" s="657">
        <f>G16*1.25</f>
        <v>2578.125</v>
      </c>
      <c r="H17" s="589">
        <f t="shared" si="0"/>
        <v>195937.5</v>
      </c>
      <c r="I17" s="482">
        <f t="shared" si="3"/>
        <v>-1175.085</v>
      </c>
      <c r="J17" s="481">
        <f t="shared" si="4"/>
        <v>-89306.65</v>
      </c>
      <c r="L17" s="539"/>
    </row>
    <row r="18" spans="1:12" ht="31.2" x14ac:dyDescent="0.3">
      <c r="A18" s="630">
        <f t="shared" si="6"/>
        <v>13</v>
      </c>
      <c r="B18" s="428" t="s">
        <v>2309</v>
      </c>
      <c r="C18" s="442" t="s">
        <v>40</v>
      </c>
      <c r="D18" s="683">
        <v>96</v>
      </c>
      <c r="E18" s="803">
        <f t="shared" si="5"/>
        <v>28.17</v>
      </c>
      <c r="F18" s="801">
        <v>2704.13</v>
      </c>
      <c r="G18" s="657">
        <f>E18*14</f>
        <v>394.38</v>
      </c>
      <c r="H18" s="589">
        <f t="shared" si="0"/>
        <v>37860.480000000003</v>
      </c>
      <c r="I18" s="482">
        <f t="shared" si="3"/>
        <v>-366.21</v>
      </c>
      <c r="J18" s="481">
        <f t="shared" si="4"/>
        <v>-35156.35</v>
      </c>
    </row>
    <row r="19" spans="1:12" x14ac:dyDescent="0.3">
      <c r="A19" s="630">
        <f t="shared" si="6"/>
        <v>14</v>
      </c>
      <c r="B19" s="428" t="s">
        <v>2310</v>
      </c>
      <c r="C19" s="442" t="s">
        <v>40</v>
      </c>
      <c r="D19" s="683">
        <v>96</v>
      </c>
      <c r="E19" s="804">
        <f t="shared" si="5"/>
        <v>45.08</v>
      </c>
      <c r="F19" s="801">
        <v>4327.22</v>
      </c>
      <c r="G19" s="657">
        <f>E19*14</f>
        <v>631.12</v>
      </c>
      <c r="H19" s="589">
        <f t="shared" si="0"/>
        <v>60587.519999999997</v>
      </c>
      <c r="I19" s="482">
        <f t="shared" si="3"/>
        <v>-586.04</v>
      </c>
      <c r="J19" s="481">
        <f t="shared" si="4"/>
        <v>-56260.3</v>
      </c>
      <c r="L19" s="539"/>
    </row>
    <row r="20" spans="1:12" x14ac:dyDescent="0.3">
      <c r="A20" s="630">
        <f t="shared" si="6"/>
        <v>15</v>
      </c>
      <c r="B20" s="428" t="s">
        <v>2311</v>
      </c>
      <c r="C20" s="442" t="s">
        <v>2312</v>
      </c>
      <c r="D20" s="682">
        <v>459.935</v>
      </c>
      <c r="E20" s="804">
        <f t="shared" si="5"/>
        <v>46.09</v>
      </c>
      <c r="F20" s="801">
        <v>21200.11</v>
      </c>
      <c r="G20" s="657">
        <v>285</v>
      </c>
      <c r="H20" s="589">
        <f t="shared" si="0"/>
        <v>131081.48000000001</v>
      </c>
      <c r="I20" s="482">
        <f t="shared" si="3"/>
        <v>-238.91</v>
      </c>
      <c r="J20" s="481">
        <f t="shared" si="4"/>
        <v>-109881.37</v>
      </c>
      <c r="L20" s="539"/>
    </row>
    <row r="21" spans="1:12" ht="31.2" x14ac:dyDescent="0.3">
      <c r="A21" s="630">
        <f t="shared" si="6"/>
        <v>16</v>
      </c>
      <c r="B21" s="428" t="s">
        <v>2313</v>
      </c>
      <c r="C21" s="442" t="s">
        <v>2312</v>
      </c>
      <c r="D21" s="682">
        <v>309.53500000000003</v>
      </c>
      <c r="E21" s="547">
        <f t="shared" si="5"/>
        <v>215.71</v>
      </c>
      <c r="F21" s="801">
        <v>66770.94</v>
      </c>
      <c r="G21" s="657">
        <v>282</v>
      </c>
      <c r="H21" s="589">
        <f t="shared" si="0"/>
        <v>87288.87</v>
      </c>
      <c r="I21" s="482">
        <f t="shared" si="3"/>
        <v>-66.289999999999992</v>
      </c>
      <c r="J21" s="481">
        <f t="shared" si="4"/>
        <v>-20517.93</v>
      </c>
      <c r="L21" s="539"/>
    </row>
    <row r="22" spans="1:12" ht="31.2" x14ac:dyDescent="0.3">
      <c r="A22" s="630">
        <f t="shared" si="6"/>
        <v>17</v>
      </c>
      <c r="B22" s="428" t="s">
        <v>2314</v>
      </c>
      <c r="C22" s="442" t="s">
        <v>2312</v>
      </c>
      <c r="D22" s="676">
        <f>459.935-309.535</f>
        <v>150.39999999999998</v>
      </c>
      <c r="E22" s="547">
        <f t="shared" si="5"/>
        <v>215.71</v>
      </c>
      <c r="F22" s="587">
        <v>32443.37</v>
      </c>
      <c r="G22" s="657">
        <v>282</v>
      </c>
      <c r="H22" s="589">
        <f t="shared" si="0"/>
        <v>42412.800000000003</v>
      </c>
      <c r="I22" s="482"/>
      <c r="J22" s="481">
        <f t="shared" si="4"/>
        <v>-9969.43</v>
      </c>
    </row>
    <row r="23" spans="1:12" s="673" customFormat="1" x14ac:dyDescent="0.35">
      <c r="A23" s="667"/>
      <c r="B23" s="938" t="s">
        <v>2315</v>
      </c>
      <c r="C23" s="939"/>
      <c r="D23" s="939"/>
      <c r="E23" s="668"/>
      <c r="F23" s="1250">
        <f>SUM(F6:F22)</f>
        <v>342453.85000000003</v>
      </c>
      <c r="G23" s="729"/>
      <c r="H23" s="728">
        <f>SUM(H6:H22)</f>
        <v>1176909.56</v>
      </c>
      <c r="I23" s="729"/>
      <c r="J23" s="1250">
        <f>SUM(J6:J22)</f>
        <v>-834455.7100000002</v>
      </c>
      <c r="K23" s="672"/>
    </row>
  </sheetData>
  <mergeCells count="10">
    <mergeCell ref="B5:J5"/>
    <mergeCell ref="B23:D23"/>
    <mergeCell ref="A1:J1"/>
    <mergeCell ref="A2:A4"/>
    <mergeCell ref="B2:B4"/>
    <mergeCell ref="C2:C4"/>
    <mergeCell ref="D2:D4"/>
    <mergeCell ref="E2:F3"/>
    <mergeCell ref="G2:H3"/>
    <mergeCell ref="I2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C643-B1EE-4BFD-8D38-A2A78C92B0D4}">
  <sheetPr>
    <tabColor theme="8" tint="0.59999389629810485"/>
  </sheetPr>
  <dimension ref="A1:K7"/>
  <sheetViews>
    <sheetView zoomScale="60" zoomScaleNormal="60" workbookViewId="0">
      <selection activeCell="G17" sqref="G17"/>
    </sheetView>
  </sheetViews>
  <sheetFormatPr defaultRowHeight="18" x14ac:dyDescent="0.3"/>
  <cols>
    <col min="1" max="1" width="6.109375" customWidth="1"/>
    <col min="2" max="2" width="105.88671875" style="106" customWidth="1"/>
    <col min="3" max="3" width="13" style="106" customWidth="1"/>
    <col min="4" max="4" width="13.88671875" customWidth="1"/>
    <col min="5" max="5" width="15.33203125" style="271" customWidth="1"/>
    <col min="6" max="6" width="24.88671875" style="198" customWidth="1"/>
    <col min="7" max="7" width="15" style="295" customWidth="1"/>
    <col min="8" max="8" width="22.44140625" style="209" customWidth="1"/>
    <col min="9" max="9" width="15.5546875" style="271" customWidth="1"/>
    <col min="10" max="10" width="20.109375" style="211" customWidth="1"/>
    <col min="11" max="11" width="25.5546875" style="518" customWidth="1"/>
    <col min="12" max="12" width="26" customWidth="1"/>
  </cols>
  <sheetData>
    <row r="1" spans="1:11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1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1375</v>
      </c>
      <c r="H2" s="877"/>
      <c r="I2" s="880" t="s">
        <v>1376</v>
      </c>
      <c r="J2" s="881"/>
    </row>
    <row r="3" spans="1:11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1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1" s="483" customFormat="1" x14ac:dyDescent="0.35">
      <c r="A5" s="485"/>
      <c r="B5" s="920" t="s">
        <v>2295</v>
      </c>
      <c r="C5" s="921"/>
      <c r="D5" s="921"/>
      <c r="E5" s="921"/>
      <c r="F5" s="921"/>
      <c r="G5" s="921"/>
      <c r="H5" s="921"/>
      <c r="I5" s="921"/>
      <c r="J5" s="921"/>
      <c r="K5" s="490"/>
    </row>
    <row r="6" spans="1:11" x14ac:dyDescent="0.3">
      <c r="A6" s="443">
        <f>A5+1</f>
        <v>1</v>
      </c>
      <c r="B6" s="428" t="s">
        <v>1567</v>
      </c>
      <c r="C6" s="442" t="s">
        <v>17</v>
      </c>
      <c r="D6" s="492">
        <f>(2400*96)/10000</f>
        <v>23.04</v>
      </c>
      <c r="E6" s="805">
        <f t="shared" ref="E6" si="0">ROUND(F6/D6,2)</f>
        <v>1167.51</v>
      </c>
      <c r="F6" s="802">
        <v>26899.53</v>
      </c>
      <c r="G6" s="1251">
        <v>2300</v>
      </c>
      <c r="H6" s="619">
        <f>ROUND(G6*D6,2)</f>
        <v>52992</v>
      </c>
      <c r="I6" s="482">
        <f t="shared" ref="I6:J6" si="1">ROUND(E6-G6,2)</f>
        <v>-1132.49</v>
      </c>
      <c r="J6" s="481">
        <f t="shared" si="1"/>
        <v>-26092.47</v>
      </c>
    </row>
    <row r="7" spans="1:11" s="483" customFormat="1" x14ac:dyDescent="0.35">
      <c r="A7" s="485"/>
      <c r="B7" s="920" t="s">
        <v>2316</v>
      </c>
      <c r="C7" s="921"/>
      <c r="D7" s="1252"/>
      <c r="E7" s="684"/>
      <c r="F7" s="685">
        <f>SUM(F6:F6)</f>
        <v>26899.53</v>
      </c>
      <c r="G7" s="686"/>
      <c r="H7" s="685">
        <f>SUM(H6:H6)</f>
        <v>52992</v>
      </c>
      <c r="I7" s="686"/>
      <c r="J7" s="685">
        <f>SUM(J6:J6)</f>
        <v>-26092.47</v>
      </c>
      <c r="K7" s="490"/>
    </row>
  </sheetData>
  <mergeCells count="10">
    <mergeCell ref="B5:J5"/>
    <mergeCell ref="B7:D7"/>
    <mergeCell ref="A1:J1"/>
    <mergeCell ref="A2:A4"/>
    <mergeCell ref="B2:B4"/>
    <mergeCell ref="C2:C4"/>
    <mergeCell ref="D2:D4"/>
    <mergeCell ref="E2:F3"/>
    <mergeCell ref="G2:H3"/>
    <mergeCell ref="I2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064"/>
  <sheetViews>
    <sheetView view="pageBreakPreview" zoomScale="60" zoomScaleNormal="60" workbookViewId="0">
      <pane ySplit="4" topLeftCell="A5" activePane="bottomLeft" state="frozen"/>
      <selection pane="bottomLeft" activeCell="B9" sqref="B9"/>
    </sheetView>
  </sheetViews>
  <sheetFormatPr defaultRowHeight="18" outlineLevelRow="3" x14ac:dyDescent="0.3"/>
  <cols>
    <col min="1" max="1" width="6.109375" customWidth="1"/>
    <col min="2" max="2" width="123" style="106" customWidth="1"/>
    <col min="3" max="3" width="13" style="106" hidden="1" customWidth="1"/>
    <col min="4" max="4" width="12.44140625" style="254" hidden="1" customWidth="1"/>
    <col min="5" max="5" width="19" hidden="1" customWidth="1"/>
    <col min="6" max="6" width="11.88671875" style="271" hidden="1" customWidth="1"/>
    <col min="7" max="7" width="23.5546875" style="225" customWidth="1"/>
    <col min="8" max="8" width="9.88671875" style="271" hidden="1" customWidth="1"/>
    <col min="9" max="9" width="9.44140625" style="229" hidden="1" customWidth="1"/>
    <col min="10" max="10" width="11.6640625" style="271" hidden="1" customWidth="1"/>
    <col min="11" max="11" width="17.44140625" style="198" hidden="1" customWidth="1"/>
    <col min="12" max="12" width="9.44140625" style="271" hidden="1" customWidth="1"/>
    <col min="13" max="13" width="9.44140625" style="229" hidden="1" customWidth="1"/>
    <col min="14" max="14" width="11.109375" style="271" hidden="1" customWidth="1"/>
    <col min="15" max="15" width="16.33203125" style="198" hidden="1" customWidth="1"/>
    <col min="16" max="16" width="8.88671875" style="271" hidden="1" customWidth="1"/>
    <col min="17" max="17" width="11.33203125" style="229" hidden="1" customWidth="1"/>
    <col min="18" max="18" width="11.5546875" style="271" hidden="1" customWidth="1"/>
    <col min="19" max="19" width="17.109375" style="198" hidden="1" customWidth="1"/>
    <col min="20" max="20" width="10.88671875" style="229" hidden="1" customWidth="1"/>
    <col min="21" max="21" width="11.44140625" style="295" hidden="1" customWidth="1"/>
    <col min="22" max="22" width="21.6640625" style="209" hidden="1" customWidth="1"/>
    <col min="23" max="23" width="11.5546875" style="229" hidden="1" customWidth="1"/>
    <col min="24" max="24" width="13.88671875" style="295" hidden="1" customWidth="1"/>
    <col min="25" max="25" width="22.6640625" style="209" hidden="1" customWidth="1"/>
    <col min="26" max="26" width="23.33203125" style="148" customWidth="1"/>
    <col min="27" max="27" width="10.5546875" style="158" hidden="1" customWidth="1"/>
    <col min="28" max="28" width="15.33203125" style="159" hidden="1" customWidth="1"/>
    <col min="29" max="29" width="10.5546875" style="229" hidden="1" customWidth="1"/>
    <col min="30" max="30" width="12.33203125" style="271" hidden="1" customWidth="1"/>
    <col min="31" max="31" width="21.5546875" style="211" customWidth="1"/>
    <col min="32" max="32" width="12" hidden="1" customWidth="1"/>
    <col min="33" max="33" width="12.109375" customWidth="1"/>
  </cols>
  <sheetData>
    <row r="1" spans="1:32" ht="18.75" customHeight="1" x14ac:dyDescent="0.3">
      <c r="A1" s="1195" t="s">
        <v>322</v>
      </c>
      <c r="B1" s="1195"/>
      <c r="C1" s="1195"/>
      <c r="D1" s="1195"/>
      <c r="E1" s="1195"/>
      <c r="F1" s="1195"/>
      <c r="G1" s="1195"/>
      <c r="H1" s="1195"/>
      <c r="I1" s="1195"/>
      <c r="J1" s="1195"/>
      <c r="K1" s="1195"/>
      <c r="L1" s="1195"/>
      <c r="M1" s="1195"/>
      <c r="N1" s="1195"/>
      <c r="O1" s="1195"/>
      <c r="P1" s="1195"/>
      <c r="Q1" s="1195"/>
      <c r="R1" s="1195"/>
      <c r="S1" s="1195"/>
      <c r="T1" s="1195"/>
      <c r="U1" s="1195"/>
      <c r="V1" s="1195"/>
      <c r="W1" s="1195"/>
      <c r="X1" s="1195"/>
      <c r="Y1" s="1195"/>
      <c r="Z1" s="1195"/>
      <c r="AA1" s="1195"/>
      <c r="AB1" s="1195"/>
      <c r="AC1" s="1195"/>
      <c r="AD1" s="1195"/>
      <c r="AE1" s="1195"/>
    </row>
    <row r="2" spans="1:32" ht="49.5" customHeight="1" x14ac:dyDescent="0.3">
      <c r="A2" s="1178" t="s">
        <v>13</v>
      </c>
      <c r="B2" s="1181" t="s">
        <v>1</v>
      </c>
      <c r="C2" s="1184" t="s">
        <v>0</v>
      </c>
      <c r="D2" s="1185" t="s">
        <v>4</v>
      </c>
      <c r="E2" s="1184" t="s">
        <v>11</v>
      </c>
      <c r="F2" s="408" t="s">
        <v>1313</v>
      </c>
      <c r="G2" s="409" t="s">
        <v>1362</v>
      </c>
      <c r="H2" s="1166" t="s">
        <v>304</v>
      </c>
      <c r="I2" s="1167"/>
      <c r="J2" s="1167"/>
      <c r="K2" s="1167"/>
      <c r="L2" s="1167"/>
      <c r="M2" s="1167"/>
      <c r="N2" s="1167"/>
      <c r="O2" s="1167"/>
      <c r="P2" s="1167"/>
      <c r="Q2" s="1167"/>
      <c r="R2" s="1167"/>
      <c r="S2" s="1168"/>
      <c r="T2" s="1175" t="s">
        <v>321</v>
      </c>
      <c r="U2" s="1176"/>
      <c r="V2" s="1176"/>
      <c r="W2" s="1176"/>
      <c r="X2" s="1176"/>
      <c r="Y2" s="1177"/>
      <c r="Z2" s="410" t="s">
        <v>1363</v>
      </c>
      <c r="AA2" s="411"/>
      <c r="AB2" s="411"/>
      <c r="AC2" s="411"/>
      <c r="AD2" s="411"/>
      <c r="AE2" s="412" t="s">
        <v>318</v>
      </c>
    </row>
    <row r="3" spans="1:32" ht="42.75" hidden="1" customHeight="1" x14ac:dyDescent="0.3">
      <c r="A3" s="1179"/>
      <c r="B3" s="1182"/>
      <c r="C3" s="1184"/>
      <c r="D3" s="1185"/>
      <c r="E3" s="1184"/>
      <c r="F3" s="413"/>
      <c r="G3" s="414"/>
      <c r="H3" s="1169" t="s">
        <v>305</v>
      </c>
      <c r="I3" s="1170"/>
      <c r="J3" s="1170"/>
      <c r="K3" s="1171"/>
      <c r="L3" s="1169" t="s">
        <v>306</v>
      </c>
      <c r="M3" s="1170"/>
      <c r="N3" s="1170"/>
      <c r="O3" s="1171"/>
      <c r="P3" s="1169" t="s">
        <v>307</v>
      </c>
      <c r="Q3" s="1170"/>
      <c r="R3" s="1170"/>
      <c r="S3" s="1171"/>
      <c r="T3" s="1172" t="s">
        <v>313</v>
      </c>
      <c r="U3" s="1173"/>
      <c r="V3" s="1174"/>
      <c r="W3" s="1172" t="s">
        <v>314</v>
      </c>
      <c r="X3" s="1173"/>
      <c r="Y3" s="1174"/>
      <c r="Z3" s="1163" t="s">
        <v>319</v>
      </c>
      <c r="AA3" s="1164"/>
      <c r="AB3" s="1165"/>
      <c r="AC3" s="415" t="s">
        <v>320</v>
      </c>
      <c r="AD3" s="1199" t="s">
        <v>317</v>
      </c>
      <c r="AE3" s="1201" t="s">
        <v>316</v>
      </c>
    </row>
    <row r="4" spans="1:32" ht="34.799999999999997" x14ac:dyDescent="0.3">
      <c r="A4" s="1180"/>
      <c r="B4" s="1183"/>
      <c r="C4" s="1184"/>
      <c r="D4" s="1185"/>
      <c r="E4" s="1184"/>
      <c r="F4" s="416" t="s">
        <v>308</v>
      </c>
      <c r="G4" s="417" t="s">
        <v>310</v>
      </c>
      <c r="H4" s="418" t="s">
        <v>312</v>
      </c>
      <c r="I4" s="417" t="s">
        <v>311</v>
      </c>
      <c r="J4" s="418" t="s">
        <v>317</v>
      </c>
      <c r="K4" s="419" t="s">
        <v>309</v>
      </c>
      <c r="L4" s="418" t="s">
        <v>312</v>
      </c>
      <c r="M4" s="417" t="s">
        <v>311</v>
      </c>
      <c r="N4" s="418" t="s">
        <v>317</v>
      </c>
      <c r="O4" s="419" t="s">
        <v>310</v>
      </c>
      <c r="P4" s="418" t="s">
        <v>312</v>
      </c>
      <c r="Q4" s="417" t="s">
        <v>311</v>
      </c>
      <c r="R4" s="418" t="s">
        <v>317</v>
      </c>
      <c r="S4" s="417" t="s">
        <v>310</v>
      </c>
      <c r="T4" s="417" t="s">
        <v>311</v>
      </c>
      <c r="U4" s="420" t="s">
        <v>317</v>
      </c>
      <c r="V4" s="421" t="s">
        <v>315</v>
      </c>
      <c r="W4" s="417" t="s">
        <v>311</v>
      </c>
      <c r="X4" s="420" t="s">
        <v>317</v>
      </c>
      <c r="Y4" s="421" t="s">
        <v>316</v>
      </c>
      <c r="Z4" s="420" t="s">
        <v>311</v>
      </c>
      <c r="AA4" s="420" t="s">
        <v>317</v>
      </c>
      <c r="AB4" s="420" t="s">
        <v>316</v>
      </c>
      <c r="AC4" s="421" t="s">
        <v>311</v>
      </c>
      <c r="AD4" s="1200"/>
      <c r="AE4" s="1202"/>
    </row>
    <row r="5" spans="1:32" s="142" customFormat="1" ht="54" customHeight="1" x14ac:dyDescent="0.3">
      <c r="A5" s="393"/>
      <c r="B5" s="996" t="s">
        <v>1359</v>
      </c>
      <c r="C5" s="997"/>
      <c r="D5" s="997"/>
      <c r="E5" s="997"/>
      <c r="F5" s="998"/>
      <c r="G5" s="401">
        <f>G701+G751+G759+G774+G789+G809+G492+G613+G824+G835</f>
        <v>5247778.5399999991</v>
      </c>
      <c r="H5" s="402"/>
      <c r="I5" s="402"/>
      <c r="J5" s="402"/>
      <c r="K5" s="397">
        <f>SUM(K6:K124)</f>
        <v>12958245</v>
      </c>
      <c r="L5" s="402"/>
      <c r="M5" s="402"/>
      <c r="N5" s="402"/>
      <c r="O5" s="397">
        <f>SUM(O6:O124)</f>
        <v>13306089</v>
      </c>
      <c r="P5" s="402"/>
      <c r="Q5" s="402"/>
      <c r="R5" s="402"/>
      <c r="S5" s="397">
        <f>SUM(S6:S124)</f>
        <v>9808906</v>
      </c>
      <c r="T5" s="402"/>
      <c r="U5" s="403"/>
      <c r="V5" s="401">
        <f>V701+V751+V759+V774+V789+V809+V492+V613+V824+V835</f>
        <v>12715633.575794</v>
      </c>
      <c r="W5" s="402"/>
      <c r="X5" s="403"/>
      <c r="Y5" s="401">
        <f>Y492+Y613+Y701+Y751+Y759+Y774+Y789+Y809+Y824+Y835</f>
        <v>22310077.591520667</v>
      </c>
      <c r="Z5" s="404">
        <f t="shared" ref="Z5:Z11" si="0">V5+Y5</f>
        <v>35025711.167314664</v>
      </c>
      <c r="AA5" s="403"/>
      <c r="AB5" s="403"/>
      <c r="AC5" s="403"/>
      <c r="AD5" s="403"/>
      <c r="AE5" s="401">
        <f>AE701+AE751+AE759+AE774+AE789+AE809+AE492+AE613+AE824+AE835</f>
        <v>-9234390.705314666</v>
      </c>
      <c r="AF5" s="398">
        <f>AE5/S5</f>
        <v>-0.94142921803049862</v>
      </c>
    </row>
    <row r="6" spans="1:32" s="142" customFormat="1" ht="54" customHeight="1" x14ac:dyDescent="0.3">
      <c r="A6" s="393"/>
      <c r="B6" s="996" t="s">
        <v>1358</v>
      </c>
      <c r="C6" s="997"/>
      <c r="D6" s="997"/>
      <c r="E6" s="997"/>
      <c r="F6" s="998"/>
      <c r="G6" s="401">
        <f>G14+G128+G140+G149+G152+G206+G224+G255+G308+G317+G334+G348+G364+G382+G427+G453+G475+G461</f>
        <v>1952079.45</v>
      </c>
      <c r="H6" s="402"/>
      <c r="I6" s="402"/>
      <c r="J6" s="402"/>
      <c r="K6" s="397">
        <f>SUM(K14:K125)</f>
        <v>5516396</v>
      </c>
      <c r="L6" s="402"/>
      <c r="M6" s="402"/>
      <c r="N6" s="402"/>
      <c r="O6" s="397">
        <f>SUM(O14:O125)</f>
        <v>5326699</v>
      </c>
      <c r="P6" s="402"/>
      <c r="Q6" s="402"/>
      <c r="R6" s="402"/>
      <c r="S6" s="397">
        <f>SUM(S14:S125)</f>
        <v>3886565</v>
      </c>
      <c r="T6" s="402"/>
      <c r="U6" s="403"/>
      <c r="V6" s="401">
        <f>V14+V128+V140+V149+V152+V206+V224+V255+V308+V317+V334+V348+V364+V382+V427+V453+V475+V461</f>
        <v>6638304.8937799986</v>
      </c>
      <c r="W6" s="402"/>
      <c r="X6" s="403"/>
      <c r="Y6" s="401">
        <f>Y14+Y128+Y140+Y149+Y152+Y206+Y224+Y255+Y308+Y317+Y334+Y348+Y364+Y382+Y427+Y453+Y475+Y461</f>
        <v>5391413.9378799982</v>
      </c>
      <c r="Z6" s="404">
        <f t="shared" si="0"/>
        <v>12029718.831659997</v>
      </c>
      <c r="AA6" s="403"/>
      <c r="AB6" s="403"/>
      <c r="AC6" s="405"/>
      <c r="AD6" s="405"/>
      <c r="AE6" s="401">
        <f>AE14+AE128+AE140+AE149+AE152+AE206+AE224+AE255+AE308+AE317+AE334+AE348+AE364+AE382+AE427+AE453+AE475+AE461</f>
        <v>-2638663.6958062118</v>
      </c>
      <c r="AF6" s="398">
        <f>AE6/S6</f>
        <v>-0.67891922450961495</v>
      </c>
    </row>
    <row r="7" spans="1:32" s="142" customFormat="1" ht="47.25" customHeight="1" x14ac:dyDescent="0.3">
      <c r="A7" s="393"/>
      <c r="B7" s="996" t="s">
        <v>1361</v>
      </c>
      <c r="C7" s="997"/>
      <c r="D7" s="997"/>
      <c r="E7" s="997"/>
      <c r="F7" s="998"/>
      <c r="G7" s="401">
        <f>G884</f>
        <v>1073321.03</v>
      </c>
      <c r="H7" s="402"/>
      <c r="I7" s="402"/>
      <c r="J7" s="402"/>
      <c r="K7" s="397"/>
      <c r="L7" s="402"/>
      <c r="M7" s="402"/>
      <c r="N7" s="402"/>
      <c r="O7" s="397"/>
      <c r="P7" s="402"/>
      <c r="Q7" s="402"/>
      <c r="R7" s="402"/>
      <c r="S7" s="397"/>
      <c r="T7" s="402"/>
      <c r="U7" s="403"/>
      <c r="V7" s="401">
        <f>V884</f>
        <v>3523716</v>
      </c>
      <c r="W7" s="402"/>
      <c r="X7" s="403"/>
      <c r="Y7" s="401">
        <f>Y884</f>
        <v>5153919.5719999997</v>
      </c>
      <c r="Z7" s="404">
        <f t="shared" si="0"/>
        <v>8677635.5720000006</v>
      </c>
      <c r="AA7" s="403"/>
      <c r="AB7" s="403"/>
      <c r="AC7" s="405"/>
      <c r="AD7" s="405"/>
      <c r="AE7" s="401">
        <f>AE884</f>
        <v>-2526725.5719999997</v>
      </c>
      <c r="AF7" s="398"/>
    </row>
    <row r="8" spans="1:32" s="142" customFormat="1" ht="47.25" customHeight="1" x14ac:dyDescent="0.3">
      <c r="A8" s="393"/>
      <c r="B8" s="996" t="s">
        <v>1360</v>
      </c>
      <c r="C8" s="997"/>
      <c r="D8" s="997"/>
      <c r="E8" s="997"/>
      <c r="F8" s="998"/>
      <c r="G8" s="401">
        <f>G861</f>
        <v>1138320.7830000001</v>
      </c>
      <c r="H8" s="402"/>
      <c r="I8" s="402"/>
      <c r="J8" s="402"/>
      <c r="K8" s="397"/>
      <c r="L8" s="402"/>
      <c r="M8" s="402"/>
      <c r="N8" s="402"/>
      <c r="O8" s="397"/>
      <c r="P8" s="402"/>
      <c r="Q8" s="402"/>
      <c r="R8" s="402"/>
      <c r="S8" s="397"/>
      <c r="T8" s="402"/>
      <c r="U8" s="403"/>
      <c r="V8" s="401">
        <f>V861</f>
        <v>20616987.958000001</v>
      </c>
      <c r="W8" s="402"/>
      <c r="X8" s="403"/>
      <c r="Y8" s="401">
        <f>Y861</f>
        <v>7729251.7309999978</v>
      </c>
      <c r="Z8" s="404">
        <f t="shared" si="0"/>
        <v>28346239.688999999</v>
      </c>
      <c r="AA8" s="403"/>
      <c r="AB8" s="403"/>
      <c r="AC8" s="405"/>
      <c r="AD8" s="405"/>
      <c r="AE8" s="401">
        <f>AE861</f>
        <v>-10772080.688999999</v>
      </c>
      <c r="AF8" s="398"/>
    </row>
    <row r="9" spans="1:32" s="142" customFormat="1" ht="47.25" customHeight="1" x14ac:dyDescent="0.3">
      <c r="A9" s="393"/>
      <c r="B9" s="394" t="s">
        <v>1365</v>
      </c>
      <c r="C9" s="395"/>
      <c r="D9" s="395"/>
      <c r="E9" s="395"/>
      <c r="F9" s="396"/>
      <c r="G9" s="401">
        <f>G965+G1034</f>
        <v>423628.21000000008</v>
      </c>
      <c r="H9" s="402"/>
      <c r="I9" s="402"/>
      <c r="J9" s="402"/>
      <c r="K9" s="397"/>
      <c r="L9" s="402"/>
      <c r="M9" s="402"/>
      <c r="N9" s="402"/>
      <c r="O9" s="397"/>
      <c r="P9" s="402"/>
      <c r="Q9" s="402"/>
      <c r="R9" s="402"/>
      <c r="S9" s="397"/>
      <c r="T9" s="402"/>
      <c r="U9" s="403"/>
      <c r="V9" s="401">
        <f>V965+V1034</f>
        <v>0</v>
      </c>
      <c r="W9" s="402"/>
      <c r="X9" s="403"/>
      <c r="Y9" s="401">
        <f>Y965+Y1034</f>
        <v>2730423.6084000003</v>
      </c>
      <c r="Z9" s="404">
        <f t="shared" si="0"/>
        <v>2730423.6084000003</v>
      </c>
      <c r="AA9" s="403"/>
      <c r="AB9" s="403"/>
      <c r="AC9" s="405"/>
      <c r="AD9" s="405"/>
      <c r="AE9" s="401">
        <f>AE965+AE1034</f>
        <v>-1151574.6084</v>
      </c>
      <c r="AF9" s="398"/>
    </row>
    <row r="10" spans="1:32" s="142" customFormat="1" ht="47.25" customHeight="1" x14ac:dyDescent="0.3">
      <c r="A10" s="393"/>
      <c r="B10" s="996" t="s">
        <v>1364</v>
      </c>
      <c r="C10" s="997"/>
      <c r="D10" s="997"/>
      <c r="E10" s="997"/>
      <c r="F10" s="998"/>
      <c r="G10" s="401">
        <f>G907+G918</f>
        <v>1756612.4900000002</v>
      </c>
      <c r="H10" s="402"/>
      <c r="I10" s="402"/>
      <c r="J10" s="402"/>
      <c r="K10" s="397"/>
      <c r="L10" s="402"/>
      <c r="M10" s="402"/>
      <c r="N10" s="402"/>
      <c r="O10" s="397"/>
      <c r="P10" s="402"/>
      <c r="Q10" s="402"/>
      <c r="R10" s="402"/>
      <c r="S10" s="397"/>
      <c r="T10" s="402"/>
      <c r="U10" s="403"/>
      <c r="V10" s="401">
        <f>V907+V918</f>
        <v>499624.91061999998</v>
      </c>
      <c r="W10" s="402"/>
      <c r="X10" s="403"/>
      <c r="Y10" s="401">
        <f>Y907+Y918</f>
        <v>9229145.5153000001</v>
      </c>
      <c r="Z10" s="404">
        <f>V10+Y10</f>
        <v>9728770.4259200003</v>
      </c>
      <c r="AA10" s="403"/>
      <c r="AB10" s="403"/>
      <c r="AC10" s="405"/>
      <c r="AD10" s="405"/>
      <c r="AE10" s="401">
        <f>AE907+AE918</f>
        <v>-2388805.4259200008</v>
      </c>
      <c r="AF10" s="398"/>
    </row>
    <row r="11" spans="1:32" s="142" customFormat="1" ht="47.25" customHeight="1" x14ac:dyDescent="0.3">
      <c r="A11" s="393"/>
      <c r="B11" s="394"/>
      <c r="C11" s="395"/>
      <c r="D11" s="395"/>
      <c r="E11" s="395"/>
      <c r="F11" s="396"/>
      <c r="G11" s="401">
        <f>G5+G6+G7+G8+G9+G10</f>
        <v>11591740.503</v>
      </c>
      <c r="H11" s="402"/>
      <c r="I11" s="402"/>
      <c r="J11" s="402"/>
      <c r="K11" s="397"/>
      <c r="L11" s="402"/>
      <c r="M11" s="402"/>
      <c r="N11" s="402"/>
      <c r="O11" s="397"/>
      <c r="P11" s="402"/>
      <c r="Q11" s="402"/>
      <c r="R11" s="402"/>
      <c r="S11" s="397"/>
      <c r="T11" s="402"/>
      <c r="U11" s="403"/>
      <c r="V11" s="401">
        <f>V5+V6+V7+V8+V9+V10</f>
        <v>43994267.33819399</v>
      </c>
      <c r="W11" s="402"/>
      <c r="X11" s="403"/>
      <c r="Y11" s="401">
        <f>Y5+Y6+Y7+Y8+Y9+Y10</f>
        <v>52544231.956100665</v>
      </c>
      <c r="Z11" s="404">
        <f t="shared" si="0"/>
        <v>96538499.294294655</v>
      </c>
      <c r="AA11" s="403"/>
      <c r="AB11" s="403"/>
      <c r="AC11" s="405"/>
      <c r="AD11" s="405"/>
      <c r="AE11" s="401">
        <f>AE5+AE6+AE7+AE8+AE9+AE10</f>
        <v>-28712240.696440879</v>
      </c>
      <c r="AF11" s="398"/>
    </row>
    <row r="12" spans="1:32" s="142" customFormat="1" ht="26.25" hidden="1" customHeight="1" x14ac:dyDescent="0.3">
      <c r="A12" s="393"/>
      <c r="B12" s="996" t="s">
        <v>1358</v>
      </c>
      <c r="C12" s="997"/>
      <c r="D12" s="997"/>
      <c r="E12" s="997"/>
      <c r="F12" s="998"/>
      <c r="G12" s="401">
        <f>G14+G128+G140+G149+G152+G206+G224+G255+G308+G317+G334+G348+G364+G382+G427+G453+G475+G461</f>
        <v>1952079.45</v>
      </c>
      <c r="H12" s="402"/>
      <c r="I12" s="402"/>
      <c r="J12" s="402"/>
      <c r="K12" s="397">
        <f>SUM(K20:K131)</f>
        <v>1925453</v>
      </c>
      <c r="L12" s="402"/>
      <c r="M12" s="402"/>
      <c r="N12" s="402"/>
      <c r="O12" s="397">
        <f>SUM(O20:O131)</f>
        <v>2657416</v>
      </c>
      <c r="P12" s="402"/>
      <c r="Q12" s="402"/>
      <c r="R12" s="402"/>
      <c r="S12" s="397">
        <f>SUM(S20:S131)</f>
        <v>2040978</v>
      </c>
      <c r="T12" s="402"/>
      <c r="U12" s="403"/>
      <c r="V12" s="401">
        <f>V14+V128+V140+V149+V152+V206+V224+V255+V308+V317+V334+V348+V364+V382+V427+V453+V475+V461</f>
        <v>6638304.8937799986</v>
      </c>
      <c r="W12" s="402"/>
      <c r="X12" s="403"/>
      <c r="Y12" s="401">
        <f>Y14+Y128+Y140+Y149+Y152+Y206+Y224+Y255+Y308+Y317+Y334+Y348+Y364+Y382+Y427+Y453+Y475+Y461</f>
        <v>5391413.9378799982</v>
      </c>
      <c r="Z12" s="401"/>
      <c r="AA12" s="403"/>
      <c r="AB12" s="403"/>
      <c r="AC12" s="405"/>
      <c r="AD12" s="405"/>
      <c r="AE12" s="407">
        <f>AE14+AE128+AE140+AE149+AE152+AE206+AE224+AE255+AE308+AE317+AE334+AE348+AE364+AE382+AE427+AE453+AE475+AE461</f>
        <v>-2638663.6958062118</v>
      </c>
      <c r="AF12" s="398">
        <f>AE12/S12</f>
        <v>-1.2928427919390664</v>
      </c>
    </row>
    <row r="13" spans="1:32" s="95" customFormat="1" hidden="1" x14ac:dyDescent="0.3">
      <c r="A13" s="98"/>
      <c r="B13" s="160"/>
      <c r="C13" s="107"/>
      <c r="D13" s="253"/>
      <c r="E13" s="98"/>
      <c r="F13" s="154"/>
      <c r="G13" s="214"/>
      <c r="H13" s="154"/>
      <c r="I13" s="231"/>
      <c r="J13" s="154"/>
      <c r="K13" s="194"/>
      <c r="L13" s="154"/>
      <c r="M13" s="231"/>
      <c r="N13" s="154"/>
      <c r="O13" s="194"/>
      <c r="P13" s="154"/>
      <c r="Q13" s="231"/>
      <c r="R13" s="286"/>
      <c r="S13" s="194"/>
      <c r="T13" s="231"/>
      <c r="U13" s="155"/>
      <c r="V13" s="194"/>
      <c r="W13" s="231"/>
      <c r="X13" s="155"/>
      <c r="Y13" s="194"/>
      <c r="Z13" s="157"/>
      <c r="AA13" s="156"/>
      <c r="AB13" s="156"/>
      <c r="AC13" s="194"/>
      <c r="AD13" s="155"/>
      <c r="AE13" s="194"/>
    </row>
    <row r="14" spans="1:32" ht="26.25" hidden="1" customHeight="1" outlineLevel="1" x14ac:dyDescent="0.3">
      <c r="A14" s="399"/>
      <c r="B14" s="1082" t="s">
        <v>323</v>
      </c>
      <c r="C14" s="1083"/>
      <c r="D14" s="1083"/>
      <c r="E14" s="1083"/>
      <c r="F14" s="1084"/>
      <c r="G14" s="333">
        <f>SUM(G15:G126)</f>
        <v>1525937.3099999998</v>
      </c>
      <c r="H14" s="320"/>
      <c r="I14" s="320"/>
      <c r="J14" s="320"/>
      <c r="K14" s="336">
        <f>SUM(K15:K126)</f>
        <v>2758198</v>
      </c>
      <c r="L14" s="337"/>
      <c r="M14" s="337"/>
      <c r="N14" s="337"/>
      <c r="O14" s="336">
        <f>SUM(O15:O126)</f>
        <v>2671728</v>
      </c>
      <c r="P14" s="337"/>
      <c r="Q14" s="337"/>
      <c r="R14" s="337"/>
      <c r="S14" s="336">
        <f>SUM(S15:S126)</f>
        <v>1986224</v>
      </c>
      <c r="T14" s="320"/>
      <c r="U14" s="322"/>
      <c r="V14" s="336">
        <f>SUM(V15:V126)</f>
        <v>6638304.8937799986</v>
      </c>
      <c r="W14" s="320"/>
      <c r="X14" s="322"/>
      <c r="Y14" s="336">
        <f>SUM(Y15:Y126)</f>
        <v>3286245.9585800003</v>
      </c>
      <c r="Z14" s="322"/>
      <c r="AA14" s="322"/>
      <c r="AB14" s="322"/>
      <c r="AC14" s="322"/>
      <c r="AD14" s="322"/>
      <c r="AE14" s="338">
        <f>SUM(AE15:AE126)</f>
        <v>-2435274.2281122124</v>
      </c>
      <c r="AF14" s="324">
        <f>AE14/S14</f>
        <v>-1.2260823694166481</v>
      </c>
    </row>
    <row r="15" spans="1:32" ht="35.25" hidden="1" customHeight="1" outlineLevel="2" x14ac:dyDescent="0.3">
      <c r="A15" s="140"/>
      <c r="B15" s="328" t="s">
        <v>324</v>
      </c>
      <c r="C15" s="70" t="s">
        <v>40</v>
      </c>
      <c r="D15" s="249">
        <v>140</v>
      </c>
      <c r="E15" s="55"/>
      <c r="F15" s="265">
        <v>1202</v>
      </c>
      <c r="G15" s="212">
        <v>168328</v>
      </c>
      <c r="H15" s="272">
        <v>5.52</v>
      </c>
      <c r="I15" s="236">
        <v>140</v>
      </c>
      <c r="J15" s="265">
        <v>5280</v>
      </c>
      <c r="K15" s="193">
        <v>739223</v>
      </c>
      <c r="L15" s="272"/>
      <c r="M15" s="236"/>
      <c r="N15" s="265"/>
      <c r="O15" s="193"/>
      <c r="P15" s="282"/>
      <c r="Q15" s="236"/>
      <c r="R15" s="265"/>
      <c r="S15" s="193"/>
      <c r="T15" s="232">
        <v>140</v>
      </c>
      <c r="U15" s="289">
        <v>7712</v>
      </c>
      <c r="V15" s="199">
        <v>1079680</v>
      </c>
      <c r="W15" s="232"/>
      <c r="X15" s="289"/>
      <c r="Y15" s="199"/>
      <c r="Z15" s="115"/>
      <c r="AA15" s="110"/>
      <c r="AB15" s="101">
        <v>0</v>
      </c>
      <c r="AC15" s="226">
        <f>D15-T15</f>
        <v>0</v>
      </c>
      <c r="AD15" s="302">
        <f>J15-U15</f>
        <v>-2432</v>
      </c>
      <c r="AE15" s="202">
        <f>K15-V15</f>
        <v>-340457</v>
      </c>
    </row>
    <row r="16" spans="1:32" ht="27.75" hidden="1" customHeight="1" outlineLevel="2" x14ac:dyDescent="0.3">
      <c r="A16" s="140"/>
      <c r="B16" s="328" t="s">
        <v>547</v>
      </c>
      <c r="C16" s="70" t="s">
        <v>17</v>
      </c>
      <c r="D16" s="249">
        <v>43.022999999999996</v>
      </c>
      <c r="E16" s="55"/>
      <c r="F16" s="265">
        <v>508</v>
      </c>
      <c r="G16" s="212">
        <v>21842</v>
      </c>
      <c r="H16" s="163">
        <v>6.11</v>
      </c>
      <c r="I16" s="236">
        <v>37.862000000000002</v>
      </c>
      <c r="J16" s="265">
        <v>2470</v>
      </c>
      <c r="K16" s="193">
        <v>93522</v>
      </c>
      <c r="L16" s="164">
        <v>6.31</v>
      </c>
      <c r="M16" s="236">
        <v>5.1609999999999996</v>
      </c>
      <c r="N16" s="265">
        <v>2551</v>
      </c>
      <c r="O16" s="193">
        <v>13165</v>
      </c>
      <c r="P16" s="283"/>
      <c r="Q16" s="236"/>
      <c r="R16" s="265"/>
      <c r="S16" s="193"/>
      <c r="T16" s="232">
        <v>43.023000000000003</v>
      </c>
      <c r="U16" s="289">
        <v>2667</v>
      </c>
      <c r="V16" s="199">
        <v>114742.34100000001</v>
      </c>
      <c r="W16" s="232"/>
      <c r="X16" s="289">
        <v>3200</v>
      </c>
      <c r="Y16" s="199"/>
      <c r="Z16" s="151"/>
      <c r="AA16" s="152"/>
      <c r="AB16" s="101">
        <v>0</v>
      </c>
      <c r="AC16" s="226">
        <f t="shared" ref="AC16" si="1">D16-T16</f>
        <v>0</v>
      </c>
      <c r="AD16" s="302">
        <f>((J16+N16)/2)-U16</f>
        <v>-156.5</v>
      </c>
      <c r="AE16" s="202">
        <f>(K16+O16)-V16</f>
        <v>-8055.3410000000149</v>
      </c>
    </row>
    <row r="17" spans="1:31" ht="27.75" hidden="1" customHeight="1" outlineLevel="2" x14ac:dyDescent="0.3">
      <c r="A17" s="140"/>
      <c r="B17" s="328" t="s">
        <v>331</v>
      </c>
      <c r="C17" s="78" t="s">
        <v>17</v>
      </c>
      <c r="D17" s="249">
        <v>13.871</v>
      </c>
      <c r="E17" s="63"/>
      <c r="F17" s="265">
        <v>749</v>
      </c>
      <c r="G17" s="212">
        <v>10389.24</v>
      </c>
      <c r="H17" s="273"/>
      <c r="I17" s="232"/>
      <c r="J17" s="265"/>
      <c r="K17" s="193"/>
      <c r="L17" s="164">
        <v>6.31</v>
      </c>
      <c r="M17" s="232">
        <v>0.30499999999999999</v>
      </c>
      <c r="N17" s="265">
        <v>3761</v>
      </c>
      <c r="O17" s="193">
        <v>1147</v>
      </c>
      <c r="P17" s="283">
        <v>6.31</v>
      </c>
      <c r="Q17" s="236">
        <v>13.566000000000001</v>
      </c>
      <c r="R17" s="265">
        <v>3761</v>
      </c>
      <c r="S17" s="193">
        <v>51023</v>
      </c>
      <c r="T17" s="232">
        <v>0.30499999999999999</v>
      </c>
      <c r="U17" s="289">
        <v>3592</v>
      </c>
      <c r="V17" s="199">
        <v>1095.56</v>
      </c>
      <c r="W17" s="232">
        <f>Q17</f>
        <v>13.566000000000001</v>
      </c>
      <c r="X17" s="289">
        <v>3592</v>
      </c>
      <c r="Y17" s="199">
        <f>W17*X17</f>
        <v>48729.072</v>
      </c>
      <c r="Z17" s="149"/>
      <c r="AA17" s="150"/>
      <c r="AB17" s="101">
        <v>0</v>
      </c>
      <c r="AC17" s="226">
        <f>D17-T17-Q17</f>
        <v>0</v>
      </c>
      <c r="AD17" s="304">
        <f>N17-U17</f>
        <v>169</v>
      </c>
      <c r="AE17" s="305">
        <f>O17+S17-V17-Y17</f>
        <v>2345.3680000000022</v>
      </c>
    </row>
    <row r="18" spans="1:31" ht="27.75" hidden="1" customHeight="1" outlineLevel="2" x14ac:dyDescent="0.3">
      <c r="A18" s="140"/>
      <c r="B18" s="328" t="s">
        <v>548</v>
      </c>
      <c r="C18" s="78" t="s">
        <v>17</v>
      </c>
      <c r="D18" s="249">
        <v>0.45900000000000002</v>
      </c>
      <c r="E18" s="55"/>
      <c r="F18" s="265">
        <v>569</v>
      </c>
      <c r="G18" s="212">
        <v>261</v>
      </c>
      <c r="H18" s="163"/>
      <c r="I18" s="236"/>
      <c r="J18" s="265"/>
      <c r="K18" s="193"/>
      <c r="L18" s="164"/>
      <c r="M18" s="236"/>
      <c r="N18" s="265"/>
      <c r="O18" s="193"/>
      <c r="P18" s="283">
        <v>6.31</v>
      </c>
      <c r="Q18" s="236">
        <v>0.45900000000000002</v>
      </c>
      <c r="R18" s="265">
        <v>2857</v>
      </c>
      <c r="S18" s="193">
        <v>1311</v>
      </c>
      <c r="T18" s="232"/>
      <c r="U18" s="289"/>
      <c r="V18" s="199"/>
      <c r="W18" s="232">
        <v>0.45900000000000002</v>
      </c>
      <c r="X18" s="289">
        <v>3350</v>
      </c>
      <c r="Y18" s="199">
        <f t="shared" ref="Y18:Y20" si="2">W18*X18</f>
        <v>1537.65</v>
      </c>
      <c r="Z18" s="151"/>
      <c r="AA18" s="152"/>
      <c r="AB18" s="101">
        <v>0</v>
      </c>
      <c r="AC18" s="226">
        <f t="shared" ref="AC18:AC23" si="3">D18-T18-Q18</f>
        <v>0</v>
      </c>
      <c r="AD18" s="302">
        <f>R18-X18</f>
        <v>-493</v>
      </c>
      <c r="AE18" s="202">
        <f>S18-Y18</f>
        <v>-226.65000000000009</v>
      </c>
    </row>
    <row r="19" spans="1:31" ht="27.75" hidden="1" customHeight="1" outlineLevel="2" x14ac:dyDescent="0.3">
      <c r="A19" s="140"/>
      <c r="B19" s="328" t="s">
        <v>332</v>
      </c>
      <c r="C19" s="78" t="s">
        <v>17</v>
      </c>
      <c r="D19" s="249">
        <v>0.115</v>
      </c>
      <c r="E19" s="63"/>
      <c r="F19" s="265">
        <v>631</v>
      </c>
      <c r="G19" s="212">
        <v>72.510000000000005</v>
      </c>
      <c r="H19" s="273"/>
      <c r="I19" s="232"/>
      <c r="J19" s="265"/>
      <c r="K19" s="193"/>
      <c r="L19" s="164"/>
      <c r="M19" s="232"/>
      <c r="N19" s="265"/>
      <c r="O19" s="193"/>
      <c r="P19" s="283">
        <v>6.31</v>
      </c>
      <c r="Q19" s="236">
        <v>0.115</v>
      </c>
      <c r="R19" s="265">
        <v>3169</v>
      </c>
      <c r="S19" s="193">
        <v>364</v>
      </c>
      <c r="T19" s="232"/>
      <c r="U19" s="289"/>
      <c r="V19" s="199"/>
      <c r="W19" s="232">
        <v>0.115</v>
      </c>
      <c r="X19" s="296">
        <v>3400</v>
      </c>
      <c r="Y19" s="199">
        <f t="shared" si="2"/>
        <v>391</v>
      </c>
      <c r="Z19" s="149"/>
      <c r="AA19" s="150"/>
      <c r="AB19" s="101">
        <v>0</v>
      </c>
      <c r="AC19" s="226">
        <f t="shared" si="3"/>
        <v>0</v>
      </c>
      <c r="AD19" s="302">
        <f t="shared" ref="AD19" si="4">R19-X19</f>
        <v>-231</v>
      </c>
      <c r="AE19" s="202">
        <f>S19-Y19</f>
        <v>-27</v>
      </c>
    </row>
    <row r="20" spans="1:31" ht="27.75" hidden="1" customHeight="1" outlineLevel="2" x14ac:dyDescent="0.3">
      <c r="A20" s="140"/>
      <c r="B20" s="360" t="s">
        <v>1345</v>
      </c>
      <c r="C20" s="78" t="s">
        <v>17</v>
      </c>
      <c r="D20" s="249">
        <v>5.4820000000000002</v>
      </c>
      <c r="E20" s="55"/>
      <c r="F20" s="265">
        <v>700</v>
      </c>
      <c r="G20" s="212">
        <v>3838</v>
      </c>
      <c r="H20" s="163"/>
      <c r="I20" s="236"/>
      <c r="J20" s="265"/>
      <c r="K20" s="193"/>
      <c r="L20" s="164"/>
      <c r="M20" s="232"/>
      <c r="N20" s="265"/>
      <c r="O20" s="193"/>
      <c r="P20" s="283">
        <v>6.31</v>
      </c>
      <c r="Q20" s="236">
        <v>5.4820000000000002</v>
      </c>
      <c r="R20" s="265">
        <v>3515</v>
      </c>
      <c r="S20" s="193">
        <v>19269</v>
      </c>
      <c r="T20" s="232"/>
      <c r="U20" s="289"/>
      <c r="V20" s="199"/>
      <c r="W20" s="232">
        <v>5.4820000000000002</v>
      </c>
      <c r="X20" s="296">
        <v>3470</v>
      </c>
      <c r="Y20" s="199">
        <f t="shared" si="2"/>
        <v>19022.54</v>
      </c>
      <c r="Z20" s="151"/>
      <c r="AA20" s="152"/>
      <c r="AB20" s="101">
        <v>0</v>
      </c>
      <c r="AC20" s="226">
        <f t="shared" si="3"/>
        <v>0</v>
      </c>
      <c r="AD20" s="302">
        <f>R20-X20</f>
        <v>45</v>
      </c>
      <c r="AE20" s="202">
        <f>S20-Y20</f>
        <v>246.45999999999913</v>
      </c>
    </row>
    <row r="21" spans="1:31" ht="27.75" hidden="1" customHeight="1" outlineLevel="2" x14ac:dyDescent="0.3">
      <c r="A21" s="140"/>
      <c r="B21" s="328" t="s">
        <v>1346</v>
      </c>
      <c r="C21" s="70" t="s">
        <v>17</v>
      </c>
      <c r="D21" s="249">
        <v>306.976</v>
      </c>
      <c r="E21" s="63"/>
      <c r="F21" s="265">
        <v>689</v>
      </c>
      <c r="G21" s="212">
        <v>211451</v>
      </c>
      <c r="H21" s="273">
        <v>6.11</v>
      </c>
      <c r="I21" s="232">
        <v>228.29300000000001</v>
      </c>
      <c r="J21" s="265">
        <v>3350</v>
      </c>
      <c r="K21" s="193">
        <v>764816</v>
      </c>
      <c r="L21" s="164">
        <v>6.31</v>
      </c>
      <c r="M21" s="232">
        <v>78.683000000000007</v>
      </c>
      <c r="N21" s="265">
        <f>ROUND(F21*L21*0.7958,0)</f>
        <v>3460</v>
      </c>
      <c r="O21" s="193">
        <v>272228</v>
      </c>
      <c r="P21" s="283"/>
      <c r="Q21" s="236"/>
      <c r="R21" s="265"/>
      <c r="S21" s="193"/>
      <c r="T21" s="232">
        <v>306.976</v>
      </c>
      <c r="U21" s="289">
        <v>3417</v>
      </c>
      <c r="V21" s="199">
        <v>1048936.9920000001</v>
      </c>
      <c r="W21" s="232"/>
      <c r="X21" s="289"/>
      <c r="Y21" s="199"/>
      <c r="Z21" s="149"/>
      <c r="AA21" s="150"/>
      <c r="AB21" s="101">
        <v>0</v>
      </c>
      <c r="AC21" s="226">
        <f t="shared" si="3"/>
        <v>0</v>
      </c>
      <c r="AD21" s="302">
        <f>((J21+N21)/2)-U21</f>
        <v>-12</v>
      </c>
      <c r="AE21" s="202">
        <f>(K21+O21)-V21</f>
        <v>-11892.992000000086</v>
      </c>
    </row>
    <row r="22" spans="1:31" ht="27.75" hidden="1" customHeight="1" outlineLevel="2" x14ac:dyDescent="0.3">
      <c r="A22" s="140"/>
      <c r="B22" s="328" t="s">
        <v>528</v>
      </c>
      <c r="C22" s="78" t="s">
        <v>17</v>
      </c>
      <c r="D22" s="249">
        <v>28.531000000000002</v>
      </c>
      <c r="E22" s="63"/>
      <c r="F22" s="265">
        <v>703</v>
      </c>
      <c r="G22" s="212">
        <v>20064</v>
      </c>
      <c r="H22" s="273"/>
      <c r="I22" s="232"/>
      <c r="J22" s="265"/>
      <c r="K22" s="193"/>
      <c r="L22" s="164">
        <v>6.31</v>
      </c>
      <c r="M22" s="242">
        <v>28.530999999999999</v>
      </c>
      <c r="N22" s="265">
        <f t="shared" ref="N22:N25" si="5">ROUND(F22*L22*0.7958,0)</f>
        <v>3530</v>
      </c>
      <c r="O22" s="193">
        <v>100718</v>
      </c>
      <c r="P22" s="283"/>
      <c r="Q22" s="236"/>
      <c r="R22" s="265"/>
      <c r="S22" s="193"/>
      <c r="T22" s="232">
        <v>28.530999999999999</v>
      </c>
      <c r="U22" s="289">
        <v>3400</v>
      </c>
      <c r="V22" s="199">
        <v>97005.4</v>
      </c>
      <c r="W22" s="232"/>
      <c r="X22" s="289"/>
      <c r="Y22" s="199"/>
      <c r="Z22" s="149"/>
      <c r="AA22" s="150"/>
      <c r="AB22" s="101">
        <v>0</v>
      </c>
      <c r="AC22" s="226">
        <f>D22-T22</f>
        <v>0</v>
      </c>
      <c r="AD22" s="304">
        <f>N22-U22</f>
        <v>130</v>
      </c>
      <c r="AE22" s="305">
        <f>O22-V22</f>
        <v>3712.6000000000058</v>
      </c>
    </row>
    <row r="23" spans="1:31" ht="23.25" hidden="1" customHeight="1" outlineLevel="2" x14ac:dyDescent="0.3">
      <c r="A23" s="140"/>
      <c r="B23" s="328" t="s">
        <v>530</v>
      </c>
      <c r="C23" s="78" t="s">
        <v>17</v>
      </c>
      <c r="D23" s="249">
        <v>87.061999999999998</v>
      </c>
      <c r="E23" s="64"/>
      <c r="F23" s="265">
        <v>490</v>
      </c>
      <c r="G23" s="212">
        <v>42680</v>
      </c>
      <c r="H23" s="163"/>
      <c r="I23" s="236"/>
      <c r="J23" s="265"/>
      <c r="K23" s="193"/>
      <c r="L23" s="163">
        <v>6.31</v>
      </c>
      <c r="M23" s="236">
        <v>87.061999999999998</v>
      </c>
      <c r="N23" s="265">
        <f t="shared" si="5"/>
        <v>2461</v>
      </c>
      <c r="O23" s="193">
        <v>214219</v>
      </c>
      <c r="P23" s="283"/>
      <c r="Q23" s="236"/>
      <c r="R23" s="265"/>
      <c r="S23" s="193"/>
      <c r="T23" s="232">
        <v>87.061999999999998</v>
      </c>
      <c r="U23" s="289">
        <v>2500</v>
      </c>
      <c r="V23" s="199">
        <f>T23*U23</f>
        <v>217655</v>
      </c>
      <c r="W23" s="232"/>
      <c r="X23" s="289"/>
      <c r="Y23" s="199"/>
      <c r="Z23" s="151"/>
      <c r="AA23" s="152"/>
      <c r="AB23" s="101">
        <v>0</v>
      </c>
      <c r="AC23" s="226">
        <f t="shared" si="3"/>
        <v>0</v>
      </c>
      <c r="AD23" s="302">
        <f>N23-U23</f>
        <v>-39</v>
      </c>
      <c r="AE23" s="202">
        <f>O23-V23</f>
        <v>-3436</v>
      </c>
    </row>
    <row r="24" spans="1:31" ht="23.25" hidden="1" customHeight="1" outlineLevel="2" x14ac:dyDescent="0.3">
      <c r="A24" s="140"/>
      <c r="B24" s="328" t="s">
        <v>326</v>
      </c>
      <c r="C24" s="78" t="s">
        <v>28</v>
      </c>
      <c r="D24" s="249">
        <v>3.5419999999999998</v>
      </c>
      <c r="E24" s="64"/>
      <c r="F24" s="265">
        <v>8453</v>
      </c>
      <c r="G24" s="212">
        <v>29939.71</v>
      </c>
      <c r="H24" s="164">
        <v>6.11</v>
      </c>
      <c r="I24" s="232">
        <v>2.1800000000000002</v>
      </c>
      <c r="J24" s="265">
        <v>41101</v>
      </c>
      <c r="K24" s="193">
        <v>89601</v>
      </c>
      <c r="L24" s="164">
        <v>6.31</v>
      </c>
      <c r="M24" s="232">
        <v>1.3620000000000001</v>
      </c>
      <c r="N24" s="265">
        <f t="shared" si="5"/>
        <v>42447</v>
      </c>
      <c r="O24" s="193">
        <v>57812</v>
      </c>
      <c r="P24" s="283"/>
      <c r="Q24" s="236"/>
      <c r="R24" s="265"/>
      <c r="S24" s="193"/>
      <c r="T24" s="232">
        <v>3.5420000000000003</v>
      </c>
      <c r="U24" s="289">
        <v>35520</v>
      </c>
      <c r="V24" s="199">
        <v>125811.84000000001</v>
      </c>
      <c r="W24" s="232"/>
      <c r="X24" s="289"/>
      <c r="Y24" s="199"/>
      <c r="Z24" s="151"/>
      <c r="AA24" s="152"/>
      <c r="AB24" s="101">
        <v>0</v>
      </c>
      <c r="AC24" s="226">
        <f>D24-I24-M24</f>
        <v>0</v>
      </c>
      <c r="AD24" s="304">
        <f t="shared" ref="AD24" si="6">J24-U24</f>
        <v>5581</v>
      </c>
      <c r="AE24" s="305">
        <f>K24+O24-V24</f>
        <v>21601.159999999989</v>
      </c>
    </row>
    <row r="25" spans="1:31" ht="23.25" hidden="1" customHeight="1" outlineLevel="2" x14ac:dyDescent="0.3">
      <c r="A25" s="140"/>
      <c r="B25" s="328" t="s">
        <v>327</v>
      </c>
      <c r="C25" s="78" t="s">
        <v>28</v>
      </c>
      <c r="D25" s="249">
        <v>8.7469999999999999</v>
      </c>
      <c r="E25" s="64"/>
      <c r="F25" s="265">
        <v>8453</v>
      </c>
      <c r="G25" s="212">
        <v>73936.38</v>
      </c>
      <c r="H25" s="164"/>
      <c r="I25" s="232"/>
      <c r="J25" s="265"/>
      <c r="K25" s="193"/>
      <c r="L25" s="164">
        <v>6.31</v>
      </c>
      <c r="M25" s="232">
        <v>2.95</v>
      </c>
      <c r="N25" s="265">
        <f t="shared" si="5"/>
        <v>42447</v>
      </c>
      <c r="O25" s="193">
        <v>125218</v>
      </c>
      <c r="P25" s="283">
        <v>6.31</v>
      </c>
      <c r="Q25" s="236">
        <v>5.7969999999999997</v>
      </c>
      <c r="R25" s="265">
        <v>42447</v>
      </c>
      <c r="S25" s="193">
        <v>246064</v>
      </c>
      <c r="T25" s="232">
        <v>2.95</v>
      </c>
      <c r="U25" s="289">
        <v>34720</v>
      </c>
      <c r="V25" s="199">
        <v>102424</v>
      </c>
      <c r="W25" s="232">
        <v>5.7969999999999997</v>
      </c>
      <c r="X25" s="289">
        <v>34720</v>
      </c>
      <c r="Y25" s="199">
        <v>201271.84</v>
      </c>
      <c r="Z25" s="151"/>
      <c r="AA25" s="152"/>
      <c r="AB25" s="101">
        <v>0</v>
      </c>
      <c r="AC25" s="226">
        <f>D25-M25-Q25</f>
        <v>0</v>
      </c>
      <c r="AD25" s="304">
        <f>((R25+N25)/2)-U25</f>
        <v>7727</v>
      </c>
      <c r="AE25" s="305">
        <f>(S25+O25)-V25-Y25</f>
        <v>67586.16</v>
      </c>
    </row>
    <row r="26" spans="1:31" ht="23.25" hidden="1" customHeight="1" outlineLevel="2" x14ac:dyDescent="0.3">
      <c r="A26" s="140"/>
      <c r="B26" s="328" t="s">
        <v>328</v>
      </c>
      <c r="C26" s="78" t="s">
        <v>28</v>
      </c>
      <c r="D26" s="249">
        <v>10.11</v>
      </c>
      <c r="E26" s="64"/>
      <c r="F26" s="265">
        <v>8453</v>
      </c>
      <c r="G26" s="212">
        <v>85457.5</v>
      </c>
      <c r="H26" s="164">
        <v>6.11</v>
      </c>
      <c r="I26" s="232">
        <v>15.028</v>
      </c>
      <c r="J26" s="265">
        <v>41101</v>
      </c>
      <c r="K26" s="193">
        <v>617671</v>
      </c>
      <c r="L26" s="164"/>
      <c r="M26" s="232"/>
      <c r="N26" s="265"/>
      <c r="O26" s="193"/>
      <c r="P26" s="283"/>
      <c r="Q26" s="236"/>
      <c r="R26" s="265"/>
      <c r="S26" s="193"/>
      <c r="T26" s="232">
        <v>15.028</v>
      </c>
      <c r="U26" s="290">
        <v>35043.760000000002</v>
      </c>
      <c r="V26" s="199">
        <v>526637.62528000004</v>
      </c>
      <c r="W26" s="232"/>
      <c r="X26" s="290"/>
      <c r="Y26" s="199"/>
      <c r="Z26" s="151"/>
      <c r="AA26" s="152"/>
      <c r="AB26" s="101">
        <v>0</v>
      </c>
      <c r="AC26" s="226">
        <v>0</v>
      </c>
      <c r="AD26" s="306">
        <f>J26-U26</f>
        <v>6057.239999999998</v>
      </c>
      <c r="AE26" s="305">
        <f>K26-V26</f>
        <v>91033.374719999963</v>
      </c>
    </row>
    <row r="27" spans="1:31" ht="23.25" hidden="1" customHeight="1" outlineLevel="2" x14ac:dyDescent="0.3">
      <c r="A27" s="140"/>
      <c r="B27" s="328" t="s">
        <v>329</v>
      </c>
      <c r="C27" s="78" t="s">
        <v>28</v>
      </c>
      <c r="D27" s="249">
        <v>9.5310000000000006</v>
      </c>
      <c r="E27" s="64"/>
      <c r="F27" s="265">
        <v>8453</v>
      </c>
      <c r="G27" s="212">
        <v>80563.350000000006</v>
      </c>
      <c r="H27" s="164"/>
      <c r="I27" s="232"/>
      <c r="J27" s="265"/>
      <c r="K27" s="193"/>
      <c r="L27" s="164">
        <v>6.31</v>
      </c>
      <c r="M27" s="232">
        <v>9.5310000000000006</v>
      </c>
      <c r="N27" s="265">
        <v>42447</v>
      </c>
      <c r="O27" s="193">
        <v>404560</v>
      </c>
      <c r="P27" s="283"/>
      <c r="Q27" s="236"/>
      <c r="R27" s="265"/>
      <c r="S27" s="193"/>
      <c r="T27" s="232">
        <v>9.5310000000000006</v>
      </c>
      <c r="U27" s="290">
        <v>32098.5</v>
      </c>
      <c r="V27" s="199">
        <v>305930.80350000004</v>
      </c>
      <c r="W27" s="232"/>
      <c r="X27" s="290"/>
      <c r="Y27" s="199"/>
      <c r="Z27" s="151"/>
      <c r="AA27" s="152"/>
      <c r="AB27" s="101">
        <v>0</v>
      </c>
      <c r="AC27" s="226">
        <v>0</v>
      </c>
      <c r="AD27" s="307">
        <f>N27-U27</f>
        <v>10348.5</v>
      </c>
      <c r="AE27" s="305">
        <f>O27-V27</f>
        <v>98629.196499999962</v>
      </c>
    </row>
    <row r="28" spans="1:31" ht="19.5" hidden="1" customHeight="1" outlineLevel="2" x14ac:dyDescent="0.3">
      <c r="A28" s="140"/>
      <c r="B28" s="328" t="s">
        <v>330</v>
      </c>
      <c r="C28" s="78" t="s">
        <v>28</v>
      </c>
      <c r="D28" s="249">
        <v>16.824999999999999</v>
      </c>
      <c r="E28" s="64"/>
      <c r="F28" s="265">
        <v>8453</v>
      </c>
      <c r="G28" s="212">
        <v>142217.85999999999</v>
      </c>
      <c r="H28" s="164">
        <v>6.11</v>
      </c>
      <c r="I28" s="232">
        <v>6.3959999999999999</v>
      </c>
      <c r="J28" s="265">
        <v>41101</v>
      </c>
      <c r="K28" s="193">
        <v>262884</v>
      </c>
      <c r="L28" s="164">
        <v>6.31</v>
      </c>
      <c r="M28" s="232">
        <v>10.429</v>
      </c>
      <c r="N28" s="265">
        <v>42447</v>
      </c>
      <c r="O28" s="193">
        <v>442677</v>
      </c>
      <c r="P28" s="283"/>
      <c r="Q28" s="236"/>
      <c r="R28" s="265"/>
      <c r="S28" s="193"/>
      <c r="T28" s="232">
        <v>16.824999999999999</v>
      </c>
      <c r="U28" s="289">
        <v>33280</v>
      </c>
      <c r="V28" s="199">
        <v>559936</v>
      </c>
      <c r="W28" s="232"/>
      <c r="X28" s="289"/>
      <c r="Y28" s="199"/>
      <c r="Z28" s="151"/>
      <c r="AA28" s="152"/>
      <c r="AB28" s="101">
        <v>0</v>
      </c>
      <c r="AC28" s="226">
        <v>0</v>
      </c>
      <c r="AD28" s="304">
        <f>((J28+N28)/2)-U28</f>
        <v>8494</v>
      </c>
      <c r="AE28" s="305">
        <f>(K28+O28)-V28</f>
        <v>145625</v>
      </c>
    </row>
    <row r="29" spans="1:31" ht="19.5" hidden="1" customHeight="1" outlineLevel="2" x14ac:dyDescent="0.3">
      <c r="A29" s="140"/>
      <c r="B29" s="328" t="s">
        <v>325</v>
      </c>
      <c r="C29" s="78" t="s">
        <v>28</v>
      </c>
      <c r="D29" s="249">
        <v>5.8810000000000002</v>
      </c>
      <c r="E29" s="64"/>
      <c r="F29" s="265">
        <v>5272</v>
      </c>
      <c r="G29" s="212">
        <v>31005</v>
      </c>
      <c r="H29" s="164">
        <v>6.11</v>
      </c>
      <c r="I29" s="232">
        <v>0.73099999999999998</v>
      </c>
      <c r="J29" s="265">
        <v>25634</v>
      </c>
      <c r="K29" s="193">
        <v>18739</v>
      </c>
      <c r="L29" s="164">
        <v>6.31</v>
      </c>
      <c r="M29" s="232">
        <v>5.15</v>
      </c>
      <c r="N29" s="265">
        <v>26473</v>
      </c>
      <c r="O29" s="193">
        <v>136338</v>
      </c>
      <c r="P29" s="283"/>
      <c r="Q29" s="236"/>
      <c r="R29" s="265"/>
      <c r="S29" s="193"/>
      <c r="T29" s="232">
        <v>5.8810000000000002</v>
      </c>
      <c r="U29" s="290">
        <v>39700</v>
      </c>
      <c r="V29" s="199">
        <f>T29*U29</f>
        <v>233475.7</v>
      </c>
      <c r="W29" s="232"/>
      <c r="X29" s="289"/>
      <c r="Y29" s="199"/>
      <c r="Z29" s="149"/>
      <c r="AA29" s="150"/>
      <c r="AB29" s="101">
        <v>0</v>
      </c>
      <c r="AC29" s="226">
        <v>0</v>
      </c>
      <c r="AD29" s="375">
        <f>((J29+N29)/2)-U29</f>
        <v>-13646.5</v>
      </c>
      <c r="AE29" s="202">
        <f>(K29+O29)-V29</f>
        <v>-78398.700000000012</v>
      </c>
    </row>
    <row r="30" spans="1:31" hidden="1" outlineLevel="2" x14ac:dyDescent="0.3">
      <c r="A30" s="140"/>
      <c r="B30" s="328" t="s">
        <v>333</v>
      </c>
      <c r="C30" s="78" t="s">
        <v>28</v>
      </c>
      <c r="D30" s="249">
        <v>9.0999999999999998E-2</v>
      </c>
      <c r="E30" s="64"/>
      <c r="F30" s="265">
        <v>6429</v>
      </c>
      <c r="G30" s="212">
        <v>585</v>
      </c>
      <c r="H30" s="164"/>
      <c r="I30" s="232"/>
      <c r="J30" s="265"/>
      <c r="K30" s="193"/>
      <c r="L30" s="164">
        <v>6.31</v>
      </c>
      <c r="M30" s="232">
        <v>9.0999999999999998E-2</v>
      </c>
      <c r="N30" s="265">
        <v>32283</v>
      </c>
      <c r="O30" s="193">
        <v>2938</v>
      </c>
      <c r="P30" s="283"/>
      <c r="Q30" s="236"/>
      <c r="R30" s="265"/>
      <c r="S30" s="193"/>
      <c r="T30" s="232">
        <v>9.0999999999999998E-2</v>
      </c>
      <c r="U30" s="296">
        <v>37000</v>
      </c>
      <c r="V30" s="199">
        <f>T30*U30</f>
        <v>3367</v>
      </c>
      <c r="W30" s="232"/>
      <c r="X30" s="289"/>
      <c r="Y30" s="199"/>
      <c r="Z30" s="149"/>
      <c r="AA30" s="150"/>
      <c r="AB30" s="101">
        <v>0</v>
      </c>
      <c r="AC30" s="226">
        <v>0</v>
      </c>
      <c r="AD30" s="375">
        <f>N30-U30</f>
        <v>-4717</v>
      </c>
      <c r="AE30" s="202">
        <f>O30-V30</f>
        <v>-429</v>
      </c>
    </row>
    <row r="31" spans="1:31" hidden="1" outlineLevel="2" x14ac:dyDescent="0.3">
      <c r="A31" s="140"/>
      <c r="B31" s="328" t="s">
        <v>334</v>
      </c>
      <c r="C31" s="78" t="s">
        <v>40</v>
      </c>
      <c r="D31" s="249">
        <v>1</v>
      </c>
      <c r="E31" s="162"/>
      <c r="F31" s="265">
        <v>3386</v>
      </c>
      <c r="G31" s="212">
        <v>3386.05</v>
      </c>
      <c r="H31" s="273"/>
      <c r="I31" s="232"/>
      <c r="J31" s="265"/>
      <c r="K31" s="193"/>
      <c r="L31" s="273"/>
      <c r="M31" s="232"/>
      <c r="N31" s="265"/>
      <c r="O31" s="193"/>
      <c r="P31" s="283">
        <v>6.31</v>
      </c>
      <c r="Q31" s="236">
        <v>1</v>
      </c>
      <c r="R31" s="265">
        <v>17003</v>
      </c>
      <c r="S31" s="193">
        <v>17003</v>
      </c>
      <c r="T31" s="230"/>
      <c r="U31" s="289"/>
      <c r="V31" s="199"/>
      <c r="W31" s="232">
        <v>1</v>
      </c>
      <c r="X31" s="289">
        <v>30833</v>
      </c>
      <c r="Y31" s="199">
        <f>W31*X31</f>
        <v>30833</v>
      </c>
      <c r="Z31" s="149"/>
      <c r="AA31" s="150"/>
      <c r="AB31" s="101">
        <v>0</v>
      </c>
      <c r="AC31" s="226">
        <v>0</v>
      </c>
      <c r="AD31" s="376">
        <f>R31-X31</f>
        <v>-13830</v>
      </c>
      <c r="AE31" s="202">
        <f>S31-Y31</f>
        <v>-13830</v>
      </c>
    </row>
    <row r="32" spans="1:31" ht="35.25" hidden="1" customHeight="1" outlineLevel="2" x14ac:dyDescent="0.3">
      <c r="A32" s="140"/>
      <c r="B32" s="328" t="s">
        <v>1304</v>
      </c>
      <c r="C32" s="78" t="s">
        <v>40</v>
      </c>
      <c r="D32" s="249">
        <v>1</v>
      </c>
      <c r="E32" s="1085" t="s">
        <v>1058</v>
      </c>
      <c r="F32" s="1026">
        <v>2072</v>
      </c>
      <c r="G32" s="1028">
        <v>8287.8799999999992</v>
      </c>
      <c r="H32" s="1085"/>
      <c r="I32" s="1088"/>
      <c r="J32" s="1085"/>
      <c r="K32" s="1114"/>
      <c r="L32" s="1085"/>
      <c r="M32" s="1088"/>
      <c r="N32" s="1085"/>
      <c r="O32" s="1114"/>
      <c r="P32" s="1085">
        <v>6.31</v>
      </c>
      <c r="Q32" s="1088">
        <v>4</v>
      </c>
      <c r="R32" s="1144">
        <v>10405</v>
      </c>
      <c r="S32" s="1008">
        <v>41618</v>
      </c>
      <c r="T32" s="230"/>
      <c r="U32" s="289"/>
      <c r="V32" s="199"/>
      <c r="W32" s="232">
        <v>1</v>
      </c>
      <c r="X32" s="289">
        <v>27500</v>
      </c>
      <c r="Y32" s="199">
        <f>W32*X32</f>
        <v>27500</v>
      </c>
      <c r="Z32" s="149"/>
      <c r="AA32" s="150"/>
      <c r="AB32" s="101"/>
      <c r="AC32" s="226">
        <v>0</v>
      </c>
      <c r="AD32" s="375">
        <f>R32-X32</f>
        <v>-17095</v>
      </c>
      <c r="AE32" s="202">
        <f>S32/4-Y32</f>
        <v>-17095.5</v>
      </c>
    </row>
    <row r="33" spans="1:31" ht="35.25" hidden="1" customHeight="1" outlineLevel="2" x14ac:dyDescent="0.3">
      <c r="A33" s="140"/>
      <c r="B33" s="328" t="s">
        <v>1059</v>
      </c>
      <c r="C33" s="78" t="s">
        <v>40</v>
      </c>
      <c r="D33" s="249">
        <v>2</v>
      </c>
      <c r="E33" s="1086"/>
      <c r="F33" s="1100"/>
      <c r="G33" s="1104"/>
      <c r="H33" s="1086"/>
      <c r="I33" s="1089"/>
      <c r="J33" s="1086"/>
      <c r="K33" s="1115"/>
      <c r="L33" s="1086"/>
      <c r="M33" s="1089"/>
      <c r="N33" s="1086"/>
      <c r="O33" s="1115"/>
      <c r="P33" s="1086"/>
      <c r="Q33" s="1089"/>
      <c r="R33" s="1145"/>
      <c r="S33" s="1077"/>
      <c r="T33" s="230"/>
      <c r="U33" s="289"/>
      <c r="V33" s="199"/>
      <c r="W33" s="232">
        <v>2</v>
      </c>
      <c r="X33" s="289">
        <v>12083</v>
      </c>
      <c r="Y33" s="199">
        <f t="shared" ref="Y33:Y47" si="7">W33*X33</f>
        <v>24166</v>
      </c>
      <c r="Z33" s="149"/>
      <c r="AA33" s="150"/>
      <c r="AB33" s="101"/>
      <c r="AC33" s="226">
        <v>0</v>
      </c>
      <c r="AD33" s="375">
        <f>R32-X33</f>
        <v>-1678</v>
      </c>
      <c r="AE33" s="202">
        <f>S32/4*2-Y33</f>
        <v>-3357</v>
      </c>
    </row>
    <row r="34" spans="1:31" ht="35.25" hidden="1" customHeight="1" outlineLevel="2" x14ac:dyDescent="0.3">
      <c r="A34" s="140"/>
      <c r="B34" s="328" t="s">
        <v>1060</v>
      </c>
      <c r="C34" s="78" t="s">
        <v>40</v>
      </c>
      <c r="D34" s="249">
        <v>1</v>
      </c>
      <c r="E34" s="1087"/>
      <c r="F34" s="1027"/>
      <c r="G34" s="1029"/>
      <c r="H34" s="1087"/>
      <c r="I34" s="1090"/>
      <c r="J34" s="1087"/>
      <c r="K34" s="1116"/>
      <c r="L34" s="1087"/>
      <c r="M34" s="1090"/>
      <c r="N34" s="1087"/>
      <c r="O34" s="1116"/>
      <c r="P34" s="1087"/>
      <c r="Q34" s="1090"/>
      <c r="R34" s="1146"/>
      <c r="S34" s="1009"/>
      <c r="T34" s="230"/>
      <c r="U34" s="289"/>
      <c r="V34" s="199"/>
      <c r="W34" s="232">
        <v>1</v>
      </c>
      <c r="X34" s="289">
        <v>12083</v>
      </c>
      <c r="Y34" s="199">
        <f t="shared" si="7"/>
        <v>12083</v>
      </c>
      <c r="Z34" s="151"/>
      <c r="AA34" s="152"/>
      <c r="AB34" s="101">
        <v>0</v>
      </c>
      <c r="AC34" s="226">
        <v>0</v>
      </c>
      <c r="AD34" s="375">
        <f>R32-X34</f>
        <v>-1678</v>
      </c>
      <c r="AE34" s="202">
        <f>S32/4-Y34</f>
        <v>-1678.5</v>
      </c>
    </row>
    <row r="35" spans="1:31" ht="23.25" hidden="1" customHeight="1" outlineLevel="2" x14ac:dyDescent="0.3">
      <c r="A35" s="140"/>
      <c r="B35" s="328" t="s">
        <v>1350</v>
      </c>
      <c r="C35" s="78" t="s">
        <v>26</v>
      </c>
      <c r="D35" s="249">
        <v>5</v>
      </c>
      <c r="E35" s="64"/>
      <c r="F35" s="265">
        <v>104</v>
      </c>
      <c r="G35" s="212">
        <v>520.70000000000005</v>
      </c>
      <c r="H35" s="273"/>
      <c r="I35" s="232"/>
      <c r="J35" s="265"/>
      <c r="K35" s="193"/>
      <c r="L35" s="273"/>
      <c r="M35" s="232"/>
      <c r="N35" s="265"/>
      <c r="O35" s="193"/>
      <c r="P35" s="283">
        <v>6.31</v>
      </c>
      <c r="Q35" s="236">
        <v>5</v>
      </c>
      <c r="R35" s="265">
        <v>522</v>
      </c>
      <c r="S35" s="193">
        <v>2611</v>
      </c>
      <c r="T35" s="230"/>
      <c r="U35" s="289"/>
      <c r="V35" s="199"/>
      <c r="W35" s="232">
        <v>5</v>
      </c>
      <c r="X35" s="296">
        <v>708</v>
      </c>
      <c r="Y35" s="199">
        <f t="shared" si="7"/>
        <v>3540</v>
      </c>
      <c r="Z35" s="149"/>
      <c r="AA35" s="150"/>
      <c r="AB35" s="101">
        <v>0</v>
      </c>
      <c r="AC35" s="226">
        <v>0</v>
      </c>
      <c r="AD35" s="375">
        <f>R35-X35</f>
        <v>-186</v>
      </c>
      <c r="AE35" s="202">
        <f>S35-Y35</f>
        <v>-929</v>
      </c>
    </row>
    <row r="36" spans="1:31" ht="35.25" hidden="1" customHeight="1" outlineLevel="2" x14ac:dyDescent="0.3">
      <c r="A36" s="140"/>
      <c r="B36" s="328" t="s">
        <v>1061</v>
      </c>
      <c r="C36" s="78" t="s">
        <v>40</v>
      </c>
      <c r="D36" s="249">
        <v>1</v>
      </c>
      <c r="E36" s="1086" t="s">
        <v>1062</v>
      </c>
      <c r="F36" s="1026">
        <v>228</v>
      </c>
      <c r="G36" s="1028">
        <v>2573</v>
      </c>
      <c r="H36" s="1078"/>
      <c r="I36" s="1030"/>
      <c r="J36" s="1078"/>
      <c r="K36" s="1008"/>
      <c r="L36" s="1078"/>
      <c r="M36" s="1030"/>
      <c r="N36" s="1078"/>
      <c r="O36" s="1008"/>
      <c r="P36" s="1105">
        <v>6.31</v>
      </c>
      <c r="Q36" s="1030">
        <v>11.3</v>
      </c>
      <c r="R36" s="1026">
        <v>1145</v>
      </c>
      <c r="S36" s="1008">
        <v>12937</v>
      </c>
      <c r="T36" s="230"/>
      <c r="U36" s="289"/>
      <c r="V36" s="199"/>
      <c r="W36" s="232">
        <v>1</v>
      </c>
      <c r="X36" s="289">
        <v>10500</v>
      </c>
      <c r="Y36" s="199">
        <f t="shared" si="7"/>
        <v>10500</v>
      </c>
      <c r="Z36" s="149"/>
      <c r="AA36" s="150"/>
      <c r="AB36" s="101"/>
      <c r="AC36" s="226">
        <v>0</v>
      </c>
      <c r="AD36" s="375">
        <f>R36/11.3*7-X36</f>
        <v>-9790.7079646017701</v>
      </c>
      <c r="AE36" s="202">
        <f>R36/Q36*7-Y36</f>
        <v>-9790.7079646017701</v>
      </c>
    </row>
    <row r="37" spans="1:31" ht="36" hidden="1" customHeight="1" outlineLevel="2" x14ac:dyDescent="0.3">
      <c r="A37" s="140"/>
      <c r="B37" s="328" t="s">
        <v>1063</v>
      </c>
      <c r="C37" s="78" t="s">
        <v>40</v>
      </c>
      <c r="D37" s="249">
        <v>3</v>
      </c>
      <c r="E37" s="1086"/>
      <c r="F37" s="1100"/>
      <c r="G37" s="1104"/>
      <c r="H37" s="1079"/>
      <c r="I37" s="1031"/>
      <c r="J37" s="1079"/>
      <c r="K37" s="1077"/>
      <c r="L37" s="1079"/>
      <c r="M37" s="1031"/>
      <c r="N37" s="1079"/>
      <c r="O37" s="1077"/>
      <c r="P37" s="1106"/>
      <c r="Q37" s="1031"/>
      <c r="R37" s="1100"/>
      <c r="S37" s="1077"/>
      <c r="T37" s="230"/>
      <c r="U37" s="289"/>
      <c r="V37" s="199"/>
      <c r="W37" s="232">
        <v>3</v>
      </c>
      <c r="X37" s="289">
        <v>2425</v>
      </c>
      <c r="Y37" s="199">
        <f t="shared" si="7"/>
        <v>7275</v>
      </c>
      <c r="Z37" s="149"/>
      <c r="AA37" s="150"/>
      <c r="AB37" s="101"/>
      <c r="AC37" s="226">
        <v>0</v>
      </c>
      <c r="AD37" s="375">
        <f>R37/11.3*7-X37</f>
        <v>-2425</v>
      </c>
      <c r="AE37" s="202">
        <f>R36/Q36*7*3-Y37</f>
        <v>-5147.1238938053102</v>
      </c>
    </row>
    <row r="38" spans="1:31" ht="33.75" hidden="1" customHeight="1" outlineLevel="2" x14ac:dyDescent="0.3">
      <c r="A38" s="140"/>
      <c r="B38" s="328" t="s">
        <v>1064</v>
      </c>
      <c r="C38" s="78" t="s">
        <v>40</v>
      </c>
      <c r="D38" s="249">
        <v>1</v>
      </c>
      <c r="E38" s="1086"/>
      <c r="F38" s="1100"/>
      <c r="G38" s="1104"/>
      <c r="H38" s="1079"/>
      <c r="I38" s="1031"/>
      <c r="J38" s="1079"/>
      <c r="K38" s="1077"/>
      <c r="L38" s="1079"/>
      <c r="M38" s="1031"/>
      <c r="N38" s="1079"/>
      <c r="O38" s="1077"/>
      <c r="P38" s="1106"/>
      <c r="Q38" s="1031"/>
      <c r="R38" s="1100"/>
      <c r="S38" s="1077"/>
      <c r="T38" s="230"/>
      <c r="U38" s="289"/>
      <c r="V38" s="199"/>
      <c r="W38" s="232">
        <v>1</v>
      </c>
      <c r="X38" s="289">
        <v>2425</v>
      </c>
      <c r="Y38" s="199">
        <f t="shared" si="7"/>
        <v>2425</v>
      </c>
      <c r="Z38" s="149"/>
      <c r="AA38" s="150"/>
      <c r="AB38" s="101"/>
      <c r="AC38" s="226">
        <v>0</v>
      </c>
      <c r="AD38" s="375">
        <f>R36/11.3*7-X38</f>
        <v>-1715.7079646017701</v>
      </c>
      <c r="AE38" s="202">
        <f>R36/Q36*7-Y38</f>
        <v>-1715.7079646017701</v>
      </c>
    </row>
    <row r="39" spans="1:31" ht="33.75" hidden="1" customHeight="1" outlineLevel="2" x14ac:dyDescent="0.3">
      <c r="A39" s="140"/>
      <c r="B39" s="328" t="s">
        <v>1065</v>
      </c>
      <c r="C39" s="78" t="s">
        <v>40</v>
      </c>
      <c r="D39" s="249">
        <v>2</v>
      </c>
      <c r="E39" s="1087"/>
      <c r="F39" s="1027"/>
      <c r="G39" s="1029"/>
      <c r="H39" s="1080"/>
      <c r="I39" s="1032"/>
      <c r="J39" s="1080"/>
      <c r="K39" s="1009"/>
      <c r="L39" s="1080"/>
      <c r="M39" s="1032"/>
      <c r="N39" s="1080"/>
      <c r="O39" s="1009"/>
      <c r="P39" s="1107"/>
      <c r="Q39" s="1032"/>
      <c r="R39" s="1027"/>
      <c r="S39" s="1009"/>
      <c r="T39" s="230"/>
      <c r="U39" s="289"/>
      <c r="V39" s="199"/>
      <c r="W39" s="232">
        <v>2</v>
      </c>
      <c r="X39" s="289">
        <v>2475</v>
      </c>
      <c r="Y39" s="199">
        <f t="shared" si="7"/>
        <v>4950</v>
      </c>
      <c r="Z39" s="149"/>
      <c r="AA39" s="150"/>
      <c r="AB39" s="101">
        <v>0</v>
      </c>
      <c r="AC39" s="226">
        <v>0</v>
      </c>
      <c r="AD39" s="375">
        <f>R36/11.3*7-X39</f>
        <v>-1765.7079646017701</v>
      </c>
      <c r="AE39" s="202">
        <f>R36/Q36*7*2-Y39</f>
        <v>-3531.4159292035401</v>
      </c>
    </row>
    <row r="40" spans="1:31" ht="23.25" hidden="1" customHeight="1" outlineLevel="2" x14ac:dyDescent="0.3">
      <c r="A40" s="140"/>
      <c r="B40" s="328" t="s">
        <v>340</v>
      </c>
      <c r="C40" s="78" t="s">
        <v>26</v>
      </c>
      <c r="D40" s="249">
        <v>6</v>
      </c>
      <c r="E40" s="64"/>
      <c r="F40" s="265">
        <v>104</v>
      </c>
      <c r="G40" s="212">
        <v>624.84</v>
      </c>
      <c r="H40" s="273"/>
      <c r="I40" s="232"/>
      <c r="J40" s="265"/>
      <c r="K40" s="193"/>
      <c r="L40" s="273"/>
      <c r="M40" s="232"/>
      <c r="N40" s="265"/>
      <c r="O40" s="193"/>
      <c r="P40" s="283">
        <v>6.31</v>
      </c>
      <c r="Q40" s="236">
        <v>6</v>
      </c>
      <c r="R40" s="265">
        <v>522</v>
      </c>
      <c r="S40" s="193">
        <v>3133</v>
      </c>
      <c r="T40" s="230"/>
      <c r="U40" s="289"/>
      <c r="V40" s="199"/>
      <c r="W40" s="232">
        <v>6</v>
      </c>
      <c r="X40" s="296">
        <v>1790</v>
      </c>
      <c r="Y40" s="199">
        <f t="shared" si="7"/>
        <v>10740</v>
      </c>
      <c r="Z40" s="149"/>
      <c r="AA40" s="150"/>
      <c r="AB40" s="101">
        <v>0</v>
      </c>
      <c r="AC40" s="226">
        <v>0</v>
      </c>
      <c r="AD40" s="376">
        <f t="shared" ref="AD40:AD42" si="8">R40-X40</f>
        <v>-1268</v>
      </c>
      <c r="AE40" s="202">
        <f t="shared" ref="AE40:AE47" si="9">S40-Y40</f>
        <v>-7607</v>
      </c>
    </row>
    <row r="41" spans="1:31" ht="78.75" hidden="1" customHeight="1" outlineLevel="2" x14ac:dyDescent="0.3">
      <c r="A41" s="140"/>
      <c r="B41" s="360" t="s">
        <v>1066</v>
      </c>
      <c r="C41" s="181" t="s">
        <v>1067</v>
      </c>
      <c r="D41" s="250" t="s">
        <v>1068</v>
      </c>
      <c r="E41" s="64"/>
      <c r="F41" s="265">
        <v>290</v>
      </c>
      <c r="G41" s="212">
        <v>290.39999999999998</v>
      </c>
      <c r="H41" s="273"/>
      <c r="I41" s="232"/>
      <c r="J41" s="265"/>
      <c r="K41" s="193"/>
      <c r="L41" s="273"/>
      <c r="M41" s="232"/>
      <c r="N41" s="265"/>
      <c r="O41" s="193"/>
      <c r="P41" s="283">
        <v>6.31</v>
      </c>
      <c r="Q41" s="236" t="s">
        <v>1314</v>
      </c>
      <c r="R41" s="265">
        <f>ROUND(F41*P41*0.7958,0)</f>
        <v>1456</v>
      </c>
      <c r="S41" s="193">
        <f>R41</f>
        <v>1456</v>
      </c>
      <c r="T41" s="230"/>
      <c r="U41" s="289"/>
      <c r="V41" s="199"/>
      <c r="W41" s="232">
        <v>1</v>
      </c>
      <c r="X41" s="289">
        <v>7000</v>
      </c>
      <c r="Y41" s="199">
        <f t="shared" si="7"/>
        <v>7000</v>
      </c>
      <c r="Z41" s="149"/>
      <c r="AA41" s="150"/>
      <c r="AB41" s="101"/>
      <c r="AC41" s="226">
        <v>0</v>
      </c>
      <c r="AD41" s="302">
        <f t="shared" si="8"/>
        <v>-5544</v>
      </c>
      <c r="AE41" s="202">
        <f t="shared" si="9"/>
        <v>-5544</v>
      </c>
    </row>
    <row r="42" spans="1:31" ht="48" hidden="1" customHeight="1" outlineLevel="2" x14ac:dyDescent="0.3">
      <c r="A42" s="140"/>
      <c r="B42" s="360" t="s">
        <v>1069</v>
      </c>
      <c r="C42" s="182" t="s">
        <v>26</v>
      </c>
      <c r="D42" s="250">
        <v>1</v>
      </c>
      <c r="E42" s="64"/>
      <c r="F42" s="265">
        <v>54</v>
      </c>
      <c r="G42" s="212">
        <v>53.89</v>
      </c>
      <c r="H42" s="273"/>
      <c r="I42" s="232"/>
      <c r="J42" s="265"/>
      <c r="K42" s="193"/>
      <c r="L42" s="273"/>
      <c r="M42" s="232"/>
      <c r="N42" s="265"/>
      <c r="O42" s="193"/>
      <c r="P42" s="283">
        <v>6.31</v>
      </c>
      <c r="Q42" s="236">
        <v>1</v>
      </c>
      <c r="R42" s="265">
        <v>271</v>
      </c>
      <c r="S42" s="193">
        <v>271</v>
      </c>
      <c r="T42" s="230"/>
      <c r="U42" s="290"/>
      <c r="V42" s="199"/>
      <c r="W42" s="232">
        <v>1</v>
      </c>
      <c r="X42" s="289">
        <v>1700</v>
      </c>
      <c r="Y42" s="199">
        <f t="shared" si="7"/>
        <v>1700</v>
      </c>
      <c r="Z42" s="149"/>
      <c r="AA42" s="150"/>
      <c r="AB42" s="101">
        <v>0</v>
      </c>
      <c r="AC42" s="226">
        <v>0</v>
      </c>
      <c r="AD42" s="302">
        <f t="shared" si="8"/>
        <v>-1429</v>
      </c>
      <c r="AE42" s="202">
        <f t="shared" si="9"/>
        <v>-1429</v>
      </c>
    </row>
    <row r="43" spans="1:31" ht="33" hidden="1" customHeight="1" outlineLevel="2" x14ac:dyDescent="0.3">
      <c r="A43" s="140"/>
      <c r="B43" s="360" t="s">
        <v>532</v>
      </c>
      <c r="C43" s="182" t="s">
        <v>5</v>
      </c>
      <c r="D43" s="250">
        <v>1113</v>
      </c>
      <c r="E43" s="64"/>
      <c r="F43" s="265">
        <v>5</v>
      </c>
      <c r="G43" s="212">
        <v>6051</v>
      </c>
      <c r="H43" s="273"/>
      <c r="I43" s="232"/>
      <c r="J43" s="265"/>
      <c r="K43" s="193"/>
      <c r="L43" s="273"/>
      <c r="M43" s="232"/>
      <c r="N43" s="265"/>
      <c r="O43" s="193"/>
      <c r="P43" s="283">
        <v>6.31</v>
      </c>
      <c r="Q43" s="236">
        <v>1113</v>
      </c>
      <c r="R43" s="265">
        <v>25</v>
      </c>
      <c r="S43" s="193">
        <v>27945</v>
      </c>
      <c r="T43" s="230"/>
      <c r="U43" s="289"/>
      <c r="V43" s="199"/>
      <c r="W43" s="232">
        <v>1113</v>
      </c>
      <c r="X43" s="289">
        <v>16.149999999999999</v>
      </c>
      <c r="Y43" s="199">
        <f t="shared" si="7"/>
        <v>17974.949999999997</v>
      </c>
      <c r="Z43" s="149"/>
      <c r="AA43" s="150"/>
      <c r="AB43" s="101">
        <v>0</v>
      </c>
      <c r="AC43" s="226">
        <v>0</v>
      </c>
      <c r="AD43" s="304">
        <f t="shared" ref="AD43:AD47" si="10">R43-X43</f>
        <v>8.8500000000000014</v>
      </c>
      <c r="AE43" s="305">
        <f t="shared" si="9"/>
        <v>9970.0500000000029</v>
      </c>
    </row>
    <row r="44" spans="1:31" ht="30.75" hidden="1" customHeight="1" outlineLevel="2" x14ac:dyDescent="0.3">
      <c r="A44" s="140"/>
      <c r="B44" s="360" t="s">
        <v>1070</v>
      </c>
      <c r="C44" s="182" t="s">
        <v>5</v>
      </c>
      <c r="D44" s="250">
        <v>122</v>
      </c>
      <c r="E44" s="1085" t="s">
        <v>1071</v>
      </c>
      <c r="F44" s="265">
        <v>22</v>
      </c>
      <c r="G44" s="212">
        <v>2733</v>
      </c>
      <c r="H44" s="273"/>
      <c r="I44" s="232"/>
      <c r="J44" s="265"/>
      <c r="K44" s="193"/>
      <c r="L44" s="273"/>
      <c r="M44" s="232"/>
      <c r="N44" s="265"/>
      <c r="O44" s="193"/>
      <c r="P44" s="283">
        <v>6.31</v>
      </c>
      <c r="Q44" s="236">
        <v>122</v>
      </c>
      <c r="R44" s="265">
        <v>110</v>
      </c>
      <c r="S44" s="193">
        <v>13478</v>
      </c>
      <c r="T44" s="230"/>
      <c r="U44" s="289"/>
      <c r="V44" s="199"/>
      <c r="W44" s="232">
        <v>122</v>
      </c>
      <c r="X44" s="289">
        <v>89.33</v>
      </c>
      <c r="Y44" s="199">
        <f t="shared" si="7"/>
        <v>10898.26</v>
      </c>
      <c r="Z44" s="149"/>
      <c r="AA44" s="150"/>
      <c r="AB44" s="101">
        <v>0</v>
      </c>
      <c r="AC44" s="226">
        <v>0</v>
      </c>
      <c r="AD44" s="304">
        <f t="shared" si="10"/>
        <v>20.67</v>
      </c>
      <c r="AE44" s="305">
        <f t="shared" si="9"/>
        <v>2579.7399999999998</v>
      </c>
    </row>
    <row r="45" spans="1:31" ht="31.5" hidden="1" customHeight="1" outlineLevel="2" x14ac:dyDescent="0.3">
      <c r="A45" s="140"/>
      <c r="B45" s="360" t="s">
        <v>1072</v>
      </c>
      <c r="C45" s="182" t="s">
        <v>5</v>
      </c>
      <c r="D45" s="250">
        <v>11.6</v>
      </c>
      <c r="E45" s="1087"/>
      <c r="F45" s="265">
        <v>19</v>
      </c>
      <c r="G45" s="212">
        <v>215</v>
      </c>
      <c r="H45" s="164"/>
      <c r="I45" s="232"/>
      <c r="J45" s="265"/>
      <c r="K45" s="193"/>
      <c r="L45" s="164"/>
      <c r="M45" s="232"/>
      <c r="N45" s="265"/>
      <c r="O45" s="193"/>
      <c r="P45" s="283">
        <v>6.31</v>
      </c>
      <c r="Q45" s="236">
        <v>11.6</v>
      </c>
      <c r="R45" s="265">
        <v>95</v>
      </c>
      <c r="S45" s="193">
        <v>1107</v>
      </c>
      <c r="T45" s="230"/>
      <c r="U45" s="290"/>
      <c r="V45" s="199"/>
      <c r="W45" s="232">
        <v>11.6</v>
      </c>
      <c r="X45" s="289">
        <v>34.4</v>
      </c>
      <c r="Y45" s="199">
        <f t="shared" si="7"/>
        <v>399.03999999999996</v>
      </c>
      <c r="Z45" s="149"/>
      <c r="AA45" s="150"/>
      <c r="AB45" s="101">
        <v>0</v>
      </c>
      <c r="AC45" s="226">
        <v>0</v>
      </c>
      <c r="AD45" s="304">
        <f t="shared" si="10"/>
        <v>60.6</v>
      </c>
      <c r="AE45" s="305">
        <f t="shared" si="9"/>
        <v>707.96</v>
      </c>
    </row>
    <row r="46" spans="1:31" ht="32.25" hidden="1" customHeight="1" outlineLevel="2" x14ac:dyDescent="0.3">
      <c r="A46" s="42"/>
      <c r="B46" s="360" t="s">
        <v>337</v>
      </c>
      <c r="C46" s="182" t="s">
        <v>40</v>
      </c>
      <c r="D46" s="250">
        <v>34.048000000000002</v>
      </c>
      <c r="E46" s="64"/>
      <c r="F46" s="265">
        <v>3</v>
      </c>
      <c r="G46" s="212">
        <v>104</v>
      </c>
      <c r="H46" s="272"/>
      <c r="I46" s="236"/>
      <c r="J46" s="265"/>
      <c r="K46" s="193"/>
      <c r="L46" s="272"/>
      <c r="M46" s="236"/>
      <c r="N46" s="265"/>
      <c r="O46" s="193"/>
      <c r="P46" s="283">
        <v>6.31</v>
      </c>
      <c r="Q46" s="236">
        <v>34.048000000000002</v>
      </c>
      <c r="R46" s="265">
        <v>15</v>
      </c>
      <c r="S46" s="193">
        <v>513</v>
      </c>
      <c r="T46" s="230"/>
      <c r="U46" s="289"/>
      <c r="V46" s="199"/>
      <c r="W46" s="232">
        <v>34.048000000000002</v>
      </c>
      <c r="X46" s="289">
        <v>136</v>
      </c>
      <c r="Y46" s="199">
        <f t="shared" si="7"/>
        <v>4630.5280000000002</v>
      </c>
      <c r="Z46" s="149"/>
      <c r="AA46" s="150"/>
      <c r="AB46" s="101">
        <v>0</v>
      </c>
      <c r="AC46" s="226">
        <v>0</v>
      </c>
      <c r="AD46" s="302">
        <f t="shared" si="10"/>
        <v>-121</v>
      </c>
      <c r="AE46" s="202">
        <f t="shared" si="9"/>
        <v>-4117.5280000000002</v>
      </c>
    </row>
    <row r="47" spans="1:31" ht="22.5" hidden="1" customHeight="1" outlineLevel="2" x14ac:dyDescent="0.3">
      <c r="A47" s="140"/>
      <c r="B47" s="360" t="s">
        <v>1073</v>
      </c>
      <c r="C47" s="78" t="s">
        <v>1074</v>
      </c>
      <c r="D47" s="251" t="s">
        <v>1075</v>
      </c>
      <c r="E47" s="64"/>
      <c r="F47" s="265">
        <v>155</v>
      </c>
      <c r="G47" s="212">
        <v>155</v>
      </c>
      <c r="H47" s="273"/>
      <c r="I47" s="232"/>
      <c r="J47" s="265"/>
      <c r="K47" s="193"/>
      <c r="L47" s="273"/>
      <c r="M47" s="232"/>
      <c r="N47" s="265"/>
      <c r="O47" s="193"/>
      <c r="P47" s="283">
        <v>6.31</v>
      </c>
      <c r="Q47" s="236">
        <v>1</v>
      </c>
      <c r="R47" s="265">
        <v>778</v>
      </c>
      <c r="S47" s="193">
        <v>778</v>
      </c>
      <c r="T47" s="230"/>
      <c r="U47" s="289"/>
      <c r="V47" s="199"/>
      <c r="W47" s="232">
        <v>2</v>
      </c>
      <c r="X47" s="289">
        <v>5327</v>
      </c>
      <c r="Y47" s="199">
        <f t="shared" si="7"/>
        <v>10654</v>
      </c>
      <c r="Z47" s="149"/>
      <c r="AA47" s="150"/>
      <c r="AB47" s="101">
        <v>0</v>
      </c>
      <c r="AC47" s="226">
        <v>0</v>
      </c>
      <c r="AD47" s="302">
        <f t="shared" si="10"/>
        <v>-4549</v>
      </c>
      <c r="AE47" s="202">
        <f t="shared" si="9"/>
        <v>-9876</v>
      </c>
    </row>
    <row r="48" spans="1:31" ht="52.5" hidden="1" customHeight="1" outlineLevel="2" x14ac:dyDescent="0.3">
      <c r="A48" s="140"/>
      <c r="B48" s="360" t="s">
        <v>1076</v>
      </c>
      <c r="C48" s="78" t="s">
        <v>40</v>
      </c>
      <c r="D48" s="249">
        <v>8</v>
      </c>
      <c r="E48" s="1085" t="s">
        <v>1077</v>
      </c>
      <c r="F48" s="1026">
        <v>2848</v>
      </c>
      <c r="G48" s="1028">
        <v>51255</v>
      </c>
      <c r="H48" s="1078"/>
      <c r="I48" s="1030"/>
      <c r="J48" s="1078"/>
      <c r="K48" s="1008"/>
      <c r="L48" s="1078">
        <v>6.31</v>
      </c>
      <c r="M48" s="1030">
        <v>18</v>
      </c>
      <c r="N48" s="1078">
        <v>271</v>
      </c>
      <c r="O48" s="1008">
        <v>257422</v>
      </c>
      <c r="P48" s="1078"/>
      <c r="Q48" s="1030"/>
      <c r="R48" s="1078"/>
      <c r="S48" s="1008"/>
      <c r="T48" s="232">
        <v>8</v>
      </c>
      <c r="U48" s="290">
        <v>6519.25</v>
      </c>
      <c r="V48" s="199">
        <f>T48*U48</f>
        <v>52154</v>
      </c>
      <c r="W48" s="232"/>
      <c r="X48" s="289"/>
      <c r="Y48" s="199"/>
      <c r="Z48" s="149"/>
      <c r="AA48" s="150"/>
      <c r="AB48" s="101"/>
      <c r="AC48" s="226">
        <v>0</v>
      </c>
      <c r="AD48" s="1204"/>
      <c r="AE48" s="1064">
        <f>O48-V48-V49-V50</f>
        <v>151216</v>
      </c>
    </row>
    <row r="49" spans="1:31" ht="52.5" hidden="1" customHeight="1" outlineLevel="2" x14ac:dyDescent="0.3">
      <c r="A49" s="140"/>
      <c r="B49" s="384" t="s">
        <v>1078</v>
      </c>
      <c r="C49" s="165" t="s">
        <v>40</v>
      </c>
      <c r="D49" s="252">
        <v>2</v>
      </c>
      <c r="E49" s="1087"/>
      <c r="F49" s="1027"/>
      <c r="G49" s="1029"/>
      <c r="H49" s="1080"/>
      <c r="I49" s="1032"/>
      <c r="J49" s="1080"/>
      <c r="K49" s="1009"/>
      <c r="L49" s="1080"/>
      <c r="M49" s="1032"/>
      <c r="N49" s="1080"/>
      <c r="O49" s="1009"/>
      <c r="P49" s="1080"/>
      <c r="Q49" s="1032"/>
      <c r="R49" s="1080"/>
      <c r="S49" s="1009"/>
      <c r="T49" s="236">
        <v>2</v>
      </c>
      <c r="U49" s="289">
        <v>23652</v>
      </c>
      <c r="V49" s="199">
        <f t="shared" ref="V49:V50" si="11">T49*U49</f>
        <v>47304</v>
      </c>
      <c r="W49" s="232"/>
      <c r="X49" s="289"/>
      <c r="Y49" s="199"/>
      <c r="Z49" s="149"/>
      <c r="AA49" s="150"/>
      <c r="AB49" s="101"/>
      <c r="AC49" s="226">
        <v>0</v>
      </c>
      <c r="AD49" s="1205"/>
      <c r="AE49" s="1203"/>
    </row>
    <row r="50" spans="1:31" ht="36.75" hidden="1" customHeight="1" outlineLevel="2" x14ac:dyDescent="0.3">
      <c r="A50" s="42"/>
      <c r="B50" s="360" t="s">
        <v>339</v>
      </c>
      <c r="C50" s="78" t="s">
        <v>26</v>
      </c>
      <c r="D50" s="249">
        <v>10</v>
      </c>
      <c r="E50" s="55"/>
      <c r="F50" s="265">
        <v>26</v>
      </c>
      <c r="G50" s="213">
        <v>255.3</v>
      </c>
      <c r="H50" s="272"/>
      <c r="I50" s="236"/>
      <c r="J50" s="265"/>
      <c r="K50" s="193"/>
      <c r="L50" s="272">
        <v>6.31</v>
      </c>
      <c r="M50" s="236">
        <v>10</v>
      </c>
      <c r="N50" s="265">
        <v>131</v>
      </c>
      <c r="O50" s="193">
        <v>1306</v>
      </c>
      <c r="P50" s="283"/>
      <c r="Q50" s="236"/>
      <c r="R50" s="265"/>
      <c r="S50" s="193"/>
      <c r="T50" s="236">
        <v>10</v>
      </c>
      <c r="U50" s="291">
        <v>674.8</v>
      </c>
      <c r="V50" s="199">
        <f t="shared" si="11"/>
        <v>6748</v>
      </c>
      <c r="W50" s="232"/>
      <c r="X50" s="289"/>
      <c r="Y50" s="199"/>
      <c r="Z50" s="149"/>
      <c r="AA50" s="150"/>
      <c r="AB50" s="101">
        <v>0</v>
      </c>
      <c r="AC50" s="226">
        <v>0</v>
      </c>
      <c r="AD50" s="1206"/>
      <c r="AE50" s="1065"/>
    </row>
    <row r="51" spans="1:31" ht="50.25" hidden="1" customHeight="1" outlineLevel="2" x14ac:dyDescent="0.3">
      <c r="A51" s="140"/>
      <c r="B51" s="360" t="s">
        <v>1079</v>
      </c>
      <c r="C51" s="78" t="s">
        <v>40</v>
      </c>
      <c r="D51" s="249">
        <v>2</v>
      </c>
      <c r="E51" s="163" t="s">
        <v>1080</v>
      </c>
      <c r="F51" s="265"/>
      <c r="G51" s="213"/>
      <c r="H51" s="272"/>
      <c r="I51" s="236"/>
      <c r="J51" s="272"/>
      <c r="K51" s="193"/>
      <c r="L51" s="272"/>
      <c r="M51" s="236"/>
      <c r="N51" s="272"/>
      <c r="O51" s="193"/>
      <c r="P51" s="272"/>
      <c r="Q51" s="236"/>
      <c r="R51" s="272"/>
      <c r="S51" s="193"/>
      <c r="T51" s="232"/>
      <c r="U51" s="290"/>
      <c r="V51" s="199"/>
      <c r="W51" s="232">
        <v>2</v>
      </c>
      <c r="X51" s="289">
        <v>15840</v>
      </c>
      <c r="Y51" s="199">
        <f>W51*X51</f>
        <v>31680</v>
      </c>
      <c r="Z51" s="149"/>
      <c r="AA51" s="150"/>
      <c r="AB51" s="101">
        <v>0</v>
      </c>
      <c r="AC51" s="308">
        <v>2</v>
      </c>
      <c r="AD51" s="302">
        <f>R51-X51</f>
        <v>-15840</v>
      </c>
      <c r="AE51" s="202">
        <f>S51-Y51</f>
        <v>-31680</v>
      </c>
    </row>
    <row r="52" spans="1:31" ht="40.5" hidden="1" customHeight="1" outlineLevel="2" x14ac:dyDescent="0.3">
      <c r="A52" s="140"/>
      <c r="B52" s="328" t="s">
        <v>1081</v>
      </c>
      <c r="C52" s="78" t="s">
        <v>28</v>
      </c>
      <c r="D52" s="249" t="s">
        <v>1315</v>
      </c>
      <c r="E52" s="64"/>
      <c r="F52" s="265">
        <v>8011</v>
      </c>
      <c r="G52" s="212">
        <v>753</v>
      </c>
      <c r="H52" s="272"/>
      <c r="I52" s="236"/>
      <c r="J52" s="265"/>
      <c r="K52" s="193"/>
      <c r="L52" s="272"/>
      <c r="M52" s="236"/>
      <c r="N52" s="265"/>
      <c r="O52" s="193"/>
      <c r="P52" s="283">
        <v>6.31</v>
      </c>
      <c r="Q52" s="236">
        <v>9.4E-2</v>
      </c>
      <c r="R52" s="265">
        <v>40227</v>
      </c>
      <c r="S52" s="193">
        <v>3781</v>
      </c>
      <c r="T52" s="232"/>
      <c r="U52" s="290"/>
      <c r="V52" s="199"/>
      <c r="W52" s="232">
        <v>9.4E-2</v>
      </c>
      <c r="X52" s="296">
        <v>135525</v>
      </c>
      <c r="Y52" s="199">
        <f t="shared" ref="Y52" si="12">W52*X52</f>
        <v>12739.35</v>
      </c>
      <c r="Z52" s="149"/>
      <c r="AA52" s="150"/>
      <c r="AB52" s="101">
        <v>0</v>
      </c>
      <c r="AC52" s="226">
        <v>0</v>
      </c>
      <c r="AD52" s="304"/>
      <c r="AE52" s="202">
        <f>S52-Y52</f>
        <v>-8958.35</v>
      </c>
    </row>
    <row r="53" spans="1:31" ht="40.5" hidden="1" customHeight="1" outlineLevel="2" x14ac:dyDescent="0.3">
      <c r="A53" s="140"/>
      <c r="B53" s="360" t="s">
        <v>1082</v>
      </c>
      <c r="C53" s="78" t="s">
        <v>28</v>
      </c>
      <c r="D53" s="249">
        <v>0.124</v>
      </c>
      <c r="E53" s="64"/>
      <c r="F53" s="265">
        <v>9118</v>
      </c>
      <c r="G53" s="212">
        <v>1130.58</v>
      </c>
      <c r="H53" s="272"/>
      <c r="I53" s="236"/>
      <c r="J53" s="265"/>
      <c r="K53" s="193"/>
      <c r="L53" s="272"/>
      <c r="M53" s="236"/>
      <c r="N53" s="265"/>
      <c r="O53" s="193"/>
      <c r="P53" s="283">
        <v>6.31</v>
      </c>
      <c r="Q53" s="236">
        <v>0.124</v>
      </c>
      <c r="R53" s="265">
        <v>45786</v>
      </c>
      <c r="S53" s="193">
        <v>5677</v>
      </c>
      <c r="T53" s="232"/>
      <c r="U53" s="290"/>
      <c r="V53" s="199"/>
      <c r="W53" s="232">
        <v>0.124</v>
      </c>
      <c r="X53" s="383">
        <v>135525</v>
      </c>
      <c r="Y53" s="199">
        <f>W53*X53</f>
        <v>16805.099999999999</v>
      </c>
      <c r="Z53" s="149"/>
      <c r="AA53" s="150"/>
      <c r="AB53" s="101">
        <v>0</v>
      </c>
      <c r="AC53" s="226">
        <v>0</v>
      </c>
      <c r="AD53" s="302">
        <f>R53-X53</f>
        <v>-89739</v>
      </c>
      <c r="AE53" s="202">
        <f>S53-Y53</f>
        <v>-11128.099999999999</v>
      </c>
    </row>
    <row r="54" spans="1:31" ht="32.25" hidden="1" customHeight="1" outlineLevel="2" x14ac:dyDescent="0.3">
      <c r="A54" s="140"/>
      <c r="B54" s="328" t="s">
        <v>338</v>
      </c>
      <c r="C54" s="78" t="s">
        <v>28</v>
      </c>
      <c r="D54" s="249">
        <v>0.38700000000000001</v>
      </c>
      <c r="E54" s="64"/>
      <c r="F54" s="265">
        <v>8866</v>
      </c>
      <c r="G54" s="212">
        <v>3431</v>
      </c>
      <c r="H54" s="272"/>
      <c r="I54" s="236"/>
      <c r="J54" s="265"/>
      <c r="K54" s="193"/>
      <c r="L54" s="272">
        <v>6.31</v>
      </c>
      <c r="M54" s="236">
        <v>0.38700000000000001</v>
      </c>
      <c r="N54" s="265">
        <v>44521</v>
      </c>
      <c r="O54" s="193">
        <v>17229</v>
      </c>
      <c r="P54" s="283"/>
      <c r="Q54" s="236"/>
      <c r="R54" s="265"/>
      <c r="S54" s="193"/>
      <c r="T54" s="232">
        <v>0.38700000000000001</v>
      </c>
      <c r="U54" s="289">
        <v>41000</v>
      </c>
      <c r="V54" s="199">
        <f>T54*U54</f>
        <v>15867</v>
      </c>
      <c r="W54" s="232"/>
      <c r="X54" s="289"/>
      <c r="Y54" s="199"/>
      <c r="Z54" s="149"/>
      <c r="AA54" s="150"/>
      <c r="AB54" s="101">
        <v>0</v>
      </c>
      <c r="AC54" s="226"/>
      <c r="AD54" s="304">
        <f>N54-U54</f>
        <v>3521</v>
      </c>
      <c r="AE54" s="305">
        <f>O54-V54</f>
        <v>1362</v>
      </c>
    </row>
    <row r="55" spans="1:31" ht="33.75" hidden="1" customHeight="1" outlineLevel="2" x14ac:dyDescent="0.3">
      <c r="A55" s="140"/>
      <c r="B55" s="328" t="s">
        <v>1083</v>
      </c>
      <c r="C55" s="78" t="s">
        <v>28</v>
      </c>
      <c r="D55" s="249">
        <v>2.5999999999999999E-2</v>
      </c>
      <c r="E55" s="64"/>
      <c r="F55" s="265">
        <v>7480</v>
      </c>
      <c r="G55" s="212">
        <v>194.48</v>
      </c>
      <c r="H55" s="272">
        <v>6.11</v>
      </c>
      <c r="I55" s="236">
        <v>2.5999999999999999E-2</v>
      </c>
      <c r="J55" s="265">
        <v>36370</v>
      </c>
      <c r="K55" s="193">
        <v>946</v>
      </c>
      <c r="L55" s="272"/>
      <c r="M55" s="236"/>
      <c r="N55" s="265"/>
      <c r="O55" s="193"/>
      <c r="P55" s="283"/>
      <c r="Q55" s="236"/>
      <c r="R55" s="265"/>
      <c r="S55" s="193"/>
      <c r="T55" s="232">
        <v>2.5999999999999999E-2</v>
      </c>
      <c r="U55" s="289">
        <v>70395</v>
      </c>
      <c r="V55" s="199">
        <f t="shared" ref="V55:V56" si="13">T55*U55</f>
        <v>1830.27</v>
      </c>
      <c r="W55" s="232"/>
      <c r="X55" s="289"/>
      <c r="Y55" s="199"/>
      <c r="Z55" s="149"/>
      <c r="AA55" s="150"/>
      <c r="AB55" s="101">
        <v>0</v>
      </c>
      <c r="AC55" s="226"/>
      <c r="AD55" s="302">
        <f>J55-U55</f>
        <v>-34025</v>
      </c>
      <c r="AE55" s="202">
        <f>K55-V55</f>
        <v>-884.27</v>
      </c>
    </row>
    <row r="56" spans="1:31" ht="33" hidden="1" customHeight="1" outlineLevel="2" x14ac:dyDescent="0.3">
      <c r="A56" s="140"/>
      <c r="B56" s="328" t="s">
        <v>1084</v>
      </c>
      <c r="C56" s="78" t="s">
        <v>28</v>
      </c>
      <c r="D56" s="249">
        <v>3.4000000000000002E-2</v>
      </c>
      <c r="E56" s="64"/>
      <c r="F56" s="265">
        <v>7480</v>
      </c>
      <c r="G56" s="212">
        <v>254.32000000000002</v>
      </c>
      <c r="H56" s="272"/>
      <c r="I56" s="236"/>
      <c r="J56" s="265"/>
      <c r="K56" s="193"/>
      <c r="L56" s="272">
        <v>6.31</v>
      </c>
      <c r="M56" s="236">
        <v>3.4000000000000002E-2</v>
      </c>
      <c r="N56" s="265">
        <v>37561</v>
      </c>
      <c r="O56" s="193">
        <v>1277</v>
      </c>
      <c r="P56" s="283"/>
      <c r="Q56" s="236"/>
      <c r="R56" s="265"/>
      <c r="S56" s="193"/>
      <c r="T56" s="232">
        <v>3.4000000000000002E-2</v>
      </c>
      <c r="U56" s="289">
        <v>43300</v>
      </c>
      <c r="V56" s="199">
        <f t="shared" si="13"/>
        <v>1472.2</v>
      </c>
      <c r="W56" s="232"/>
      <c r="X56" s="289"/>
      <c r="Y56" s="199"/>
      <c r="Z56" s="149"/>
      <c r="AA56" s="150"/>
      <c r="AB56" s="101">
        <v>0</v>
      </c>
      <c r="AC56" s="226"/>
      <c r="AD56" s="302">
        <f>N56-U56</f>
        <v>-5739</v>
      </c>
      <c r="AE56" s="202">
        <f>O56-V56</f>
        <v>-195.20000000000005</v>
      </c>
    </row>
    <row r="57" spans="1:31" ht="25.5" hidden="1" customHeight="1" outlineLevel="2" x14ac:dyDescent="0.3">
      <c r="A57" s="140"/>
      <c r="B57" s="328" t="s">
        <v>1085</v>
      </c>
      <c r="C57" s="78" t="s">
        <v>28</v>
      </c>
      <c r="D57" s="249">
        <v>3.2000000000000001E-2</v>
      </c>
      <c r="E57" s="64"/>
      <c r="F57" s="265">
        <v>7480</v>
      </c>
      <c r="G57" s="212">
        <v>239.36</v>
      </c>
      <c r="H57" s="272"/>
      <c r="I57" s="236"/>
      <c r="J57" s="265"/>
      <c r="K57" s="193"/>
      <c r="L57" s="272"/>
      <c r="M57" s="236"/>
      <c r="N57" s="265"/>
      <c r="O57" s="193"/>
      <c r="P57" s="283">
        <v>6.31</v>
      </c>
      <c r="Q57" s="236">
        <v>3.2000000000000001E-2</v>
      </c>
      <c r="R57" s="265">
        <v>37561</v>
      </c>
      <c r="S57" s="193">
        <v>1202</v>
      </c>
      <c r="T57" s="232"/>
      <c r="U57" s="290"/>
      <c r="V57" s="199"/>
      <c r="W57" s="232">
        <v>3.2000000000000001E-2</v>
      </c>
      <c r="X57" s="296">
        <v>135525</v>
      </c>
      <c r="Y57" s="199">
        <f>W57*X57</f>
        <v>4336.8</v>
      </c>
      <c r="Z57" s="149"/>
      <c r="AA57" s="150"/>
      <c r="AB57" s="101">
        <v>0</v>
      </c>
      <c r="AC57" s="226"/>
      <c r="AD57" s="302">
        <f>R57-X57</f>
        <v>-97964</v>
      </c>
      <c r="AE57" s="202">
        <f>S57-Y57</f>
        <v>-3134.8</v>
      </c>
    </row>
    <row r="58" spans="1:31" ht="33" hidden="1" customHeight="1" outlineLevel="2" x14ac:dyDescent="0.3">
      <c r="A58" s="140"/>
      <c r="B58" s="328" t="s">
        <v>1086</v>
      </c>
      <c r="C58" s="78" t="s">
        <v>1087</v>
      </c>
      <c r="D58" s="249" t="s">
        <v>1088</v>
      </c>
      <c r="E58" s="64"/>
      <c r="F58" s="265">
        <v>7480</v>
      </c>
      <c r="G58" s="212">
        <v>284.24</v>
      </c>
      <c r="H58" s="272"/>
      <c r="I58" s="236"/>
      <c r="J58" s="265"/>
      <c r="K58" s="193"/>
      <c r="L58" s="272">
        <v>6.31</v>
      </c>
      <c r="M58" s="236">
        <v>3.7999999999999999E-2</v>
      </c>
      <c r="N58" s="265">
        <v>37561</v>
      </c>
      <c r="O58" s="193">
        <v>1427</v>
      </c>
      <c r="P58" s="283"/>
      <c r="Q58" s="236"/>
      <c r="R58" s="265"/>
      <c r="S58" s="193"/>
      <c r="T58" s="232">
        <v>3.7999999999999999E-2</v>
      </c>
      <c r="U58" s="296">
        <v>135525</v>
      </c>
      <c r="V58" s="199">
        <f>T58*U58</f>
        <v>5149.95</v>
      </c>
      <c r="W58" s="232"/>
      <c r="X58" s="289"/>
      <c r="Y58" s="199"/>
      <c r="Z58" s="149"/>
      <c r="AA58" s="150"/>
      <c r="AB58" s="101">
        <v>0</v>
      </c>
      <c r="AC58" s="226"/>
      <c r="AD58" s="303"/>
      <c r="AE58" s="202">
        <f>O58-V58</f>
        <v>-3722.95</v>
      </c>
    </row>
    <row r="59" spans="1:31" ht="35.25" hidden="1" customHeight="1" outlineLevel="2" x14ac:dyDescent="0.3">
      <c r="A59" s="140"/>
      <c r="B59" s="328" t="s">
        <v>1089</v>
      </c>
      <c r="C59" s="1022" t="s">
        <v>28</v>
      </c>
      <c r="D59" s="1024">
        <v>1.5</v>
      </c>
      <c r="E59" s="64"/>
      <c r="F59" s="1026">
        <v>7480</v>
      </c>
      <c r="G59" s="1028">
        <v>11220</v>
      </c>
      <c r="H59" s="1078">
        <v>6.11</v>
      </c>
      <c r="I59" s="1030">
        <v>1.5</v>
      </c>
      <c r="J59" s="1078">
        <v>36370</v>
      </c>
      <c r="K59" s="1008">
        <v>54555</v>
      </c>
      <c r="L59" s="1078"/>
      <c r="M59" s="1030"/>
      <c r="N59" s="1078"/>
      <c r="O59" s="1008"/>
      <c r="P59" s="1078"/>
      <c r="Q59" s="1030"/>
      <c r="R59" s="1078"/>
      <c r="S59" s="1008"/>
      <c r="T59" s="1030">
        <v>1.5</v>
      </c>
      <c r="U59" s="1161">
        <v>135525</v>
      </c>
      <c r="V59" s="1005">
        <f>T59*U59</f>
        <v>203287.5</v>
      </c>
      <c r="W59" s="1030"/>
      <c r="X59" s="1078"/>
      <c r="Y59" s="1005"/>
      <c r="Z59" s="149"/>
      <c r="AA59" s="150"/>
      <c r="AB59" s="101">
        <v>0</v>
      </c>
      <c r="AC59" s="226"/>
      <c r="AD59" s="1209">
        <f>J59-U59</f>
        <v>-99155</v>
      </c>
      <c r="AE59" s="1039">
        <f>K59-V59</f>
        <v>-148732.5</v>
      </c>
    </row>
    <row r="60" spans="1:31" ht="35.25" hidden="1" customHeight="1" outlineLevel="2" x14ac:dyDescent="0.3">
      <c r="A60" s="140"/>
      <c r="B60" s="360" t="s">
        <v>1090</v>
      </c>
      <c r="C60" s="1023"/>
      <c r="D60" s="1025"/>
      <c r="E60" s="64"/>
      <c r="F60" s="1027"/>
      <c r="G60" s="1029"/>
      <c r="H60" s="1080"/>
      <c r="I60" s="1032">
        <v>1.5</v>
      </c>
      <c r="J60" s="1080">
        <v>0</v>
      </c>
      <c r="K60" s="1009"/>
      <c r="L60" s="1080"/>
      <c r="M60" s="1032"/>
      <c r="N60" s="1080"/>
      <c r="O60" s="1009"/>
      <c r="P60" s="1080"/>
      <c r="Q60" s="1032"/>
      <c r="R60" s="1080"/>
      <c r="S60" s="1009"/>
      <c r="T60" s="1032">
        <v>1.5</v>
      </c>
      <c r="U60" s="1162"/>
      <c r="V60" s="1007"/>
      <c r="W60" s="1032"/>
      <c r="X60" s="1080"/>
      <c r="Y60" s="1007"/>
      <c r="Z60" s="149"/>
      <c r="AA60" s="150"/>
      <c r="AB60" s="101">
        <v>0</v>
      </c>
      <c r="AC60" s="226"/>
      <c r="AD60" s="1210"/>
      <c r="AE60" s="1047"/>
    </row>
    <row r="61" spans="1:31" ht="33" hidden="1" customHeight="1" outlineLevel="2" x14ac:dyDescent="0.3">
      <c r="A61" s="140"/>
      <c r="B61" s="328" t="s">
        <v>1091</v>
      </c>
      <c r="C61" s="78" t="s">
        <v>28</v>
      </c>
      <c r="D61" s="249">
        <v>0.08</v>
      </c>
      <c r="E61" s="64"/>
      <c r="F61" s="265">
        <v>7480</v>
      </c>
      <c r="G61" s="212">
        <v>598.4</v>
      </c>
      <c r="H61" s="272"/>
      <c r="I61" s="236"/>
      <c r="J61" s="265"/>
      <c r="K61" s="193"/>
      <c r="L61" s="272"/>
      <c r="M61" s="236"/>
      <c r="N61" s="265"/>
      <c r="O61" s="193"/>
      <c r="P61" s="283">
        <v>6.31</v>
      </c>
      <c r="Q61" s="236">
        <v>0.08</v>
      </c>
      <c r="R61" s="265">
        <v>37561</v>
      </c>
      <c r="S61" s="193">
        <v>3005</v>
      </c>
      <c r="T61" s="232"/>
      <c r="U61" s="290"/>
      <c r="V61" s="199"/>
      <c r="W61" s="232">
        <v>0.08</v>
      </c>
      <c r="X61" s="289">
        <v>135525</v>
      </c>
      <c r="Y61" s="199">
        <f>W61*X61</f>
        <v>10842</v>
      </c>
      <c r="Z61" s="149"/>
      <c r="AA61" s="150"/>
      <c r="AB61" s="101">
        <v>0</v>
      </c>
      <c r="AC61" s="226"/>
      <c r="AD61" s="302">
        <f>R61-X61</f>
        <v>-97964</v>
      </c>
      <c r="AE61" s="202">
        <f>S61-Y61</f>
        <v>-7837</v>
      </c>
    </row>
    <row r="62" spans="1:31" ht="19.5" hidden="1" customHeight="1" outlineLevel="2" x14ac:dyDescent="0.3">
      <c r="A62" s="140"/>
      <c r="B62" s="328" t="s">
        <v>1092</v>
      </c>
      <c r="C62" s="78" t="s">
        <v>28</v>
      </c>
      <c r="D62" s="249">
        <v>0.252</v>
      </c>
      <c r="E62" s="1108"/>
      <c r="F62" s="1026">
        <v>9886</v>
      </c>
      <c r="G62" s="1028">
        <v>2689</v>
      </c>
      <c r="H62" s="1078">
        <v>6.11</v>
      </c>
      <c r="I62" s="1030">
        <v>0.01</v>
      </c>
      <c r="J62" s="1078">
        <v>48069</v>
      </c>
      <c r="K62" s="1008">
        <v>481</v>
      </c>
      <c r="L62" s="1078">
        <v>6.31</v>
      </c>
      <c r="M62" s="1030">
        <v>0.252</v>
      </c>
      <c r="N62" s="1078">
        <v>49643</v>
      </c>
      <c r="O62" s="1008">
        <v>12510</v>
      </c>
      <c r="P62" s="1078"/>
      <c r="Q62" s="1030"/>
      <c r="R62" s="1078"/>
      <c r="S62" s="1008"/>
      <c r="T62" s="232">
        <f>D62</f>
        <v>0.252</v>
      </c>
      <c r="U62" s="289">
        <v>177000</v>
      </c>
      <c r="V62" s="199">
        <f>T62*U62</f>
        <v>44604</v>
      </c>
      <c r="W62" s="1030"/>
      <c r="X62" s="1078"/>
      <c r="Y62" s="1005"/>
      <c r="Z62" s="149"/>
      <c r="AA62" s="150"/>
      <c r="AB62" s="101">
        <v>0</v>
      </c>
      <c r="AC62" s="226"/>
      <c r="AD62" s="1207"/>
      <c r="AE62" s="1039">
        <f>O62-V62-V63</f>
        <v>-33325.800000000003</v>
      </c>
    </row>
    <row r="63" spans="1:31" ht="18.75" hidden="1" customHeight="1" outlineLevel="2" x14ac:dyDescent="0.3">
      <c r="A63" s="140"/>
      <c r="B63" s="328" t="s">
        <v>1093</v>
      </c>
      <c r="C63" s="78" t="s">
        <v>28</v>
      </c>
      <c r="D63" s="249">
        <v>0.02</v>
      </c>
      <c r="E63" s="1109"/>
      <c r="F63" s="1027"/>
      <c r="G63" s="1029"/>
      <c r="H63" s="1080"/>
      <c r="I63" s="1032"/>
      <c r="J63" s="1080"/>
      <c r="K63" s="1009"/>
      <c r="L63" s="1080"/>
      <c r="M63" s="1032"/>
      <c r="N63" s="1080"/>
      <c r="O63" s="1009"/>
      <c r="P63" s="1080"/>
      <c r="Q63" s="1032"/>
      <c r="R63" s="1080"/>
      <c r="S63" s="1009"/>
      <c r="T63" s="232">
        <f>D63</f>
        <v>0.02</v>
      </c>
      <c r="U63" s="289">
        <v>61590</v>
      </c>
      <c r="V63" s="199">
        <f t="shared" ref="V63:V67" si="14">T63*U63</f>
        <v>1231.8</v>
      </c>
      <c r="W63" s="1032"/>
      <c r="X63" s="1080">
        <v>55183</v>
      </c>
      <c r="Y63" s="1007">
        <f>X63*D63</f>
        <v>1103.6600000000001</v>
      </c>
      <c r="Z63" s="149"/>
      <c r="AA63" s="150"/>
      <c r="AB63" s="101">
        <v>0</v>
      </c>
      <c r="AC63" s="226"/>
      <c r="AD63" s="1208"/>
      <c r="AE63" s="1047"/>
    </row>
    <row r="64" spans="1:31" ht="36" hidden="1" customHeight="1" outlineLevel="2" x14ac:dyDescent="0.3">
      <c r="A64" s="140"/>
      <c r="B64" s="328" t="s">
        <v>490</v>
      </c>
      <c r="C64" s="78" t="s">
        <v>40</v>
      </c>
      <c r="D64" s="249">
        <v>2</v>
      </c>
      <c r="E64" s="64"/>
      <c r="F64" s="265">
        <v>35</v>
      </c>
      <c r="G64" s="212">
        <v>70</v>
      </c>
      <c r="H64" s="163"/>
      <c r="I64" s="236"/>
      <c r="J64" s="265"/>
      <c r="K64" s="193"/>
      <c r="L64" s="163">
        <v>6.31</v>
      </c>
      <c r="M64" s="236">
        <v>2</v>
      </c>
      <c r="N64" s="265">
        <v>176</v>
      </c>
      <c r="O64" s="193">
        <v>352</v>
      </c>
      <c r="P64" s="283"/>
      <c r="Q64" s="236"/>
      <c r="R64" s="265"/>
      <c r="S64" s="193"/>
      <c r="T64" s="232">
        <v>2</v>
      </c>
      <c r="U64" s="289">
        <v>252</v>
      </c>
      <c r="V64" s="199">
        <f t="shared" si="14"/>
        <v>504</v>
      </c>
      <c r="W64" s="232"/>
      <c r="X64" s="289"/>
      <c r="Y64" s="199"/>
      <c r="Z64" s="151"/>
      <c r="AA64" s="152"/>
      <c r="AB64" s="101">
        <v>0</v>
      </c>
      <c r="AC64" s="226"/>
      <c r="AD64" s="302">
        <f>N64-U64</f>
        <v>-76</v>
      </c>
      <c r="AE64" s="202">
        <f>O64-V64</f>
        <v>-152</v>
      </c>
    </row>
    <row r="65" spans="1:31" ht="33" hidden="1" customHeight="1" outlineLevel="2" x14ac:dyDescent="0.3">
      <c r="A65" s="140"/>
      <c r="B65" s="328" t="s">
        <v>1094</v>
      </c>
      <c r="C65" s="78" t="s">
        <v>40</v>
      </c>
      <c r="D65" s="249">
        <v>32</v>
      </c>
      <c r="E65" s="64"/>
      <c r="F65" s="265">
        <v>152</v>
      </c>
      <c r="G65" s="212">
        <v>4872</v>
      </c>
      <c r="H65" s="273"/>
      <c r="I65" s="232"/>
      <c r="J65" s="265"/>
      <c r="K65" s="193"/>
      <c r="L65" s="163">
        <v>6.31</v>
      </c>
      <c r="M65" s="232">
        <v>32</v>
      </c>
      <c r="N65" s="265">
        <v>763</v>
      </c>
      <c r="O65" s="193">
        <v>24425</v>
      </c>
      <c r="P65" s="283"/>
      <c r="Q65" s="236"/>
      <c r="R65" s="265"/>
      <c r="S65" s="193"/>
      <c r="T65" s="232">
        <v>32</v>
      </c>
      <c r="U65" s="289">
        <v>1200</v>
      </c>
      <c r="V65" s="199">
        <f t="shared" si="14"/>
        <v>38400</v>
      </c>
      <c r="W65" s="232"/>
      <c r="X65" s="289"/>
      <c r="Y65" s="199"/>
      <c r="Z65" s="149"/>
      <c r="AA65" s="150"/>
      <c r="AB65" s="101">
        <v>0</v>
      </c>
      <c r="AC65" s="226"/>
      <c r="AD65" s="302">
        <f t="shared" ref="AD65:AD66" si="15">N65-U65</f>
        <v>-437</v>
      </c>
      <c r="AE65" s="202">
        <f t="shared" ref="AE65" si="16">O65-V65</f>
        <v>-13975</v>
      </c>
    </row>
    <row r="66" spans="1:31" ht="48.75" hidden="1" customHeight="1" outlineLevel="2" x14ac:dyDescent="0.3">
      <c r="A66" s="140"/>
      <c r="B66" s="328" t="s">
        <v>1095</v>
      </c>
      <c r="C66" s="78" t="s">
        <v>20</v>
      </c>
      <c r="D66" s="249">
        <v>25.2</v>
      </c>
      <c r="E66" s="64"/>
      <c r="F66" s="265">
        <v>173</v>
      </c>
      <c r="G66" s="212">
        <v>4368</v>
      </c>
      <c r="H66" s="273"/>
      <c r="I66" s="232"/>
      <c r="J66" s="265"/>
      <c r="K66" s="193"/>
      <c r="L66" s="163">
        <v>6.31</v>
      </c>
      <c r="M66" s="232">
        <v>25.2</v>
      </c>
      <c r="N66" s="265">
        <v>869</v>
      </c>
      <c r="O66" s="193">
        <v>21892</v>
      </c>
      <c r="P66" s="283"/>
      <c r="Q66" s="236"/>
      <c r="R66" s="265"/>
      <c r="S66" s="193"/>
      <c r="T66" s="232">
        <v>25.2</v>
      </c>
      <c r="U66" s="289">
        <v>1134</v>
      </c>
      <c r="V66" s="199">
        <f t="shared" si="14"/>
        <v>28576.799999999999</v>
      </c>
      <c r="W66" s="232"/>
      <c r="X66" s="289"/>
      <c r="Y66" s="199"/>
      <c r="Z66" s="149"/>
      <c r="AA66" s="150"/>
      <c r="AB66" s="101">
        <v>0</v>
      </c>
      <c r="AC66" s="226"/>
      <c r="AD66" s="302">
        <f t="shared" si="15"/>
        <v>-265</v>
      </c>
      <c r="AE66" s="202">
        <f>O66-V66</f>
        <v>-6684.7999999999993</v>
      </c>
    </row>
    <row r="67" spans="1:31" ht="23.25" hidden="1" customHeight="1" outlineLevel="2" x14ac:dyDescent="0.3">
      <c r="A67" s="140"/>
      <c r="B67" s="328" t="s">
        <v>1096</v>
      </c>
      <c r="C67" s="78" t="s">
        <v>40</v>
      </c>
      <c r="D67" s="249">
        <v>10</v>
      </c>
      <c r="E67" s="164" t="s">
        <v>1097</v>
      </c>
      <c r="F67" s="265">
        <v>283</v>
      </c>
      <c r="G67" s="212">
        <v>2828</v>
      </c>
      <c r="H67" s="273"/>
      <c r="I67" s="232"/>
      <c r="J67" s="265"/>
      <c r="K67" s="193"/>
      <c r="L67" s="163">
        <v>6.31</v>
      </c>
      <c r="M67" s="232">
        <v>17</v>
      </c>
      <c r="N67" s="265">
        <v>1421</v>
      </c>
      <c r="O67" s="193">
        <v>24158</v>
      </c>
      <c r="P67" s="283"/>
      <c r="Q67" s="236"/>
      <c r="R67" s="265"/>
      <c r="S67" s="193"/>
      <c r="T67" s="232">
        <v>17</v>
      </c>
      <c r="U67" s="296">
        <v>998</v>
      </c>
      <c r="V67" s="199">
        <f t="shared" si="14"/>
        <v>16966</v>
      </c>
      <c r="W67" s="232"/>
      <c r="X67" s="289"/>
      <c r="Y67" s="199"/>
      <c r="Z67" s="149"/>
      <c r="AA67" s="150"/>
      <c r="AB67" s="101">
        <v>0</v>
      </c>
      <c r="AC67" s="226"/>
      <c r="AD67" s="304">
        <f>N67-U67</f>
        <v>423</v>
      </c>
      <c r="AE67" s="305">
        <f>O67-V67-Y67</f>
        <v>7192</v>
      </c>
    </row>
    <row r="68" spans="1:31" ht="35.25" hidden="1" customHeight="1" outlineLevel="2" x14ac:dyDescent="0.3">
      <c r="A68" s="140"/>
      <c r="B68" s="328" t="s">
        <v>533</v>
      </c>
      <c r="C68" s="78" t="s">
        <v>17</v>
      </c>
      <c r="D68" s="249">
        <v>21.698</v>
      </c>
      <c r="E68" s="64"/>
      <c r="F68" s="265">
        <v>1661</v>
      </c>
      <c r="G68" s="212">
        <v>36035</v>
      </c>
      <c r="H68" s="163"/>
      <c r="I68" s="236"/>
      <c r="J68" s="265"/>
      <c r="K68" s="193"/>
      <c r="L68" s="163"/>
      <c r="M68" s="236"/>
      <c r="N68" s="265"/>
      <c r="O68" s="193"/>
      <c r="P68" s="283">
        <v>6.31</v>
      </c>
      <c r="Q68" s="236">
        <v>21.698</v>
      </c>
      <c r="R68" s="265">
        <v>8341</v>
      </c>
      <c r="S68" s="193">
        <v>180977</v>
      </c>
      <c r="T68" s="232"/>
      <c r="U68" s="290"/>
      <c r="V68" s="199"/>
      <c r="W68" s="232">
        <v>21.698</v>
      </c>
      <c r="X68" s="289">
        <v>7150</v>
      </c>
      <c r="Y68" s="199">
        <f>W68*X68</f>
        <v>155140.70000000001</v>
      </c>
      <c r="Z68" s="151"/>
      <c r="AA68" s="152"/>
      <c r="AB68" s="101">
        <v>0</v>
      </c>
      <c r="AC68" s="226"/>
      <c r="AD68" s="304">
        <f>R68-X68</f>
        <v>1191</v>
      </c>
      <c r="AE68" s="305">
        <f>S68-Y68</f>
        <v>25836.299999999988</v>
      </c>
    </row>
    <row r="69" spans="1:31" ht="35.25" hidden="1" customHeight="1" outlineLevel="2" x14ac:dyDescent="0.3">
      <c r="A69" s="140"/>
      <c r="B69" s="328" t="s">
        <v>1098</v>
      </c>
      <c r="C69" s="78" t="s">
        <v>17</v>
      </c>
      <c r="D69" s="249">
        <v>8.3000000000000007</v>
      </c>
      <c r="E69" s="64"/>
      <c r="F69" s="265">
        <v>726</v>
      </c>
      <c r="G69" s="212">
        <v>6023.14</v>
      </c>
      <c r="H69" s="163"/>
      <c r="I69" s="236"/>
      <c r="J69" s="265"/>
      <c r="K69" s="193"/>
      <c r="L69" s="163"/>
      <c r="M69" s="236"/>
      <c r="N69" s="265"/>
      <c r="O69" s="193"/>
      <c r="P69" s="283">
        <v>6.31</v>
      </c>
      <c r="Q69" s="236">
        <v>8.3000000000000007</v>
      </c>
      <c r="R69" s="265">
        <v>3646</v>
      </c>
      <c r="S69" s="193">
        <v>30259</v>
      </c>
      <c r="T69" s="232"/>
      <c r="U69" s="290"/>
      <c r="V69" s="199"/>
      <c r="W69" s="232">
        <v>8.3000000000000007</v>
      </c>
      <c r="X69" s="289">
        <v>4275</v>
      </c>
      <c r="Y69" s="199">
        <f t="shared" ref="Y69:Y71" si="17">W69*X69</f>
        <v>35482.5</v>
      </c>
      <c r="Z69" s="151"/>
      <c r="AA69" s="152"/>
      <c r="AB69" s="101">
        <v>0</v>
      </c>
      <c r="AC69" s="226"/>
      <c r="AD69" s="302">
        <f t="shared" ref="AD69:AD70" si="18">R69-X69</f>
        <v>-629</v>
      </c>
      <c r="AE69" s="202">
        <f t="shared" ref="AE69:AE71" si="19">S69-Y69</f>
        <v>-5223.5</v>
      </c>
    </row>
    <row r="70" spans="1:31" ht="35.25" hidden="1" customHeight="1" outlineLevel="2" x14ac:dyDescent="0.3">
      <c r="A70" s="140"/>
      <c r="B70" s="328" t="s">
        <v>491</v>
      </c>
      <c r="C70" s="78" t="s">
        <v>17</v>
      </c>
      <c r="D70" s="249">
        <v>26.6</v>
      </c>
      <c r="E70" s="64"/>
      <c r="F70" s="265">
        <v>528</v>
      </c>
      <c r="G70" s="212">
        <v>14049.44</v>
      </c>
      <c r="H70" s="164"/>
      <c r="I70" s="232"/>
      <c r="J70" s="265"/>
      <c r="K70" s="193"/>
      <c r="L70" s="164"/>
      <c r="M70" s="232"/>
      <c r="N70" s="265"/>
      <c r="O70" s="193"/>
      <c r="P70" s="283">
        <v>6.31</v>
      </c>
      <c r="Q70" s="236">
        <v>26.6</v>
      </c>
      <c r="R70" s="265">
        <v>2651</v>
      </c>
      <c r="S70" s="193">
        <v>70526</v>
      </c>
      <c r="T70" s="232"/>
      <c r="U70" s="290"/>
      <c r="V70" s="199"/>
      <c r="W70" s="232">
        <v>26.6</v>
      </c>
      <c r="X70" s="289">
        <v>2275</v>
      </c>
      <c r="Y70" s="199">
        <f t="shared" si="17"/>
        <v>60515</v>
      </c>
      <c r="Z70" s="151"/>
      <c r="AA70" s="152"/>
      <c r="AB70" s="101">
        <v>0</v>
      </c>
      <c r="AC70" s="226"/>
      <c r="AD70" s="304">
        <f t="shared" si="18"/>
        <v>376</v>
      </c>
      <c r="AE70" s="305">
        <f t="shared" si="19"/>
        <v>10011</v>
      </c>
    </row>
    <row r="71" spans="1:31" ht="35.25" hidden="1" customHeight="1" outlineLevel="2" x14ac:dyDescent="0.3">
      <c r="A71" s="140"/>
      <c r="B71" s="328" t="s">
        <v>1099</v>
      </c>
      <c r="C71" s="78" t="s">
        <v>17</v>
      </c>
      <c r="D71" s="249">
        <v>3.57</v>
      </c>
      <c r="E71" s="64"/>
      <c r="F71" s="265">
        <v>906</v>
      </c>
      <c r="G71" s="212">
        <v>3236</v>
      </c>
      <c r="H71" s="164"/>
      <c r="I71" s="232"/>
      <c r="J71" s="265"/>
      <c r="K71" s="193"/>
      <c r="L71" s="164"/>
      <c r="M71" s="232"/>
      <c r="N71" s="265"/>
      <c r="O71" s="193"/>
      <c r="P71" s="283">
        <v>6.31</v>
      </c>
      <c r="Q71" s="236">
        <v>3.57</v>
      </c>
      <c r="R71" s="265">
        <v>4549</v>
      </c>
      <c r="S71" s="193">
        <v>16242</v>
      </c>
      <c r="T71" s="232"/>
      <c r="U71" s="290"/>
      <c r="V71" s="199"/>
      <c r="W71" s="232">
        <v>3.57</v>
      </c>
      <c r="X71" s="296">
        <v>5680</v>
      </c>
      <c r="Y71" s="199">
        <f t="shared" si="17"/>
        <v>20277.599999999999</v>
      </c>
      <c r="Z71" s="151"/>
      <c r="AA71" s="152"/>
      <c r="AB71" s="101">
        <v>0</v>
      </c>
      <c r="AC71" s="226"/>
      <c r="AD71" s="304">
        <f>R71-X71</f>
        <v>-1131</v>
      </c>
      <c r="AE71" s="305">
        <f t="shared" si="19"/>
        <v>-4035.5999999999985</v>
      </c>
    </row>
    <row r="72" spans="1:31" ht="36" hidden="1" customHeight="1" outlineLevel="2" x14ac:dyDescent="0.3">
      <c r="A72" s="140"/>
      <c r="B72" s="377" t="s">
        <v>335</v>
      </c>
      <c r="C72" s="78" t="s">
        <v>17</v>
      </c>
      <c r="D72" s="249">
        <v>0.45900000000000002</v>
      </c>
      <c r="E72" s="1085" t="s">
        <v>1353</v>
      </c>
      <c r="F72" s="265">
        <v>1549</v>
      </c>
      <c r="G72" s="212">
        <v>711</v>
      </c>
      <c r="H72" s="164">
        <v>6.11</v>
      </c>
      <c r="I72" s="232">
        <v>0.45900000000000002</v>
      </c>
      <c r="J72" s="265">
        <v>7532</v>
      </c>
      <c r="K72" s="193">
        <v>3457</v>
      </c>
      <c r="L72" s="164"/>
      <c r="M72" s="232"/>
      <c r="N72" s="265"/>
      <c r="O72" s="193"/>
      <c r="P72" s="283"/>
      <c r="Q72" s="236"/>
      <c r="R72" s="265"/>
      <c r="S72" s="193"/>
      <c r="T72" s="232">
        <v>0.45900000000000002</v>
      </c>
      <c r="U72" s="289">
        <v>11000</v>
      </c>
      <c r="V72" s="199">
        <f>T72*U72</f>
        <v>5049</v>
      </c>
      <c r="W72" s="232"/>
      <c r="X72" s="289"/>
      <c r="Y72" s="199"/>
      <c r="Z72" s="151"/>
      <c r="AA72" s="152"/>
      <c r="AB72" s="101">
        <v>0</v>
      </c>
      <c r="AC72" s="226"/>
      <c r="AD72" s="302">
        <f>J72-U72</f>
        <v>-3468</v>
      </c>
      <c r="AE72" s="202">
        <f>K72-V72</f>
        <v>-1592</v>
      </c>
    </row>
    <row r="73" spans="1:31" ht="36" hidden="1" customHeight="1" outlineLevel="2" x14ac:dyDescent="0.3">
      <c r="A73" s="140"/>
      <c r="B73" s="377" t="s">
        <v>336</v>
      </c>
      <c r="C73" s="78" t="s">
        <v>17</v>
      </c>
      <c r="D73" s="249">
        <v>4.5599999999999996</v>
      </c>
      <c r="E73" s="1086"/>
      <c r="F73" s="265">
        <v>1773</v>
      </c>
      <c r="G73" s="212">
        <v>8085</v>
      </c>
      <c r="H73" s="164">
        <v>6.11</v>
      </c>
      <c r="I73" s="232">
        <v>1.387</v>
      </c>
      <c r="J73" s="265">
        <v>8621</v>
      </c>
      <c r="K73" s="193">
        <v>11957</v>
      </c>
      <c r="L73" s="164"/>
      <c r="M73" s="232"/>
      <c r="N73" s="265"/>
      <c r="O73" s="193"/>
      <c r="P73" s="283">
        <v>6.31</v>
      </c>
      <c r="Q73" s="236">
        <v>3.1729999999999996</v>
      </c>
      <c r="R73" s="265">
        <v>8903</v>
      </c>
      <c r="S73" s="193">
        <v>28250</v>
      </c>
      <c r="T73" s="232">
        <v>1.387</v>
      </c>
      <c r="U73" s="289">
        <v>10800</v>
      </c>
      <c r="V73" s="199">
        <f t="shared" ref="V73:V76" si="20">T73*U73</f>
        <v>14979.6</v>
      </c>
      <c r="W73" s="232">
        <v>3.1729999999999996</v>
      </c>
      <c r="X73" s="289">
        <v>10800</v>
      </c>
      <c r="Y73" s="199">
        <f>W73*X73</f>
        <v>34268.399999999994</v>
      </c>
      <c r="Z73" s="151"/>
      <c r="AA73" s="152"/>
      <c r="AB73" s="101">
        <v>0</v>
      </c>
      <c r="AC73" s="226"/>
      <c r="AD73" s="302">
        <f>R73-U73</f>
        <v>-1897</v>
      </c>
      <c r="AE73" s="202">
        <f>K73+O73+S73-V73-Y73</f>
        <v>-9040.9999999999927</v>
      </c>
    </row>
    <row r="74" spans="1:31" ht="36" hidden="1" customHeight="1" outlineLevel="2" x14ac:dyDescent="0.3">
      <c r="A74" s="140"/>
      <c r="B74" s="377" t="s">
        <v>529</v>
      </c>
      <c r="C74" s="78" t="s">
        <v>17</v>
      </c>
      <c r="D74" s="249">
        <v>78.533000000000001</v>
      </c>
      <c r="E74" s="1087"/>
      <c r="F74" s="265">
        <v>543</v>
      </c>
      <c r="G74" s="212">
        <v>42641.990000000005</v>
      </c>
      <c r="H74" s="164">
        <v>6.11</v>
      </c>
      <c r="I74" s="232">
        <v>5.1999999999999998E-2</v>
      </c>
      <c r="J74" s="265">
        <v>2640</v>
      </c>
      <c r="K74" s="193">
        <v>137</v>
      </c>
      <c r="L74" s="164">
        <v>6.31</v>
      </c>
      <c r="M74" s="232">
        <v>10.367600000000001</v>
      </c>
      <c r="N74" s="265">
        <f>O74/M74</f>
        <v>2726.6676955129437</v>
      </c>
      <c r="O74" s="193">
        <v>28269</v>
      </c>
      <c r="P74" s="283"/>
      <c r="Q74" s="236"/>
      <c r="R74" s="265"/>
      <c r="S74" s="193"/>
      <c r="T74" s="232">
        <v>10.419600000000001</v>
      </c>
      <c r="U74" s="289">
        <v>11500</v>
      </c>
      <c r="V74" s="199">
        <f t="shared" si="20"/>
        <v>119825.40000000001</v>
      </c>
      <c r="W74" s="232"/>
      <c r="X74" s="289"/>
      <c r="Y74" s="199"/>
      <c r="Z74" s="151"/>
      <c r="AA74" s="152"/>
      <c r="AB74" s="101">
        <v>0</v>
      </c>
      <c r="AC74" s="226"/>
      <c r="AD74" s="302">
        <f>N74-U74</f>
        <v>-8773.3323044870558</v>
      </c>
      <c r="AE74" s="202">
        <f>K74+O74-V74</f>
        <v>-91419.400000000009</v>
      </c>
    </row>
    <row r="75" spans="1:31" ht="36.75" hidden="1" customHeight="1" outlineLevel="2" x14ac:dyDescent="0.3">
      <c r="A75" s="42"/>
      <c r="B75" s="377" t="s">
        <v>1100</v>
      </c>
      <c r="C75" s="78" t="s">
        <v>5</v>
      </c>
      <c r="D75" s="249">
        <v>9.8000000000000007</v>
      </c>
      <c r="E75" s="64"/>
      <c r="F75" s="265">
        <v>731</v>
      </c>
      <c r="G75" s="212">
        <v>7160.17</v>
      </c>
      <c r="H75" s="164">
        <v>5.52</v>
      </c>
      <c r="I75" s="232">
        <v>9.8000000000000007</v>
      </c>
      <c r="J75" s="265">
        <v>3211</v>
      </c>
      <c r="K75" s="193">
        <v>31469</v>
      </c>
      <c r="L75" s="164"/>
      <c r="M75" s="232"/>
      <c r="N75" s="265"/>
      <c r="O75" s="193"/>
      <c r="P75" s="283"/>
      <c r="Q75" s="236"/>
      <c r="R75" s="265"/>
      <c r="S75" s="193"/>
      <c r="T75" s="232">
        <v>9.8000000000000007</v>
      </c>
      <c r="U75" s="289">
        <v>12432</v>
      </c>
      <c r="V75" s="199">
        <f t="shared" si="20"/>
        <v>121833.60000000001</v>
      </c>
      <c r="W75" s="232"/>
      <c r="X75" s="289"/>
      <c r="Y75" s="199"/>
      <c r="Z75" s="151"/>
      <c r="AA75" s="152"/>
      <c r="AB75" s="101">
        <v>0</v>
      </c>
      <c r="AC75" s="226"/>
      <c r="AD75" s="302">
        <f>J75-U75</f>
        <v>-9221</v>
      </c>
      <c r="AE75" s="202">
        <f>K75-V75</f>
        <v>-90364.6</v>
      </c>
    </row>
    <row r="76" spans="1:31" ht="37.5" hidden="1" customHeight="1" outlineLevel="2" x14ac:dyDescent="0.3">
      <c r="A76" s="140"/>
      <c r="B76" s="328" t="s">
        <v>1101</v>
      </c>
      <c r="C76" s="78" t="s">
        <v>5</v>
      </c>
      <c r="D76" s="249">
        <v>44.2</v>
      </c>
      <c r="E76" s="64"/>
      <c r="F76" s="265">
        <v>39</v>
      </c>
      <c r="G76" s="212">
        <v>1729.1</v>
      </c>
      <c r="H76" s="164">
        <v>5.52</v>
      </c>
      <c r="I76" s="232">
        <v>44.2</v>
      </c>
      <c r="J76" s="265">
        <v>171</v>
      </c>
      <c r="K76" s="193">
        <v>7572</v>
      </c>
      <c r="L76" s="164"/>
      <c r="M76" s="232"/>
      <c r="N76" s="265"/>
      <c r="O76" s="193"/>
      <c r="P76" s="283"/>
      <c r="Q76" s="236"/>
      <c r="R76" s="265"/>
      <c r="S76" s="193"/>
      <c r="T76" s="232">
        <v>44.2</v>
      </c>
      <c r="U76" s="292">
        <v>156.6</v>
      </c>
      <c r="V76" s="199">
        <f t="shared" si="20"/>
        <v>6921.72</v>
      </c>
      <c r="W76" s="232"/>
      <c r="X76" s="289"/>
      <c r="Y76" s="199"/>
      <c r="Z76" s="149"/>
      <c r="AA76" s="150"/>
      <c r="AB76" s="101">
        <v>0</v>
      </c>
      <c r="AC76" s="226"/>
      <c r="AD76" s="304">
        <f>J76-U76</f>
        <v>14.400000000000006</v>
      </c>
      <c r="AE76" s="305">
        <f>K76-V76</f>
        <v>650.27999999999975</v>
      </c>
    </row>
    <row r="77" spans="1:31" ht="35.25" hidden="1" customHeight="1" outlineLevel="2" x14ac:dyDescent="0.3">
      <c r="A77" s="140"/>
      <c r="B77" s="328" t="s">
        <v>1102</v>
      </c>
      <c r="C77" s="78" t="s">
        <v>5</v>
      </c>
      <c r="D77" s="249">
        <v>11.832000000000001</v>
      </c>
      <c r="E77" s="64"/>
      <c r="F77" s="265">
        <v>13</v>
      </c>
      <c r="G77" s="212">
        <v>159.38</v>
      </c>
      <c r="H77" s="164"/>
      <c r="I77" s="232"/>
      <c r="J77" s="265"/>
      <c r="K77" s="193"/>
      <c r="L77" s="164"/>
      <c r="M77" s="232"/>
      <c r="N77" s="265"/>
      <c r="O77" s="193"/>
      <c r="P77" s="283">
        <v>6.31</v>
      </c>
      <c r="Q77" s="236">
        <v>11.832000000000001</v>
      </c>
      <c r="R77" s="265">
        <v>65</v>
      </c>
      <c r="S77" s="193">
        <v>772</v>
      </c>
      <c r="T77" s="232"/>
      <c r="U77" s="290"/>
      <c r="V77" s="199"/>
      <c r="W77" s="232">
        <v>11.832000000000001</v>
      </c>
      <c r="X77" s="289">
        <v>434</v>
      </c>
      <c r="Y77" s="199">
        <f>W77*X77</f>
        <v>5135.0880000000006</v>
      </c>
      <c r="Z77" s="149"/>
      <c r="AA77" s="150"/>
      <c r="AB77" s="101">
        <v>0</v>
      </c>
      <c r="AC77" s="226"/>
      <c r="AD77" s="302">
        <f>R77-X77</f>
        <v>-369</v>
      </c>
      <c r="AE77" s="202">
        <f>S77-Y77</f>
        <v>-4363.0880000000006</v>
      </c>
    </row>
    <row r="78" spans="1:31" ht="35.25" hidden="1" customHeight="1" outlineLevel="2" x14ac:dyDescent="0.3">
      <c r="A78" s="140"/>
      <c r="B78" s="328" t="s">
        <v>1103</v>
      </c>
      <c r="C78" s="78" t="s">
        <v>5</v>
      </c>
      <c r="D78" s="249">
        <v>9.4860000000000007</v>
      </c>
      <c r="E78" s="64"/>
      <c r="F78" s="265">
        <v>30</v>
      </c>
      <c r="G78" s="212">
        <v>288</v>
      </c>
      <c r="H78" s="164"/>
      <c r="I78" s="232"/>
      <c r="J78" s="265"/>
      <c r="K78" s="193"/>
      <c r="L78" s="164"/>
      <c r="M78" s="232"/>
      <c r="N78" s="265"/>
      <c r="O78" s="193"/>
      <c r="P78" s="283">
        <v>6.31</v>
      </c>
      <c r="Q78" s="236">
        <v>9.4860000000000007</v>
      </c>
      <c r="R78" s="265">
        <v>151</v>
      </c>
      <c r="S78" s="193">
        <v>1429</v>
      </c>
      <c r="T78" s="232"/>
      <c r="U78" s="289"/>
      <c r="V78" s="199"/>
      <c r="W78" s="232">
        <v>9.4860000000000007</v>
      </c>
      <c r="X78" s="289">
        <v>710</v>
      </c>
      <c r="Y78" s="199">
        <f t="shared" ref="Y78:Y80" si="21">W78*X78</f>
        <v>6735.06</v>
      </c>
      <c r="Z78" s="149"/>
      <c r="AA78" s="150"/>
      <c r="AB78" s="101">
        <v>0</v>
      </c>
      <c r="AC78" s="226"/>
      <c r="AD78" s="302">
        <f>R78-X78</f>
        <v>-559</v>
      </c>
      <c r="AE78" s="202">
        <f>S78-Y78</f>
        <v>-5306.06</v>
      </c>
    </row>
    <row r="79" spans="1:31" ht="21" hidden="1" customHeight="1" outlineLevel="2" x14ac:dyDescent="0.3">
      <c r="A79" s="140"/>
      <c r="B79" s="328" t="s">
        <v>341</v>
      </c>
      <c r="C79" s="78" t="s">
        <v>28</v>
      </c>
      <c r="D79" s="249">
        <v>0.67400000000000004</v>
      </c>
      <c r="E79" s="64"/>
      <c r="F79" s="265">
        <v>1651</v>
      </c>
      <c r="G79" s="212">
        <v>1113</v>
      </c>
      <c r="H79" s="164">
        <v>6.11</v>
      </c>
      <c r="I79" s="232">
        <v>5.7000000000000002E-2</v>
      </c>
      <c r="J79" s="265">
        <v>8028</v>
      </c>
      <c r="K79" s="193">
        <v>458</v>
      </c>
      <c r="L79" s="164"/>
      <c r="M79" s="232"/>
      <c r="N79" s="265"/>
      <c r="O79" s="193"/>
      <c r="P79" s="283">
        <v>6.31</v>
      </c>
      <c r="Q79" s="236">
        <v>0.61699999999999999</v>
      </c>
      <c r="R79" s="265">
        <v>8290</v>
      </c>
      <c r="S79" s="193">
        <v>5115</v>
      </c>
      <c r="T79" s="232">
        <v>5.7000000000000002E-2</v>
      </c>
      <c r="U79" s="289"/>
      <c r="V79" s="199">
        <f>T79*U79</f>
        <v>0</v>
      </c>
      <c r="W79" s="232">
        <v>0.61699999999999999</v>
      </c>
      <c r="X79" s="289">
        <v>46993</v>
      </c>
      <c r="Y79" s="199">
        <f>W79*X79</f>
        <v>28994.681</v>
      </c>
      <c r="Z79" s="149"/>
      <c r="AA79" s="150"/>
      <c r="AB79" s="101">
        <v>0</v>
      </c>
      <c r="AC79" s="226"/>
      <c r="AD79" s="304">
        <f>R79-U79</f>
        <v>8290</v>
      </c>
      <c r="AE79" s="305">
        <f>K79+S79-V79-Y79</f>
        <v>-23421.681</v>
      </c>
    </row>
    <row r="80" spans="1:31" ht="21" hidden="1" customHeight="1" outlineLevel="2" x14ac:dyDescent="0.3">
      <c r="A80" s="140"/>
      <c r="B80" s="328" t="s">
        <v>207</v>
      </c>
      <c r="C80" s="78" t="s">
        <v>28</v>
      </c>
      <c r="D80" s="249">
        <v>3.2970000000000002</v>
      </c>
      <c r="E80" s="64"/>
      <c r="F80" s="265">
        <v>3559</v>
      </c>
      <c r="G80" s="212">
        <v>11733</v>
      </c>
      <c r="H80" s="164">
        <v>6.11</v>
      </c>
      <c r="I80" s="232">
        <v>1.5760000000000001</v>
      </c>
      <c r="J80" s="265">
        <v>17305</v>
      </c>
      <c r="K80" s="193">
        <v>27273</v>
      </c>
      <c r="L80" s="164"/>
      <c r="M80" s="232"/>
      <c r="N80" s="265"/>
      <c r="O80" s="193"/>
      <c r="P80" s="283">
        <v>6.31</v>
      </c>
      <c r="Q80" s="236">
        <v>1.7210000000000001</v>
      </c>
      <c r="R80" s="265">
        <v>17872</v>
      </c>
      <c r="S80" s="193">
        <v>30757</v>
      </c>
      <c r="T80" s="232">
        <v>1.5760000000000001</v>
      </c>
      <c r="U80" s="289">
        <v>46993</v>
      </c>
      <c r="V80" s="199">
        <v>66160.479999999996</v>
      </c>
      <c r="W80" s="232">
        <v>1.7210000000000001</v>
      </c>
      <c r="X80" s="289">
        <v>46993</v>
      </c>
      <c r="Y80" s="199">
        <f t="shared" si="21"/>
        <v>80874.953000000009</v>
      </c>
      <c r="Z80" s="149"/>
      <c r="AA80" s="150"/>
      <c r="AB80" s="101">
        <v>0</v>
      </c>
      <c r="AC80" s="226"/>
      <c r="AD80" s="302">
        <f>R80-U80</f>
        <v>-29121</v>
      </c>
      <c r="AE80" s="202">
        <f>K80+S80-V80-Y80</f>
        <v>-89005.433000000005</v>
      </c>
    </row>
    <row r="81" spans="1:31" ht="36" hidden="1" customHeight="1" outlineLevel="2" x14ac:dyDescent="0.3">
      <c r="A81" s="140"/>
      <c r="B81" s="328" t="s">
        <v>342</v>
      </c>
      <c r="C81" s="78" t="s">
        <v>40</v>
      </c>
      <c r="D81" s="249">
        <v>24.53</v>
      </c>
      <c r="E81" s="64"/>
      <c r="F81" s="265">
        <v>67</v>
      </c>
      <c r="G81" s="212">
        <v>1652</v>
      </c>
      <c r="H81" s="164"/>
      <c r="I81" s="232"/>
      <c r="J81" s="265"/>
      <c r="K81" s="193"/>
      <c r="L81" s="164">
        <v>6.31</v>
      </c>
      <c r="M81" s="232">
        <v>24.53</v>
      </c>
      <c r="N81" s="265">
        <v>336</v>
      </c>
      <c r="O81" s="193">
        <v>8253</v>
      </c>
      <c r="P81" s="283"/>
      <c r="Q81" s="236"/>
      <c r="R81" s="265"/>
      <c r="S81" s="193"/>
      <c r="T81" s="232">
        <v>24.53</v>
      </c>
      <c r="U81" s="292">
        <v>299.2</v>
      </c>
      <c r="V81" s="199">
        <v>7339.3760000000002</v>
      </c>
      <c r="W81" s="232"/>
      <c r="X81" s="289"/>
      <c r="Y81" s="199"/>
      <c r="Z81" s="149"/>
      <c r="AA81" s="150"/>
      <c r="AB81" s="101">
        <v>0</v>
      </c>
      <c r="AC81" s="226"/>
      <c r="AD81" s="304">
        <f>N81-U81</f>
        <v>36.800000000000011</v>
      </c>
      <c r="AE81" s="305">
        <f>O81-V81</f>
        <v>913.6239999999998</v>
      </c>
    </row>
    <row r="82" spans="1:31" ht="28.5" hidden="1" customHeight="1" outlineLevel="2" x14ac:dyDescent="0.3">
      <c r="A82" s="140"/>
      <c r="B82" s="328" t="s">
        <v>140</v>
      </c>
      <c r="C82" s="78" t="s">
        <v>1352</v>
      </c>
      <c r="D82" s="249" t="s">
        <v>1351</v>
      </c>
      <c r="E82" s="64"/>
      <c r="F82" s="265">
        <v>78</v>
      </c>
      <c r="G82" s="212">
        <v>182</v>
      </c>
      <c r="H82" s="164"/>
      <c r="I82" s="232"/>
      <c r="J82" s="265"/>
      <c r="K82" s="193"/>
      <c r="L82" s="164">
        <v>6.31</v>
      </c>
      <c r="M82" s="232">
        <v>2.33</v>
      </c>
      <c r="N82" s="265">
        <v>392</v>
      </c>
      <c r="O82" s="193">
        <v>913</v>
      </c>
      <c r="P82" s="283"/>
      <c r="Q82" s="236"/>
      <c r="R82" s="265"/>
      <c r="S82" s="193"/>
      <c r="T82" s="232">
        <v>3.01</v>
      </c>
      <c r="U82" s="292">
        <v>297.60000000000002</v>
      </c>
      <c r="V82" s="199">
        <f>T82*U82</f>
        <v>895.77599999999995</v>
      </c>
      <c r="W82" s="232"/>
      <c r="X82" s="289"/>
      <c r="Y82" s="199"/>
      <c r="Z82" s="149"/>
      <c r="AA82" s="150"/>
      <c r="AB82" s="101">
        <v>0</v>
      </c>
      <c r="AC82" s="226"/>
      <c r="AD82" s="304">
        <f>N82-U82</f>
        <v>94.399999999999977</v>
      </c>
      <c r="AE82" s="305">
        <f>O82-V82</f>
        <v>17.224000000000046</v>
      </c>
    </row>
    <row r="83" spans="1:31" ht="28.5" hidden="1" customHeight="1" outlineLevel="2" x14ac:dyDescent="0.3">
      <c r="A83" s="140"/>
      <c r="B83" s="328" t="s">
        <v>345</v>
      </c>
      <c r="C83" s="78" t="s">
        <v>40</v>
      </c>
      <c r="D83" s="249">
        <v>3</v>
      </c>
      <c r="E83" s="64"/>
      <c r="F83" s="265">
        <v>103</v>
      </c>
      <c r="G83" s="212">
        <v>310</v>
      </c>
      <c r="H83" s="164"/>
      <c r="I83" s="232"/>
      <c r="J83" s="265"/>
      <c r="K83" s="193"/>
      <c r="L83" s="164"/>
      <c r="M83" s="232"/>
      <c r="N83" s="265"/>
      <c r="O83" s="193"/>
      <c r="P83" s="283">
        <v>6.31</v>
      </c>
      <c r="Q83" s="236">
        <v>3</v>
      </c>
      <c r="R83" s="265">
        <v>517</v>
      </c>
      <c r="S83" s="193">
        <v>1552</v>
      </c>
      <c r="T83" s="232"/>
      <c r="U83" s="292"/>
      <c r="V83" s="199"/>
      <c r="W83" s="232">
        <v>3</v>
      </c>
      <c r="X83" s="292">
        <v>247.2</v>
      </c>
      <c r="Y83" s="199">
        <f>W83*X83</f>
        <v>741.59999999999991</v>
      </c>
      <c r="Z83" s="149"/>
      <c r="AA83" s="150"/>
      <c r="AB83" s="101">
        <v>0</v>
      </c>
      <c r="AC83" s="226"/>
      <c r="AD83" s="307">
        <f>R83-X83</f>
        <v>269.8</v>
      </c>
      <c r="AE83" s="305">
        <f>S83-Y83</f>
        <v>810.40000000000009</v>
      </c>
    </row>
    <row r="84" spans="1:31" ht="28.5" hidden="1" customHeight="1" outlineLevel="2" x14ac:dyDescent="0.3">
      <c r="A84" s="140"/>
      <c r="B84" s="328" t="s">
        <v>154</v>
      </c>
      <c r="C84" s="78" t="s">
        <v>16</v>
      </c>
      <c r="D84" s="249">
        <v>38.020000000000003</v>
      </c>
      <c r="E84" s="64"/>
      <c r="F84" s="265">
        <v>14</v>
      </c>
      <c r="G84" s="212">
        <v>547</v>
      </c>
      <c r="H84" s="164"/>
      <c r="I84" s="232"/>
      <c r="J84" s="265"/>
      <c r="K84" s="193"/>
      <c r="L84" s="164"/>
      <c r="M84" s="232"/>
      <c r="N84" s="265"/>
      <c r="O84" s="193"/>
      <c r="P84" s="283">
        <v>6.31</v>
      </c>
      <c r="Q84" s="236">
        <v>38.020000000000003</v>
      </c>
      <c r="R84" s="265">
        <v>70</v>
      </c>
      <c r="S84" s="193">
        <v>2673</v>
      </c>
      <c r="T84" s="230"/>
      <c r="U84" s="290"/>
      <c r="V84" s="199"/>
      <c r="W84" s="232">
        <v>38.020000000000003</v>
      </c>
      <c r="X84" s="289">
        <v>212</v>
      </c>
      <c r="Y84" s="199">
        <f t="shared" ref="Y84:Y126" si="22">W84*X84</f>
        <v>8060.2400000000007</v>
      </c>
      <c r="Z84" s="149"/>
      <c r="AA84" s="150"/>
      <c r="AB84" s="101">
        <v>0</v>
      </c>
      <c r="AC84" s="226"/>
      <c r="AD84" s="302">
        <f t="shared" ref="AD84:AD85" si="23">R84-X84</f>
        <v>-142</v>
      </c>
      <c r="AE84" s="202">
        <f t="shared" ref="AE84:AE85" si="24">S84-Y84</f>
        <v>-5387.2400000000007</v>
      </c>
    </row>
    <row r="85" spans="1:31" ht="28.5" hidden="1" customHeight="1" outlineLevel="2" x14ac:dyDescent="0.3">
      <c r="A85" s="140"/>
      <c r="B85" s="328" t="s">
        <v>191</v>
      </c>
      <c r="C85" s="78" t="s">
        <v>28</v>
      </c>
      <c r="D85" s="249">
        <v>0.29799999999999999</v>
      </c>
      <c r="E85" s="64"/>
      <c r="F85" s="265">
        <v>16265</v>
      </c>
      <c r="G85" s="212">
        <v>4847</v>
      </c>
      <c r="H85" s="164"/>
      <c r="I85" s="232"/>
      <c r="J85" s="265"/>
      <c r="K85" s="193"/>
      <c r="L85" s="164"/>
      <c r="M85" s="232"/>
      <c r="N85" s="265"/>
      <c r="O85" s="193"/>
      <c r="P85" s="283">
        <v>6.31</v>
      </c>
      <c r="Q85" s="236">
        <v>0.29799999999999999</v>
      </c>
      <c r="R85" s="265">
        <v>81675</v>
      </c>
      <c r="S85" s="193">
        <v>24339</v>
      </c>
      <c r="T85" s="232"/>
      <c r="U85" s="290"/>
      <c r="V85" s="199"/>
      <c r="W85" s="232">
        <v>0.29799999999999999</v>
      </c>
      <c r="X85" s="289">
        <v>52000</v>
      </c>
      <c r="Y85" s="199">
        <f t="shared" si="22"/>
        <v>15496</v>
      </c>
      <c r="Z85" s="149"/>
      <c r="AA85" s="150"/>
      <c r="AB85" s="101">
        <v>0</v>
      </c>
      <c r="AC85" s="226"/>
      <c r="AD85" s="302">
        <f t="shared" si="23"/>
        <v>29675</v>
      </c>
      <c r="AE85" s="202">
        <f t="shared" si="24"/>
        <v>8843</v>
      </c>
    </row>
    <row r="86" spans="1:31" ht="36.75" hidden="1" customHeight="1" outlineLevel="2" x14ac:dyDescent="0.3">
      <c r="A86" s="140"/>
      <c r="B86" s="328" t="s">
        <v>531</v>
      </c>
      <c r="C86" s="78" t="s">
        <v>28</v>
      </c>
      <c r="D86" s="249">
        <v>0.17</v>
      </c>
      <c r="E86" s="64"/>
      <c r="F86" s="265">
        <v>15218</v>
      </c>
      <c r="G86" s="212">
        <v>2587</v>
      </c>
      <c r="H86" s="164"/>
      <c r="I86" s="232"/>
      <c r="J86" s="265"/>
      <c r="K86" s="193"/>
      <c r="L86" s="164">
        <v>6.31</v>
      </c>
      <c r="M86" s="232">
        <v>8.0000000000000002E-3</v>
      </c>
      <c r="N86" s="265">
        <v>76417</v>
      </c>
      <c r="O86" s="193">
        <v>611</v>
      </c>
      <c r="P86" s="283">
        <v>6.31</v>
      </c>
      <c r="Q86" s="236">
        <v>0.16200000000000001</v>
      </c>
      <c r="R86" s="265">
        <v>76417</v>
      </c>
      <c r="S86" s="193">
        <v>12380</v>
      </c>
      <c r="T86" s="232">
        <v>8.0000000000000002E-3</v>
      </c>
      <c r="U86" s="289">
        <v>144000</v>
      </c>
      <c r="V86" s="199">
        <f>T86*U86</f>
        <v>1152</v>
      </c>
      <c r="W86" s="232">
        <v>0.16200000000000001</v>
      </c>
      <c r="X86" s="289">
        <v>144000</v>
      </c>
      <c r="Y86" s="199">
        <f>W86*X86</f>
        <v>23328</v>
      </c>
      <c r="Z86" s="149"/>
      <c r="AA86" s="150"/>
      <c r="AB86" s="101">
        <v>0</v>
      </c>
      <c r="AC86" s="226"/>
      <c r="AD86" s="302">
        <f>R86-U86</f>
        <v>-67583</v>
      </c>
      <c r="AE86" s="202">
        <f>O86+S86-V86-Y86</f>
        <v>-11489</v>
      </c>
    </row>
    <row r="87" spans="1:31" ht="35.25" hidden="1" customHeight="1" outlineLevel="2" x14ac:dyDescent="0.3">
      <c r="A87" s="140"/>
      <c r="B87" s="328" t="s">
        <v>1104</v>
      </c>
      <c r="C87" s="78" t="s">
        <v>16</v>
      </c>
      <c r="D87" s="249">
        <v>597</v>
      </c>
      <c r="E87" s="64"/>
      <c r="F87" s="265">
        <v>6</v>
      </c>
      <c r="G87" s="212">
        <v>3318</v>
      </c>
      <c r="H87" s="164"/>
      <c r="I87" s="232"/>
      <c r="J87" s="265"/>
      <c r="K87" s="193"/>
      <c r="L87" s="164"/>
      <c r="M87" s="232"/>
      <c r="N87" s="265"/>
      <c r="O87" s="193"/>
      <c r="P87" s="283">
        <v>6.31</v>
      </c>
      <c r="Q87" s="236">
        <v>597</v>
      </c>
      <c r="R87" s="265">
        <v>30</v>
      </c>
      <c r="S87" s="193">
        <v>17987</v>
      </c>
      <c r="T87" s="232"/>
      <c r="U87" s="290"/>
      <c r="V87" s="199"/>
      <c r="W87" s="232">
        <v>597</v>
      </c>
      <c r="X87" s="292">
        <v>435.8</v>
      </c>
      <c r="Y87" s="199">
        <f t="shared" si="22"/>
        <v>260172.6</v>
      </c>
      <c r="Z87" s="149"/>
      <c r="AA87" s="150"/>
      <c r="AB87" s="101">
        <v>0</v>
      </c>
      <c r="AC87" s="226"/>
      <c r="AD87" s="302">
        <f>R87-X87</f>
        <v>-405.8</v>
      </c>
      <c r="AE87" s="202">
        <f>S87-Y87</f>
        <v>-242185.60000000001</v>
      </c>
    </row>
    <row r="88" spans="1:31" ht="31.5" hidden="1" customHeight="1" outlineLevel="2" x14ac:dyDescent="0.3">
      <c r="A88" s="140"/>
      <c r="B88" s="328" t="s">
        <v>159</v>
      </c>
      <c r="C88" s="78" t="s">
        <v>40</v>
      </c>
      <c r="D88" s="249">
        <v>2.3519999999999999</v>
      </c>
      <c r="E88" s="64"/>
      <c r="F88" s="265">
        <v>5051</v>
      </c>
      <c r="G88" s="212">
        <v>11880</v>
      </c>
      <c r="H88" s="164"/>
      <c r="I88" s="232"/>
      <c r="J88" s="265"/>
      <c r="K88" s="193"/>
      <c r="L88" s="164"/>
      <c r="M88" s="232"/>
      <c r="N88" s="265"/>
      <c r="O88" s="193"/>
      <c r="P88" s="283">
        <v>6.31</v>
      </c>
      <c r="Q88" s="236">
        <v>2.3519999999999999</v>
      </c>
      <c r="R88" s="265">
        <v>25364</v>
      </c>
      <c r="S88" s="193">
        <v>59655</v>
      </c>
      <c r="T88" s="232"/>
      <c r="U88" s="290"/>
      <c r="V88" s="199"/>
      <c r="W88" s="232">
        <v>2.3519999999999999</v>
      </c>
      <c r="X88" s="297">
        <v>317.33999999999997</v>
      </c>
      <c r="Y88" s="199">
        <f t="shared" si="22"/>
        <v>746.38367999999991</v>
      </c>
      <c r="Z88" s="149"/>
      <c r="AA88" s="150"/>
      <c r="AB88" s="101">
        <v>0</v>
      </c>
      <c r="AC88" s="226"/>
      <c r="AD88" s="304">
        <f t="shared" ref="AD88:AD90" si="25">R88-X88</f>
        <v>25046.66</v>
      </c>
      <c r="AE88" s="305">
        <f t="shared" ref="AE88:AE90" si="26">S88-Y88</f>
        <v>58908.616320000001</v>
      </c>
    </row>
    <row r="89" spans="1:31" ht="49.5" hidden="1" customHeight="1" outlineLevel="2" x14ac:dyDescent="0.3">
      <c r="A89" s="140"/>
      <c r="B89" s="328" t="s">
        <v>1105</v>
      </c>
      <c r="C89" s="78" t="s">
        <v>20</v>
      </c>
      <c r="D89" s="249">
        <v>38.1</v>
      </c>
      <c r="E89" s="64"/>
      <c r="F89" s="265">
        <v>74</v>
      </c>
      <c r="G89" s="212">
        <v>2801</v>
      </c>
      <c r="H89" s="164"/>
      <c r="I89" s="232"/>
      <c r="J89" s="265"/>
      <c r="K89" s="193"/>
      <c r="L89" s="164"/>
      <c r="M89" s="232"/>
      <c r="N89" s="265"/>
      <c r="O89" s="193"/>
      <c r="P89" s="283">
        <v>6.31</v>
      </c>
      <c r="Q89" s="236">
        <v>38.1</v>
      </c>
      <c r="R89" s="265">
        <v>372</v>
      </c>
      <c r="S89" s="193">
        <v>14158</v>
      </c>
      <c r="T89" s="232"/>
      <c r="U89" s="290"/>
      <c r="V89" s="199"/>
      <c r="W89" s="232">
        <v>38.1</v>
      </c>
      <c r="X89" s="289">
        <v>352</v>
      </c>
      <c r="Y89" s="199">
        <f t="shared" si="22"/>
        <v>13411.2</v>
      </c>
      <c r="Z89" s="149"/>
      <c r="AA89" s="150"/>
      <c r="AB89" s="101">
        <v>0</v>
      </c>
      <c r="AC89" s="226"/>
      <c r="AD89" s="304">
        <f t="shared" si="25"/>
        <v>20</v>
      </c>
      <c r="AE89" s="305">
        <f t="shared" si="26"/>
        <v>746.79999999999927</v>
      </c>
    </row>
    <row r="90" spans="1:31" ht="24" hidden="1" customHeight="1" outlineLevel="2" x14ac:dyDescent="0.3">
      <c r="A90" s="140"/>
      <c r="B90" s="328" t="s">
        <v>92</v>
      </c>
      <c r="C90" s="78" t="s">
        <v>28</v>
      </c>
      <c r="D90" s="249">
        <v>6.71</v>
      </c>
      <c r="E90" s="64"/>
      <c r="F90" s="265">
        <v>456</v>
      </c>
      <c r="G90" s="212">
        <v>3061</v>
      </c>
      <c r="H90" s="164"/>
      <c r="I90" s="232"/>
      <c r="J90" s="265"/>
      <c r="K90" s="193"/>
      <c r="L90" s="164"/>
      <c r="M90" s="232"/>
      <c r="N90" s="265"/>
      <c r="O90" s="193"/>
      <c r="P90" s="283">
        <v>6.31</v>
      </c>
      <c r="Q90" s="236">
        <v>6.71</v>
      </c>
      <c r="R90" s="265">
        <v>2290</v>
      </c>
      <c r="S90" s="193">
        <v>15365</v>
      </c>
      <c r="T90" s="232"/>
      <c r="U90" s="290"/>
      <c r="V90" s="199"/>
      <c r="W90" s="232">
        <v>6.71</v>
      </c>
      <c r="X90" s="289">
        <v>2495</v>
      </c>
      <c r="Y90" s="199">
        <f t="shared" si="22"/>
        <v>16741.45</v>
      </c>
      <c r="Z90" s="153"/>
      <c r="AA90" s="147"/>
      <c r="AB90" s="101">
        <v>0</v>
      </c>
      <c r="AC90" s="226"/>
      <c r="AD90" s="302">
        <f t="shared" si="25"/>
        <v>-205</v>
      </c>
      <c r="AE90" s="202">
        <f t="shared" si="26"/>
        <v>-1376.4500000000007</v>
      </c>
    </row>
    <row r="91" spans="1:31" ht="26.25" hidden="1" customHeight="1" outlineLevel="2" x14ac:dyDescent="0.3">
      <c r="A91" s="140"/>
      <c r="B91" s="328" t="s">
        <v>1347</v>
      </c>
      <c r="C91" s="78" t="s">
        <v>40</v>
      </c>
      <c r="D91" s="249">
        <v>33600</v>
      </c>
      <c r="E91" s="64"/>
      <c r="F91" s="265">
        <v>1</v>
      </c>
      <c r="G91" s="212">
        <v>47699</v>
      </c>
      <c r="H91" s="164"/>
      <c r="I91" s="232"/>
      <c r="J91" s="265"/>
      <c r="K91" s="193"/>
      <c r="L91" s="164">
        <v>6.31</v>
      </c>
      <c r="M91" s="232">
        <v>33600</v>
      </c>
      <c r="N91" s="265">
        <v>5</v>
      </c>
      <c r="O91" s="193">
        <v>168722</v>
      </c>
      <c r="P91" s="283"/>
      <c r="Q91" s="236"/>
      <c r="R91" s="265"/>
      <c r="S91" s="193"/>
      <c r="T91" s="232">
        <v>33600</v>
      </c>
      <c r="U91" s="289">
        <v>8</v>
      </c>
      <c r="V91" s="199">
        <f t="shared" ref="V91:V126" si="27">T91*U91</f>
        <v>268800</v>
      </c>
      <c r="W91" s="232"/>
      <c r="X91" s="289"/>
      <c r="Y91" s="199"/>
      <c r="Z91" s="149"/>
      <c r="AA91" s="150"/>
      <c r="AB91" s="101">
        <v>0</v>
      </c>
      <c r="AC91" s="226"/>
      <c r="AD91" s="302">
        <f>N91-U91</f>
        <v>-3</v>
      </c>
      <c r="AE91" s="202">
        <f>O91-V91</f>
        <v>-100078</v>
      </c>
    </row>
    <row r="92" spans="1:31" ht="24.75" hidden="1" customHeight="1" outlineLevel="2" x14ac:dyDescent="0.3">
      <c r="A92" s="140"/>
      <c r="B92" s="360" t="s">
        <v>1301</v>
      </c>
      <c r="C92" s="78" t="s">
        <v>20</v>
      </c>
      <c r="D92" s="249">
        <v>270.18</v>
      </c>
      <c r="E92" s="1085" t="s">
        <v>1106</v>
      </c>
      <c r="F92" s="1026">
        <v>16</v>
      </c>
      <c r="G92" s="1028">
        <v>14254</v>
      </c>
      <c r="H92" s="1085"/>
      <c r="I92" s="1088"/>
      <c r="J92" s="1085"/>
      <c r="K92" s="1008"/>
      <c r="L92" s="1085"/>
      <c r="M92" s="1088"/>
      <c r="N92" s="1085"/>
      <c r="O92" s="1008"/>
      <c r="P92" s="1105">
        <v>6.31</v>
      </c>
      <c r="Q92" s="1030">
        <v>864.4</v>
      </c>
      <c r="R92" s="1026">
        <v>80</v>
      </c>
      <c r="S92" s="1008">
        <v>69449</v>
      </c>
      <c r="T92" s="232"/>
      <c r="U92" s="290"/>
      <c r="V92" s="199"/>
      <c r="W92" s="232">
        <v>270.18</v>
      </c>
      <c r="X92" s="289">
        <v>167.33</v>
      </c>
      <c r="Y92" s="199">
        <f t="shared" si="22"/>
        <v>45209.219400000002</v>
      </c>
      <c r="Z92" s="149"/>
      <c r="AA92" s="150"/>
      <c r="AB92" s="101"/>
      <c r="AC92" s="226"/>
      <c r="AD92" s="1036"/>
      <c r="AE92" s="1039">
        <f>S92-Y92-Y93-Y94-Y95</f>
        <v>-207969.99940000003</v>
      </c>
    </row>
    <row r="93" spans="1:31" ht="24.75" hidden="1" customHeight="1" outlineLevel="2" x14ac:dyDescent="0.3">
      <c r="A93" s="140"/>
      <c r="B93" s="360" t="s">
        <v>1302</v>
      </c>
      <c r="C93" s="78" t="s">
        <v>20</v>
      </c>
      <c r="D93" s="249">
        <v>407.44</v>
      </c>
      <c r="E93" s="1086"/>
      <c r="F93" s="1100"/>
      <c r="G93" s="1104"/>
      <c r="H93" s="1086"/>
      <c r="I93" s="1089"/>
      <c r="J93" s="1086"/>
      <c r="K93" s="1077"/>
      <c r="L93" s="1086"/>
      <c r="M93" s="1089"/>
      <c r="N93" s="1086"/>
      <c r="O93" s="1077"/>
      <c r="P93" s="1106"/>
      <c r="Q93" s="1031"/>
      <c r="R93" s="1100"/>
      <c r="S93" s="1077"/>
      <c r="T93" s="232"/>
      <c r="U93" s="290"/>
      <c r="V93" s="199"/>
      <c r="W93" s="232">
        <v>568.48</v>
      </c>
      <c r="X93" s="289">
        <v>201</v>
      </c>
      <c r="Y93" s="199">
        <f t="shared" ref="Y93" si="28">W93*X93</f>
        <v>114264.48000000001</v>
      </c>
      <c r="Z93" s="149"/>
      <c r="AA93" s="150"/>
      <c r="AB93" s="101"/>
      <c r="AC93" s="226"/>
      <c r="AD93" s="1037"/>
      <c r="AE93" s="1051"/>
    </row>
    <row r="94" spans="1:31" ht="24.75" hidden="1" customHeight="1" outlineLevel="2" x14ac:dyDescent="0.3">
      <c r="A94" s="140"/>
      <c r="B94" s="360" t="s">
        <v>1303</v>
      </c>
      <c r="C94" s="78" t="s">
        <v>20</v>
      </c>
      <c r="D94" s="249">
        <v>161.04</v>
      </c>
      <c r="E94" s="1086"/>
      <c r="F94" s="1100"/>
      <c r="G94" s="1104"/>
      <c r="H94" s="1086"/>
      <c r="I94" s="1089"/>
      <c r="J94" s="1086"/>
      <c r="K94" s="1077"/>
      <c r="L94" s="1086"/>
      <c r="M94" s="1089"/>
      <c r="N94" s="1086"/>
      <c r="O94" s="1077"/>
      <c r="P94" s="1106"/>
      <c r="Q94" s="1031"/>
      <c r="R94" s="1100"/>
      <c r="S94" s="1077"/>
      <c r="T94" s="232"/>
      <c r="U94" s="290"/>
      <c r="V94" s="199"/>
      <c r="W94" s="232">
        <v>568.48</v>
      </c>
      <c r="X94" s="289">
        <v>201</v>
      </c>
      <c r="Y94" s="199">
        <f t="shared" si="22"/>
        <v>114264.48000000001</v>
      </c>
      <c r="Z94" s="149"/>
      <c r="AA94" s="150"/>
      <c r="AB94" s="101"/>
      <c r="AC94" s="226"/>
      <c r="AD94" s="1037"/>
      <c r="AE94" s="1051"/>
    </row>
    <row r="95" spans="1:31" ht="24.75" hidden="1" customHeight="1" outlineLevel="2" x14ac:dyDescent="0.3">
      <c r="A95" s="140"/>
      <c r="B95" s="360" t="s">
        <v>1300</v>
      </c>
      <c r="C95" s="78" t="s">
        <v>20</v>
      </c>
      <c r="D95" s="249">
        <v>25.74</v>
      </c>
      <c r="E95" s="1087"/>
      <c r="F95" s="1027"/>
      <c r="G95" s="1029"/>
      <c r="H95" s="1087"/>
      <c r="I95" s="1090"/>
      <c r="J95" s="1087"/>
      <c r="K95" s="1009"/>
      <c r="L95" s="1087"/>
      <c r="M95" s="1090"/>
      <c r="N95" s="1087"/>
      <c r="O95" s="1009"/>
      <c r="P95" s="1107"/>
      <c r="Q95" s="1032"/>
      <c r="R95" s="1027"/>
      <c r="S95" s="1009"/>
      <c r="T95" s="232"/>
      <c r="U95" s="290"/>
      <c r="V95" s="199"/>
      <c r="W95" s="232">
        <v>25.74</v>
      </c>
      <c r="X95" s="292">
        <v>143</v>
      </c>
      <c r="Y95" s="199">
        <f t="shared" si="22"/>
        <v>3680.8199999999997</v>
      </c>
      <c r="Z95" s="149"/>
      <c r="AA95" s="150"/>
      <c r="AB95" s="101">
        <v>0</v>
      </c>
      <c r="AC95" s="226"/>
      <c r="AD95" s="1038"/>
      <c r="AE95" s="1047"/>
    </row>
    <row r="96" spans="1:31" ht="24.75" hidden="1" customHeight="1" outlineLevel="2" x14ac:dyDescent="0.3">
      <c r="A96" s="42"/>
      <c r="B96" s="328" t="s">
        <v>211</v>
      </c>
      <c r="C96" s="78" t="s">
        <v>5</v>
      </c>
      <c r="D96" s="249">
        <v>61</v>
      </c>
      <c r="E96" s="64"/>
      <c r="F96" s="265">
        <v>4</v>
      </c>
      <c r="G96" s="212">
        <v>252</v>
      </c>
      <c r="H96" s="164"/>
      <c r="I96" s="232"/>
      <c r="J96" s="265"/>
      <c r="K96" s="193"/>
      <c r="L96" s="164"/>
      <c r="M96" s="232"/>
      <c r="N96" s="265"/>
      <c r="O96" s="193"/>
      <c r="P96" s="283">
        <v>6.31</v>
      </c>
      <c r="Q96" s="236">
        <v>61</v>
      </c>
      <c r="R96" s="265">
        <v>20</v>
      </c>
      <c r="S96" s="193">
        <v>1225</v>
      </c>
      <c r="T96" s="232"/>
      <c r="U96" s="290"/>
      <c r="V96" s="199"/>
      <c r="W96" s="232">
        <v>61</v>
      </c>
      <c r="X96" s="289">
        <v>356</v>
      </c>
      <c r="Y96" s="199">
        <f t="shared" si="22"/>
        <v>21716</v>
      </c>
      <c r="Z96" s="149"/>
      <c r="AA96" s="150"/>
      <c r="AB96" s="101">
        <v>0</v>
      </c>
      <c r="AC96" s="226"/>
      <c r="AD96" s="302">
        <f>R96-X96</f>
        <v>-336</v>
      </c>
      <c r="AE96" s="202">
        <f>S96-Y96</f>
        <v>-20491</v>
      </c>
    </row>
    <row r="97" spans="1:31" ht="24.75" hidden="1" customHeight="1" outlineLevel="2" x14ac:dyDescent="0.3">
      <c r="A97" s="140"/>
      <c r="B97" s="328" t="s">
        <v>209</v>
      </c>
      <c r="C97" s="78" t="s">
        <v>20</v>
      </c>
      <c r="D97" s="249">
        <v>395.03</v>
      </c>
      <c r="E97" s="64"/>
      <c r="F97" s="265">
        <v>74</v>
      </c>
      <c r="G97" s="212">
        <v>29327</v>
      </c>
      <c r="H97" s="164"/>
      <c r="I97" s="232"/>
      <c r="J97" s="265"/>
      <c r="K97" s="193"/>
      <c r="L97" s="164">
        <v>6.31</v>
      </c>
      <c r="M97" s="232">
        <v>391</v>
      </c>
      <c r="N97" s="265">
        <v>372</v>
      </c>
      <c r="O97" s="193">
        <v>145292</v>
      </c>
      <c r="P97" s="283">
        <v>6.31</v>
      </c>
      <c r="Q97" s="236">
        <v>4.0299999999999727</v>
      </c>
      <c r="R97" s="265">
        <v>372</v>
      </c>
      <c r="S97" s="193">
        <v>1498</v>
      </c>
      <c r="T97" s="232">
        <v>391</v>
      </c>
      <c r="U97" s="289">
        <v>340</v>
      </c>
      <c r="V97" s="199">
        <f t="shared" si="27"/>
        <v>132940</v>
      </c>
      <c r="W97" s="232">
        <v>4.0299999999999727</v>
      </c>
      <c r="X97" s="289">
        <v>340</v>
      </c>
      <c r="Y97" s="199">
        <f t="shared" si="22"/>
        <v>1370.1999999999907</v>
      </c>
      <c r="Z97" s="149"/>
      <c r="AA97" s="150"/>
      <c r="AB97" s="101">
        <v>0</v>
      </c>
      <c r="AC97" s="226"/>
      <c r="AD97" s="304">
        <f>R97-X97</f>
        <v>32</v>
      </c>
      <c r="AE97" s="305">
        <f>O97+S97-V97-Y97</f>
        <v>12479.80000000001</v>
      </c>
    </row>
    <row r="98" spans="1:31" ht="33.75" hidden="1" customHeight="1" outlineLevel="2" x14ac:dyDescent="0.3">
      <c r="A98" s="140"/>
      <c r="B98" s="360" t="s">
        <v>282</v>
      </c>
      <c r="C98" s="78" t="s">
        <v>20</v>
      </c>
      <c r="D98" s="249">
        <v>247</v>
      </c>
      <c r="E98" s="1085" t="s">
        <v>1107</v>
      </c>
      <c r="F98" s="265">
        <v>324</v>
      </c>
      <c r="G98" s="212">
        <v>80126</v>
      </c>
      <c r="H98" s="164"/>
      <c r="I98" s="232"/>
      <c r="J98" s="265"/>
      <c r="K98" s="193"/>
      <c r="L98" s="164"/>
      <c r="M98" s="232"/>
      <c r="N98" s="265"/>
      <c r="O98" s="193"/>
      <c r="P98" s="283">
        <v>6.31</v>
      </c>
      <c r="Q98" s="236">
        <v>247</v>
      </c>
      <c r="R98" s="265">
        <v>1627</v>
      </c>
      <c r="S98" s="193">
        <v>401860</v>
      </c>
      <c r="T98" s="232"/>
      <c r="U98" s="290"/>
      <c r="V98" s="199"/>
      <c r="W98" s="232">
        <v>247</v>
      </c>
      <c r="X98" s="289">
        <v>1050</v>
      </c>
      <c r="Y98" s="199">
        <f t="shared" si="22"/>
        <v>259350</v>
      </c>
      <c r="Z98" s="149"/>
      <c r="AA98" s="150"/>
      <c r="AB98" s="101">
        <v>0</v>
      </c>
      <c r="AC98" s="226"/>
      <c r="AD98" s="304">
        <f>R98-X98</f>
        <v>577</v>
      </c>
      <c r="AE98" s="305">
        <f>S98-Y98</f>
        <v>142510</v>
      </c>
    </row>
    <row r="99" spans="1:31" ht="25.5" hidden="1" customHeight="1" outlineLevel="2" x14ac:dyDescent="0.3">
      <c r="A99" s="140"/>
      <c r="B99" s="360" t="s">
        <v>213</v>
      </c>
      <c r="C99" s="78" t="s">
        <v>199</v>
      </c>
      <c r="D99" s="249">
        <v>25.5</v>
      </c>
      <c r="E99" s="1086"/>
      <c r="F99" s="265">
        <v>63</v>
      </c>
      <c r="G99" s="212">
        <v>1604</v>
      </c>
      <c r="H99" s="164"/>
      <c r="I99" s="232"/>
      <c r="J99" s="265"/>
      <c r="K99" s="193"/>
      <c r="L99" s="164"/>
      <c r="M99" s="232"/>
      <c r="N99" s="265"/>
      <c r="O99" s="193"/>
      <c r="P99" s="283">
        <v>6.31</v>
      </c>
      <c r="Q99" s="236">
        <v>25.5</v>
      </c>
      <c r="R99" s="265">
        <v>316</v>
      </c>
      <c r="S99" s="193">
        <v>8067</v>
      </c>
      <c r="T99" s="232"/>
      <c r="U99" s="290"/>
      <c r="V99" s="199"/>
      <c r="W99" s="232">
        <v>25.5</v>
      </c>
      <c r="X99" s="289">
        <v>332</v>
      </c>
      <c r="Y99" s="199">
        <f t="shared" si="22"/>
        <v>8466</v>
      </c>
      <c r="Z99" s="149"/>
      <c r="AA99" s="150"/>
      <c r="AB99" s="101">
        <v>0</v>
      </c>
      <c r="AC99" s="226"/>
      <c r="AD99" s="302">
        <f t="shared" ref="AD99:AD105" si="29">R99-X99</f>
        <v>-16</v>
      </c>
      <c r="AE99" s="202">
        <f t="shared" ref="AE99:AE105" si="30">S99-Y99</f>
        <v>-399</v>
      </c>
    </row>
    <row r="100" spans="1:31" ht="33.75" hidden="1" customHeight="1" outlineLevel="2" x14ac:dyDescent="0.3">
      <c r="A100" s="140"/>
      <c r="B100" s="360" t="s">
        <v>212</v>
      </c>
      <c r="C100" s="78" t="s">
        <v>199</v>
      </c>
      <c r="D100" s="249">
        <v>89.3</v>
      </c>
      <c r="E100" s="1086"/>
      <c r="F100" s="265">
        <v>23</v>
      </c>
      <c r="G100" s="212">
        <v>2081</v>
      </c>
      <c r="H100" s="164"/>
      <c r="I100" s="232"/>
      <c r="J100" s="265"/>
      <c r="K100" s="193"/>
      <c r="L100" s="164"/>
      <c r="M100" s="232"/>
      <c r="N100" s="265"/>
      <c r="O100" s="193"/>
      <c r="P100" s="283">
        <v>6.31</v>
      </c>
      <c r="Q100" s="236">
        <v>89.3</v>
      </c>
      <c r="R100" s="265">
        <v>115</v>
      </c>
      <c r="S100" s="193">
        <v>10314</v>
      </c>
      <c r="T100" s="232"/>
      <c r="U100" s="290"/>
      <c r="V100" s="199"/>
      <c r="W100" s="232">
        <v>89.3</v>
      </c>
      <c r="X100" s="289">
        <v>57</v>
      </c>
      <c r="Y100" s="199">
        <f t="shared" si="22"/>
        <v>5090.0999999999995</v>
      </c>
      <c r="Z100" s="149"/>
      <c r="AA100" s="150"/>
      <c r="AB100" s="101">
        <v>0</v>
      </c>
      <c r="AC100" s="226"/>
      <c r="AD100" s="304">
        <f t="shared" si="29"/>
        <v>58</v>
      </c>
      <c r="AE100" s="305">
        <f t="shared" si="30"/>
        <v>5223.9000000000005</v>
      </c>
    </row>
    <row r="101" spans="1:31" ht="33.75" hidden="1" customHeight="1" outlineLevel="2" x14ac:dyDescent="0.3">
      <c r="A101" s="140"/>
      <c r="B101" s="360" t="s">
        <v>281</v>
      </c>
      <c r="C101" s="78" t="s">
        <v>199</v>
      </c>
      <c r="D101" s="250">
        <v>117</v>
      </c>
      <c r="E101" s="1086"/>
      <c r="F101" s="265">
        <v>8</v>
      </c>
      <c r="G101" s="212">
        <v>883</v>
      </c>
      <c r="H101" s="164"/>
      <c r="I101" s="232"/>
      <c r="J101" s="265"/>
      <c r="K101" s="193"/>
      <c r="L101" s="164"/>
      <c r="M101" s="232"/>
      <c r="N101" s="265"/>
      <c r="O101" s="193"/>
      <c r="P101" s="283">
        <v>6.31</v>
      </c>
      <c r="Q101" s="236">
        <v>117</v>
      </c>
      <c r="R101" s="265">
        <v>40</v>
      </c>
      <c r="S101" s="193">
        <v>4700</v>
      </c>
      <c r="T101" s="232"/>
      <c r="U101" s="290"/>
      <c r="V101" s="199"/>
      <c r="W101" s="232">
        <v>117</v>
      </c>
      <c r="X101" s="289">
        <v>216</v>
      </c>
      <c r="Y101" s="199">
        <f t="shared" si="22"/>
        <v>25272</v>
      </c>
      <c r="Z101" s="149"/>
      <c r="AA101" s="150"/>
      <c r="AB101" s="101">
        <v>0</v>
      </c>
      <c r="AC101" s="226"/>
      <c r="AD101" s="302">
        <f t="shared" si="29"/>
        <v>-176</v>
      </c>
      <c r="AE101" s="202">
        <f t="shared" si="30"/>
        <v>-20572</v>
      </c>
    </row>
    <row r="102" spans="1:31" ht="19.5" hidden="1" customHeight="1" outlineLevel="2" x14ac:dyDescent="0.3">
      <c r="A102" s="140"/>
      <c r="B102" s="360" t="s">
        <v>246</v>
      </c>
      <c r="C102" s="78" t="s">
        <v>5</v>
      </c>
      <c r="D102" s="249">
        <v>425</v>
      </c>
      <c r="E102" s="1086"/>
      <c r="F102" s="265">
        <v>8</v>
      </c>
      <c r="G102" s="212">
        <v>3225.75</v>
      </c>
      <c r="H102" s="273"/>
      <c r="I102" s="232"/>
      <c r="J102" s="265"/>
      <c r="K102" s="193"/>
      <c r="L102" s="273"/>
      <c r="M102" s="232"/>
      <c r="N102" s="265"/>
      <c r="O102" s="193"/>
      <c r="P102" s="283">
        <v>6.31</v>
      </c>
      <c r="Q102" s="236">
        <v>425</v>
      </c>
      <c r="R102" s="265">
        <v>40</v>
      </c>
      <c r="S102" s="193">
        <v>17073</v>
      </c>
      <c r="T102" s="232"/>
      <c r="U102" s="289"/>
      <c r="V102" s="199"/>
      <c r="W102" s="232">
        <v>425</v>
      </c>
      <c r="X102" s="290">
        <v>179.76</v>
      </c>
      <c r="Y102" s="199">
        <f t="shared" si="22"/>
        <v>76398</v>
      </c>
      <c r="Z102" s="149"/>
      <c r="AA102" s="150"/>
      <c r="AB102" s="101">
        <v>0</v>
      </c>
      <c r="AC102" s="226"/>
      <c r="AD102" s="302">
        <f t="shared" si="29"/>
        <v>-139.76</v>
      </c>
      <c r="AE102" s="202">
        <f t="shared" si="30"/>
        <v>-59325</v>
      </c>
    </row>
    <row r="103" spans="1:31" ht="36.75" hidden="1" customHeight="1" outlineLevel="2" x14ac:dyDescent="0.3">
      <c r="A103" s="140"/>
      <c r="B103" s="360" t="s">
        <v>193</v>
      </c>
      <c r="C103" s="78" t="s">
        <v>40</v>
      </c>
      <c r="D103" s="249">
        <v>744</v>
      </c>
      <c r="E103" s="1086"/>
      <c r="F103" s="265">
        <v>17</v>
      </c>
      <c r="G103" s="212">
        <v>12968</v>
      </c>
      <c r="H103" s="272"/>
      <c r="I103" s="236"/>
      <c r="J103" s="265"/>
      <c r="K103" s="193"/>
      <c r="L103" s="272"/>
      <c r="M103" s="236"/>
      <c r="N103" s="265"/>
      <c r="O103" s="193"/>
      <c r="P103" s="283">
        <v>6.31</v>
      </c>
      <c r="Q103" s="236">
        <v>744</v>
      </c>
      <c r="R103" s="265">
        <v>85</v>
      </c>
      <c r="S103" s="193">
        <v>63512</v>
      </c>
      <c r="T103" s="232"/>
      <c r="U103" s="290"/>
      <c r="V103" s="199"/>
      <c r="W103" s="232">
        <v>744</v>
      </c>
      <c r="X103" s="289">
        <v>27</v>
      </c>
      <c r="Y103" s="199">
        <f t="shared" ref="Y103:Y105" si="31">X103*D103</f>
        <v>20088</v>
      </c>
      <c r="Z103" s="149"/>
      <c r="AA103" s="150"/>
      <c r="AB103" s="101">
        <v>0</v>
      </c>
      <c r="AC103" s="226"/>
      <c r="AD103" s="304">
        <f t="shared" si="29"/>
        <v>58</v>
      </c>
      <c r="AE103" s="305">
        <f t="shared" si="30"/>
        <v>43424</v>
      </c>
    </row>
    <row r="104" spans="1:31" ht="35.25" hidden="1" customHeight="1" outlineLevel="2" x14ac:dyDescent="0.3">
      <c r="A104" s="140"/>
      <c r="B104" s="328" t="s">
        <v>346</v>
      </c>
      <c r="C104" s="78" t="s">
        <v>20</v>
      </c>
      <c r="D104" s="249">
        <v>255</v>
      </c>
      <c r="E104" s="163"/>
      <c r="F104" s="265">
        <v>7</v>
      </c>
      <c r="G104" s="212">
        <v>1811</v>
      </c>
      <c r="H104" s="164"/>
      <c r="I104" s="232"/>
      <c r="J104" s="265"/>
      <c r="K104" s="193"/>
      <c r="L104" s="164"/>
      <c r="M104" s="232"/>
      <c r="N104" s="265"/>
      <c r="O104" s="193"/>
      <c r="P104" s="283">
        <v>6.31</v>
      </c>
      <c r="Q104" s="236">
        <v>255</v>
      </c>
      <c r="R104" s="265">
        <v>35</v>
      </c>
      <c r="S104" s="193">
        <v>8963</v>
      </c>
      <c r="T104" s="232"/>
      <c r="U104" s="290"/>
      <c r="V104" s="199"/>
      <c r="W104" s="232">
        <v>255</v>
      </c>
      <c r="X104" s="289">
        <v>1858</v>
      </c>
      <c r="Y104" s="199">
        <f t="shared" si="31"/>
        <v>473790</v>
      </c>
      <c r="Z104" s="149"/>
      <c r="AA104" s="150"/>
      <c r="AB104" s="101">
        <v>0</v>
      </c>
      <c r="AC104" s="226"/>
      <c r="AD104" s="302">
        <f t="shared" si="29"/>
        <v>-1823</v>
      </c>
      <c r="AE104" s="202">
        <f t="shared" si="30"/>
        <v>-464827</v>
      </c>
    </row>
    <row r="105" spans="1:31" ht="25.5" hidden="1" customHeight="1" outlineLevel="2" x14ac:dyDescent="0.3">
      <c r="A105" s="140"/>
      <c r="B105" s="328" t="s">
        <v>1108</v>
      </c>
      <c r="C105" s="78" t="s">
        <v>20</v>
      </c>
      <c r="D105" s="249">
        <v>56.5</v>
      </c>
      <c r="E105" s="64"/>
      <c r="F105" s="265">
        <v>53</v>
      </c>
      <c r="G105" s="212">
        <v>2985</v>
      </c>
      <c r="H105" s="164"/>
      <c r="I105" s="232"/>
      <c r="J105" s="265"/>
      <c r="K105" s="193"/>
      <c r="L105" s="164"/>
      <c r="M105" s="232"/>
      <c r="N105" s="265"/>
      <c r="O105" s="193"/>
      <c r="P105" s="283">
        <v>6.31</v>
      </c>
      <c r="Q105" s="236">
        <v>56.5</v>
      </c>
      <c r="R105" s="265">
        <v>266</v>
      </c>
      <c r="S105" s="193">
        <v>15037</v>
      </c>
      <c r="T105" s="232"/>
      <c r="U105" s="290"/>
      <c r="V105" s="199"/>
      <c r="W105" s="232">
        <v>56.5</v>
      </c>
      <c r="X105" s="289">
        <v>248</v>
      </c>
      <c r="Y105" s="199">
        <f t="shared" si="31"/>
        <v>14012</v>
      </c>
      <c r="Z105" s="149"/>
      <c r="AA105" s="150"/>
      <c r="AB105" s="101">
        <v>0</v>
      </c>
      <c r="AC105" s="226"/>
      <c r="AD105" s="304">
        <f t="shared" si="29"/>
        <v>18</v>
      </c>
      <c r="AE105" s="305">
        <f t="shared" si="30"/>
        <v>1025</v>
      </c>
    </row>
    <row r="106" spans="1:31" ht="34.5" hidden="1" customHeight="1" outlineLevel="2" x14ac:dyDescent="0.3">
      <c r="A106" s="140"/>
      <c r="B106" s="328" t="s">
        <v>227</v>
      </c>
      <c r="C106" s="78" t="s">
        <v>20</v>
      </c>
      <c r="D106" s="249">
        <v>360</v>
      </c>
      <c r="E106" s="64"/>
      <c r="F106" s="265">
        <v>14</v>
      </c>
      <c r="G106" s="212">
        <v>4896</v>
      </c>
      <c r="H106" s="164"/>
      <c r="I106" s="232"/>
      <c r="J106" s="265"/>
      <c r="K106" s="193"/>
      <c r="L106" s="164">
        <v>6.31</v>
      </c>
      <c r="M106" s="232">
        <v>360</v>
      </c>
      <c r="N106" s="265">
        <v>70</v>
      </c>
      <c r="O106" s="193">
        <v>25308</v>
      </c>
      <c r="P106" s="283"/>
      <c r="Q106" s="236"/>
      <c r="R106" s="265"/>
      <c r="S106" s="193"/>
      <c r="T106" s="232">
        <v>360</v>
      </c>
      <c r="U106" s="289">
        <v>1436</v>
      </c>
      <c r="V106" s="199">
        <f t="shared" si="27"/>
        <v>516960</v>
      </c>
      <c r="W106" s="232"/>
      <c r="X106" s="289"/>
      <c r="Y106" s="199"/>
      <c r="Z106" s="149"/>
      <c r="AA106" s="150"/>
      <c r="AB106" s="101">
        <v>0</v>
      </c>
      <c r="AC106" s="226"/>
      <c r="AD106" s="302">
        <f>N106-U106</f>
        <v>-1366</v>
      </c>
      <c r="AE106" s="202">
        <f>O106-V106</f>
        <v>-491652</v>
      </c>
    </row>
    <row r="107" spans="1:31" ht="49.5" hidden="1" customHeight="1" outlineLevel="2" x14ac:dyDescent="0.3">
      <c r="A107" s="140"/>
      <c r="B107" s="328" t="s">
        <v>1109</v>
      </c>
      <c r="C107" s="78" t="s">
        <v>20</v>
      </c>
      <c r="D107" s="249">
        <v>15.74</v>
      </c>
      <c r="E107" s="64"/>
      <c r="F107" s="265">
        <v>71</v>
      </c>
      <c r="G107" s="212">
        <v>1124</v>
      </c>
      <c r="H107" s="164"/>
      <c r="I107" s="232"/>
      <c r="J107" s="265"/>
      <c r="K107" s="193"/>
      <c r="L107" s="164"/>
      <c r="M107" s="232"/>
      <c r="N107" s="265"/>
      <c r="O107" s="193"/>
      <c r="P107" s="283">
        <v>6.31</v>
      </c>
      <c r="Q107" s="236">
        <v>15.74</v>
      </c>
      <c r="R107" s="265">
        <v>357</v>
      </c>
      <c r="S107" s="193">
        <v>5612</v>
      </c>
      <c r="T107" s="232"/>
      <c r="U107" s="290"/>
      <c r="V107" s="199"/>
      <c r="W107" s="232">
        <v>15.74</v>
      </c>
      <c r="X107" s="289">
        <v>509</v>
      </c>
      <c r="Y107" s="199">
        <f t="shared" ref="Y107:Y111" si="32">X107*D107</f>
        <v>8011.66</v>
      </c>
      <c r="Z107" s="149"/>
      <c r="AA107" s="150"/>
      <c r="AB107" s="101">
        <v>0</v>
      </c>
      <c r="AC107" s="226"/>
      <c r="AD107" s="302">
        <f>R107-X107</f>
        <v>-152</v>
      </c>
      <c r="AE107" s="202">
        <f>S107-Y107</f>
        <v>-2399.66</v>
      </c>
    </row>
    <row r="108" spans="1:31" ht="49.5" hidden="1" customHeight="1" outlineLevel="2" x14ac:dyDescent="0.3">
      <c r="A108" s="140"/>
      <c r="B108" s="328" t="s">
        <v>1110</v>
      </c>
      <c r="C108" s="78" t="s">
        <v>20</v>
      </c>
      <c r="D108" s="249">
        <v>36.6</v>
      </c>
      <c r="E108" s="64"/>
      <c r="F108" s="265">
        <v>67</v>
      </c>
      <c r="G108" s="212">
        <v>2469</v>
      </c>
      <c r="H108" s="164"/>
      <c r="I108" s="232"/>
      <c r="J108" s="265"/>
      <c r="K108" s="193"/>
      <c r="L108" s="164"/>
      <c r="M108" s="232"/>
      <c r="N108" s="265"/>
      <c r="O108" s="193"/>
      <c r="P108" s="283">
        <v>6.31</v>
      </c>
      <c r="Q108" s="236">
        <v>36.6</v>
      </c>
      <c r="R108" s="265">
        <v>336</v>
      </c>
      <c r="S108" s="193">
        <v>12314</v>
      </c>
      <c r="T108" s="232"/>
      <c r="U108" s="290"/>
      <c r="V108" s="199"/>
      <c r="W108" s="232">
        <v>36.6</v>
      </c>
      <c r="X108" s="289">
        <v>606.66999999999996</v>
      </c>
      <c r="Y108" s="199">
        <f t="shared" si="32"/>
        <v>22204.121999999999</v>
      </c>
      <c r="Z108" s="149"/>
      <c r="AA108" s="150"/>
      <c r="AB108" s="101">
        <v>0</v>
      </c>
      <c r="AC108" s="226"/>
      <c r="AD108" s="302">
        <f t="shared" ref="AD108:AD109" si="33">R108-X108</f>
        <v>-270.66999999999996</v>
      </c>
      <c r="AE108" s="202">
        <f t="shared" ref="AE108:AE109" si="34">S108-Y108</f>
        <v>-9890.1219999999994</v>
      </c>
    </row>
    <row r="109" spans="1:31" ht="49.5" hidden="1" customHeight="1" outlineLevel="2" x14ac:dyDescent="0.3">
      <c r="A109" s="140"/>
      <c r="B109" s="328" t="s">
        <v>1111</v>
      </c>
      <c r="C109" s="78" t="s">
        <v>20</v>
      </c>
      <c r="D109" s="249">
        <v>22</v>
      </c>
      <c r="E109" s="64"/>
      <c r="F109" s="265">
        <v>80</v>
      </c>
      <c r="G109" s="212">
        <v>1763</v>
      </c>
      <c r="H109" s="164"/>
      <c r="I109" s="232"/>
      <c r="J109" s="265"/>
      <c r="K109" s="193"/>
      <c r="L109" s="164"/>
      <c r="M109" s="232"/>
      <c r="N109" s="265"/>
      <c r="O109" s="193"/>
      <c r="P109" s="283">
        <v>6.31</v>
      </c>
      <c r="Q109" s="236">
        <v>22</v>
      </c>
      <c r="R109" s="265">
        <v>402</v>
      </c>
      <c r="S109" s="193">
        <v>8838</v>
      </c>
      <c r="T109" s="232"/>
      <c r="U109" s="290"/>
      <c r="V109" s="199"/>
      <c r="W109" s="232">
        <v>22</v>
      </c>
      <c r="X109" s="289">
        <v>710</v>
      </c>
      <c r="Y109" s="199">
        <f t="shared" si="32"/>
        <v>15620</v>
      </c>
      <c r="Z109" s="149"/>
      <c r="AA109" s="150"/>
      <c r="AB109" s="101">
        <v>0</v>
      </c>
      <c r="AC109" s="226"/>
      <c r="AD109" s="302">
        <f t="shared" si="33"/>
        <v>-308</v>
      </c>
      <c r="AE109" s="202">
        <f t="shared" si="34"/>
        <v>-6782</v>
      </c>
    </row>
    <row r="110" spans="1:31" ht="42" hidden="1" customHeight="1" outlineLevel="2" x14ac:dyDescent="0.3">
      <c r="A110" s="140"/>
      <c r="B110" s="328" t="s">
        <v>1112</v>
      </c>
      <c r="C110" s="78" t="s">
        <v>16</v>
      </c>
      <c r="D110" s="249">
        <v>649</v>
      </c>
      <c r="E110" s="64"/>
      <c r="F110" s="265">
        <v>42</v>
      </c>
      <c r="G110" s="212">
        <v>27504.62</v>
      </c>
      <c r="H110" s="164"/>
      <c r="I110" s="232"/>
      <c r="J110" s="265"/>
      <c r="K110" s="193"/>
      <c r="L110" s="164">
        <v>6.31</v>
      </c>
      <c r="M110" s="232">
        <v>649</v>
      </c>
      <c r="N110" s="265">
        <v>211</v>
      </c>
      <c r="O110" s="193">
        <v>136876</v>
      </c>
      <c r="P110" s="283"/>
      <c r="Q110" s="236"/>
      <c r="R110" s="265"/>
      <c r="S110" s="193"/>
      <c r="T110" s="232">
        <v>649</v>
      </c>
      <c r="U110" s="290">
        <v>250.96</v>
      </c>
      <c r="V110" s="199">
        <f t="shared" si="27"/>
        <v>162873.04</v>
      </c>
      <c r="W110" s="232"/>
      <c r="X110" s="289"/>
      <c r="Y110" s="199"/>
      <c r="Z110" s="149"/>
      <c r="AA110" s="150"/>
      <c r="AB110" s="101">
        <v>0</v>
      </c>
      <c r="AC110" s="226"/>
      <c r="AD110" s="302">
        <f>N110-U110</f>
        <v>-39.960000000000008</v>
      </c>
      <c r="AE110" s="202">
        <f>O110-V110</f>
        <v>-25997.040000000008</v>
      </c>
    </row>
    <row r="111" spans="1:31" ht="52.5" hidden="1" customHeight="1" outlineLevel="2" x14ac:dyDescent="0.3">
      <c r="A111" s="140"/>
      <c r="B111" s="328" t="s">
        <v>1113</v>
      </c>
      <c r="C111" s="78" t="s">
        <v>28</v>
      </c>
      <c r="D111" s="249">
        <v>3.008</v>
      </c>
      <c r="E111" s="64"/>
      <c r="F111" s="265">
        <v>12320</v>
      </c>
      <c r="G111" s="212">
        <v>37058.54</v>
      </c>
      <c r="H111" s="164"/>
      <c r="I111" s="232"/>
      <c r="J111" s="265"/>
      <c r="K111" s="193"/>
      <c r="L111" s="164"/>
      <c r="M111" s="232"/>
      <c r="N111" s="265"/>
      <c r="O111" s="193"/>
      <c r="P111" s="283">
        <v>6.31</v>
      </c>
      <c r="Q111" s="236">
        <v>3.008</v>
      </c>
      <c r="R111" s="265">
        <v>61865</v>
      </c>
      <c r="S111" s="193">
        <v>186089</v>
      </c>
      <c r="T111" s="232"/>
      <c r="U111" s="290"/>
      <c r="V111" s="199"/>
      <c r="W111" s="232">
        <v>3.008</v>
      </c>
      <c r="X111" s="289">
        <v>61590</v>
      </c>
      <c r="Y111" s="199">
        <f t="shared" si="32"/>
        <v>185262.72</v>
      </c>
      <c r="Z111" s="149"/>
      <c r="AA111" s="150"/>
      <c r="AB111" s="101">
        <v>0</v>
      </c>
      <c r="AC111" s="226"/>
      <c r="AD111" s="304">
        <f>R111-X111</f>
        <v>275</v>
      </c>
      <c r="AE111" s="305">
        <f>S111-Y111</f>
        <v>826.27999999999884</v>
      </c>
    </row>
    <row r="112" spans="1:31" ht="48.75" hidden="1" customHeight="1" outlineLevel="2" x14ac:dyDescent="0.3">
      <c r="A112" s="140"/>
      <c r="B112" s="328" t="s">
        <v>1114</v>
      </c>
      <c r="C112" s="78" t="s">
        <v>1115</v>
      </c>
      <c r="D112" s="249" t="s">
        <v>1116</v>
      </c>
      <c r="E112" s="1085" t="s">
        <v>1117</v>
      </c>
      <c r="F112" s="1026">
        <v>10740</v>
      </c>
      <c r="G112" s="1028">
        <v>19170.189999999999</v>
      </c>
      <c r="H112" s="1085"/>
      <c r="I112" s="1088"/>
      <c r="J112" s="1085"/>
      <c r="K112" s="1008"/>
      <c r="L112" s="1085"/>
      <c r="M112" s="1088"/>
      <c r="N112" s="1085"/>
      <c r="O112" s="1008"/>
      <c r="P112" s="1085">
        <v>6.31</v>
      </c>
      <c r="Q112" s="1088">
        <v>1.7849999999999999</v>
      </c>
      <c r="R112" s="1085">
        <v>53931</v>
      </c>
      <c r="S112" s="1008">
        <v>96267</v>
      </c>
      <c r="T112" s="232"/>
      <c r="U112" s="290"/>
      <c r="V112" s="199"/>
      <c r="W112" s="232">
        <v>44</v>
      </c>
      <c r="X112" s="289">
        <v>1520</v>
      </c>
      <c r="Y112" s="199">
        <f>W112*X112</f>
        <v>66880</v>
      </c>
      <c r="Z112" s="149"/>
      <c r="AA112" s="150"/>
      <c r="AB112" s="101"/>
      <c r="AC112" s="226"/>
      <c r="AD112" s="1036"/>
      <c r="AE112" s="1039">
        <f>S112-Y112-Y113-Y114-Y115-Y116-Y117-Y118-Y119-Y120-Y121</f>
        <v>-163234.8615</v>
      </c>
    </row>
    <row r="113" spans="1:32" ht="48.75" hidden="1" customHeight="1" outlineLevel="2" x14ac:dyDescent="0.3">
      <c r="A113" s="140"/>
      <c r="B113" s="328" t="s">
        <v>1118</v>
      </c>
      <c r="C113" s="78" t="s">
        <v>1115</v>
      </c>
      <c r="D113" s="249" t="s">
        <v>1119</v>
      </c>
      <c r="E113" s="1110"/>
      <c r="F113" s="1100"/>
      <c r="G113" s="1104"/>
      <c r="H113" s="1086"/>
      <c r="I113" s="1089"/>
      <c r="J113" s="1086"/>
      <c r="K113" s="1077"/>
      <c r="L113" s="1086"/>
      <c r="M113" s="1089"/>
      <c r="N113" s="1086"/>
      <c r="O113" s="1077"/>
      <c r="P113" s="1086"/>
      <c r="Q113" s="1089"/>
      <c r="R113" s="1086"/>
      <c r="S113" s="1077"/>
      <c r="T113" s="232"/>
      <c r="U113" s="290"/>
      <c r="V113" s="199"/>
      <c r="W113" s="232">
        <v>4</v>
      </c>
      <c r="X113" s="289">
        <v>1831.67</v>
      </c>
      <c r="Y113" s="199">
        <f>W113*X113</f>
        <v>7326.68</v>
      </c>
      <c r="Z113" s="149"/>
      <c r="AA113" s="150"/>
      <c r="AB113" s="101"/>
      <c r="AC113" s="226"/>
      <c r="AD113" s="1037"/>
      <c r="AE113" s="1051"/>
    </row>
    <row r="114" spans="1:32" ht="48.75" hidden="1" customHeight="1" outlineLevel="2" x14ac:dyDescent="0.3">
      <c r="A114" s="140"/>
      <c r="B114" s="328" t="s">
        <v>1120</v>
      </c>
      <c r="C114" s="78" t="s">
        <v>1115</v>
      </c>
      <c r="D114" s="249" t="s">
        <v>1121</v>
      </c>
      <c r="E114" s="1110"/>
      <c r="F114" s="1100"/>
      <c r="G114" s="1104"/>
      <c r="H114" s="1086"/>
      <c r="I114" s="1089"/>
      <c r="J114" s="1086"/>
      <c r="K114" s="1077"/>
      <c r="L114" s="1086"/>
      <c r="M114" s="1089"/>
      <c r="N114" s="1086"/>
      <c r="O114" s="1077"/>
      <c r="P114" s="1086"/>
      <c r="Q114" s="1089"/>
      <c r="R114" s="1086"/>
      <c r="S114" s="1077"/>
      <c r="T114" s="232"/>
      <c r="U114" s="290"/>
      <c r="V114" s="199"/>
      <c r="W114" s="232">
        <v>3</v>
      </c>
      <c r="X114" s="289">
        <v>1678</v>
      </c>
      <c r="Y114" s="199">
        <f t="shared" ref="Y114:Y121" si="35">W114*X114</f>
        <v>5034</v>
      </c>
      <c r="Z114" s="149"/>
      <c r="AA114" s="150"/>
      <c r="AB114" s="101"/>
      <c r="AC114" s="226"/>
      <c r="AD114" s="1037"/>
      <c r="AE114" s="1051"/>
    </row>
    <row r="115" spans="1:32" ht="48.75" hidden="1" customHeight="1" outlineLevel="2" x14ac:dyDescent="0.3">
      <c r="A115" s="140"/>
      <c r="B115" s="328" t="s">
        <v>1122</v>
      </c>
      <c r="C115" s="78" t="s">
        <v>1115</v>
      </c>
      <c r="D115" s="249" t="s">
        <v>1123</v>
      </c>
      <c r="E115" s="1110"/>
      <c r="F115" s="1100"/>
      <c r="G115" s="1104"/>
      <c r="H115" s="1086"/>
      <c r="I115" s="1089"/>
      <c r="J115" s="1086"/>
      <c r="K115" s="1077"/>
      <c r="L115" s="1086"/>
      <c r="M115" s="1089"/>
      <c r="N115" s="1086"/>
      <c r="O115" s="1077"/>
      <c r="P115" s="1086"/>
      <c r="Q115" s="1089"/>
      <c r="R115" s="1086"/>
      <c r="S115" s="1077"/>
      <c r="T115" s="232"/>
      <c r="U115" s="290"/>
      <c r="V115" s="199"/>
      <c r="W115" s="232">
        <v>14</v>
      </c>
      <c r="X115" s="289">
        <v>1988</v>
      </c>
      <c r="Y115" s="199">
        <f t="shared" si="35"/>
        <v>27832</v>
      </c>
      <c r="Z115" s="149"/>
      <c r="AA115" s="150"/>
      <c r="AB115" s="101">
        <v>0</v>
      </c>
      <c r="AC115" s="226"/>
      <c r="AD115" s="1037"/>
      <c r="AE115" s="1051"/>
    </row>
    <row r="116" spans="1:32" ht="41.25" hidden="1" customHeight="1" outlineLevel="2" x14ac:dyDescent="0.3">
      <c r="A116" s="140"/>
      <c r="B116" s="328" t="s">
        <v>1124</v>
      </c>
      <c r="C116" s="78" t="s">
        <v>1115</v>
      </c>
      <c r="D116" s="249" t="s">
        <v>1125</v>
      </c>
      <c r="E116" s="1110"/>
      <c r="F116" s="1100"/>
      <c r="G116" s="1104"/>
      <c r="H116" s="1086"/>
      <c r="I116" s="1089"/>
      <c r="J116" s="1086"/>
      <c r="K116" s="1077"/>
      <c r="L116" s="1086"/>
      <c r="M116" s="1089"/>
      <c r="N116" s="1086"/>
      <c r="O116" s="1077"/>
      <c r="P116" s="1086"/>
      <c r="Q116" s="1089"/>
      <c r="R116" s="1086"/>
      <c r="S116" s="1077"/>
      <c r="T116" s="232"/>
      <c r="U116" s="290"/>
      <c r="V116" s="199"/>
      <c r="W116" s="232">
        <v>18</v>
      </c>
      <c r="X116" s="289">
        <v>2644</v>
      </c>
      <c r="Y116" s="199">
        <f t="shared" si="35"/>
        <v>47592</v>
      </c>
      <c r="Z116" s="149"/>
      <c r="AA116" s="150"/>
      <c r="AB116" s="101">
        <v>0</v>
      </c>
      <c r="AC116" s="226"/>
      <c r="AD116" s="1037"/>
      <c r="AE116" s="1051"/>
    </row>
    <row r="117" spans="1:32" ht="48.75" hidden="1" customHeight="1" outlineLevel="2" x14ac:dyDescent="0.3">
      <c r="A117" s="140"/>
      <c r="B117" s="328" t="s">
        <v>1126</v>
      </c>
      <c r="C117" s="78" t="s">
        <v>1115</v>
      </c>
      <c r="D117" s="249" t="s">
        <v>1127</v>
      </c>
      <c r="E117" s="1110"/>
      <c r="F117" s="1100"/>
      <c r="G117" s="1104"/>
      <c r="H117" s="1086"/>
      <c r="I117" s="1089"/>
      <c r="J117" s="1086"/>
      <c r="K117" s="1077"/>
      <c r="L117" s="1086"/>
      <c r="M117" s="1089"/>
      <c r="N117" s="1086"/>
      <c r="O117" s="1077"/>
      <c r="P117" s="1086"/>
      <c r="Q117" s="1089"/>
      <c r="R117" s="1086"/>
      <c r="S117" s="1077"/>
      <c r="T117" s="232"/>
      <c r="U117" s="290"/>
      <c r="V117" s="199"/>
      <c r="W117" s="232">
        <v>1</v>
      </c>
      <c r="X117" s="289">
        <v>1831</v>
      </c>
      <c r="Y117" s="199">
        <f t="shared" si="35"/>
        <v>1831</v>
      </c>
      <c r="Z117" s="149"/>
      <c r="AA117" s="150"/>
      <c r="AB117" s="101">
        <v>0</v>
      </c>
      <c r="AC117" s="226"/>
      <c r="AD117" s="1037"/>
      <c r="AE117" s="1051"/>
    </row>
    <row r="118" spans="1:32" ht="45" hidden="1" customHeight="1" outlineLevel="2" x14ac:dyDescent="0.3">
      <c r="A118" s="140"/>
      <c r="B118" s="328" t="s">
        <v>1128</v>
      </c>
      <c r="C118" s="78" t="s">
        <v>16</v>
      </c>
      <c r="D118" s="249">
        <v>607.39</v>
      </c>
      <c r="E118" s="1110"/>
      <c r="F118" s="1100"/>
      <c r="G118" s="1104"/>
      <c r="H118" s="1086"/>
      <c r="I118" s="1089"/>
      <c r="J118" s="1086"/>
      <c r="K118" s="1077"/>
      <c r="L118" s="1086"/>
      <c r="M118" s="1089"/>
      <c r="N118" s="1086"/>
      <c r="O118" s="1077"/>
      <c r="P118" s="1086"/>
      <c r="Q118" s="1089"/>
      <c r="R118" s="1086"/>
      <c r="S118" s="1077"/>
      <c r="T118" s="232"/>
      <c r="U118" s="290"/>
      <c r="V118" s="199"/>
      <c r="W118" s="232">
        <v>0.60738999999999999</v>
      </c>
      <c r="X118" s="289">
        <v>135525</v>
      </c>
      <c r="Y118" s="199">
        <f t="shared" si="35"/>
        <v>82316.529750000002</v>
      </c>
      <c r="Z118" s="149"/>
      <c r="AA118" s="150"/>
      <c r="AB118" s="101">
        <v>0</v>
      </c>
      <c r="AC118" s="226"/>
      <c r="AD118" s="1037"/>
      <c r="AE118" s="1051"/>
    </row>
    <row r="119" spans="1:32" ht="35.25" hidden="1" customHeight="1" outlineLevel="2" x14ac:dyDescent="0.3">
      <c r="A119" s="140"/>
      <c r="B119" s="328" t="s">
        <v>1129</v>
      </c>
      <c r="C119" s="78" t="s">
        <v>16</v>
      </c>
      <c r="D119" s="249">
        <v>98.67</v>
      </c>
      <c r="E119" s="1110"/>
      <c r="F119" s="1100"/>
      <c r="G119" s="1104"/>
      <c r="H119" s="1086"/>
      <c r="I119" s="1089"/>
      <c r="J119" s="1086"/>
      <c r="K119" s="1077"/>
      <c r="L119" s="1086"/>
      <c r="M119" s="1089"/>
      <c r="N119" s="1086"/>
      <c r="O119" s="1077"/>
      <c r="P119" s="1086"/>
      <c r="Q119" s="1089"/>
      <c r="R119" s="1086"/>
      <c r="S119" s="1077"/>
      <c r="T119" s="232"/>
      <c r="U119" s="290"/>
      <c r="V119" s="199"/>
      <c r="W119" s="232">
        <v>9.8669999999999994E-2</v>
      </c>
      <c r="X119" s="289">
        <v>135525</v>
      </c>
      <c r="Y119" s="199">
        <f t="shared" si="35"/>
        <v>13372.251749999999</v>
      </c>
      <c r="Z119" s="149"/>
      <c r="AA119" s="150"/>
      <c r="AB119" s="101">
        <v>0</v>
      </c>
      <c r="AC119" s="226"/>
      <c r="AD119" s="1037"/>
      <c r="AE119" s="1051"/>
    </row>
    <row r="120" spans="1:32" ht="35.25" hidden="1" customHeight="1" outlineLevel="2" x14ac:dyDescent="0.3">
      <c r="A120" s="140"/>
      <c r="B120" s="328" t="s">
        <v>1130</v>
      </c>
      <c r="C120" s="78" t="s">
        <v>1131</v>
      </c>
      <c r="D120" s="249">
        <v>21</v>
      </c>
      <c r="E120" s="1110"/>
      <c r="F120" s="1100"/>
      <c r="G120" s="1104"/>
      <c r="H120" s="1086"/>
      <c r="I120" s="1089"/>
      <c r="J120" s="1086"/>
      <c r="K120" s="1077"/>
      <c r="L120" s="1086"/>
      <c r="M120" s="1089"/>
      <c r="N120" s="1086"/>
      <c r="O120" s="1077"/>
      <c r="P120" s="1086"/>
      <c r="Q120" s="1089"/>
      <c r="R120" s="1086"/>
      <c r="S120" s="1077"/>
      <c r="T120" s="232"/>
      <c r="U120" s="290"/>
      <c r="V120" s="199"/>
      <c r="W120" s="232">
        <v>21</v>
      </c>
      <c r="X120" s="289">
        <v>52</v>
      </c>
      <c r="Y120" s="199">
        <f t="shared" si="35"/>
        <v>1092</v>
      </c>
      <c r="Z120" s="149"/>
      <c r="AA120" s="150"/>
      <c r="AB120" s="101">
        <v>0</v>
      </c>
      <c r="AC120" s="226"/>
      <c r="AD120" s="1037"/>
      <c r="AE120" s="1051"/>
    </row>
    <row r="121" spans="1:32" ht="35.25" hidden="1" customHeight="1" outlineLevel="2" x14ac:dyDescent="0.3">
      <c r="A121" s="140"/>
      <c r="B121" s="328" t="s">
        <v>1132</v>
      </c>
      <c r="C121" s="78" t="s">
        <v>1020</v>
      </c>
      <c r="D121" s="385" t="s">
        <v>1354</v>
      </c>
      <c r="E121" s="1109"/>
      <c r="F121" s="1027"/>
      <c r="G121" s="1029"/>
      <c r="H121" s="1087"/>
      <c r="I121" s="1090"/>
      <c r="J121" s="1087"/>
      <c r="K121" s="1009"/>
      <c r="L121" s="1087"/>
      <c r="M121" s="1090"/>
      <c r="N121" s="1087"/>
      <c r="O121" s="1009"/>
      <c r="P121" s="1087"/>
      <c r="Q121" s="1090"/>
      <c r="R121" s="1087"/>
      <c r="S121" s="1009"/>
      <c r="T121" s="232"/>
      <c r="U121" s="290"/>
      <c r="V121" s="199"/>
      <c r="W121" s="232">
        <v>18.309999999999999</v>
      </c>
      <c r="X121" s="289">
        <v>340</v>
      </c>
      <c r="Y121" s="199">
        <f t="shared" si="35"/>
        <v>6225.4</v>
      </c>
      <c r="Z121" s="149"/>
      <c r="AA121" s="150"/>
      <c r="AB121" s="101">
        <v>0</v>
      </c>
      <c r="AC121" s="226"/>
      <c r="AD121" s="1038"/>
      <c r="AE121" s="1047"/>
    </row>
    <row r="122" spans="1:32" hidden="1" outlineLevel="2" x14ac:dyDescent="0.3">
      <c r="A122" s="42"/>
      <c r="B122" s="328" t="s">
        <v>347</v>
      </c>
      <c r="C122" s="78" t="s">
        <v>20</v>
      </c>
      <c r="D122" s="249">
        <v>1118.461</v>
      </c>
      <c r="E122" s="64"/>
      <c r="F122" s="265">
        <v>6</v>
      </c>
      <c r="G122" s="212">
        <v>7019</v>
      </c>
      <c r="H122" s="164">
        <v>6.11</v>
      </c>
      <c r="I122" s="232">
        <v>790.44</v>
      </c>
      <c r="J122" s="265">
        <v>29</v>
      </c>
      <c r="K122" s="193">
        <v>23060</v>
      </c>
      <c r="L122" s="164">
        <v>6.31</v>
      </c>
      <c r="M122" s="232">
        <v>41.3</v>
      </c>
      <c r="N122" s="265">
        <v>30</v>
      </c>
      <c r="O122" s="193">
        <v>1244</v>
      </c>
      <c r="P122" s="283">
        <v>6.31</v>
      </c>
      <c r="Q122" s="236">
        <v>286.72099999999995</v>
      </c>
      <c r="R122" s="265">
        <v>30</v>
      </c>
      <c r="S122" s="193">
        <v>8639</v>
      </c>
      <c r="T122" s="232">
        <v>831.74</v>
      </c>
      <c r="U122" s="289">
        <v>280</v>
      </c>
      <c r="V122" s="199">
        <f t="shared" si="27"/>
        <v>232887.2</v>
      </c>
      <c r="W122" s="232">
        <v>286.72099999999995</v>
      </c>
      <c r="X122" s="289">
        <v>280</v>
      </c>
      <c r="Y122" s="199">
        <f t="shared" si="22"/>
        <v>80281.87999999999</v>
      </c>
      <c r="Z122" s="149"/>
      <c r="AA122" s="150"/>
      <c r="AB122" s="101">
        <v>0</v>
      </c>
      <c r="AC122" s="226"/>
      <c r="AD122" s="302">
        <f>R122-X122</f>
        <v>-250</v>
      </c>
      <c r="AE122" s="202">
        <f>K122+O122+S122-V122-Y122</f>
        <v>-280226.08</v>
      </c>
    </row>
    <row r="123" spans="1:32" ht="33.75" hidden="1" customHeight="1" outlineLevel="2" x14ac:dyDescent="0.3">
      <c r="A123" s="140"/>
      <c r="B123" s="328" t="s">
        <v>1133</v>
      </c>
      <c r="C123" s="78" t="s">
        <v>20</v>
      </c>
      <c r="D123" s="249">
        <v>247.5</v>
      </c>
      <c r="E123" s="64"/>
      <c r="F123" s="265">
        <v>7</v>
      </c>
      <c r="G123" s="212">
        <v>1685</v>
      </c>
      <c r="H123" s="164"/>
      <c r="I123" s="232"/>
      <c r="J123" s="265"/>
      <c r="K123" s="193"/>
      <c r="L123" s="164"/>
      <c r="M123" s="232"/>
      <c r="N123" s="265"/>
      <c r="O123" s="193"/>
      <c r="P123" s="283">
        <v>6.31</v>
      </c>
      <c r="Q123" s="236">
        <v>247.5</v>
      </c>
      <c r="R123" s="265">
        <v>35</v>
      </c>
      <c r="S123" s="193">
        <v>8700</v>
      </c>
      <c r="T123" s="232"/>
      <c r="U123" s="289"/>
      <c r="V123" s="199"/>
      <c r="W123" s="232">
        <v>247.5</v>
      </c>
      <c r="X123" s="292">
        <v>307.89999999999998</v>
      </c>
      <c r="Y123" s="199">
        <f t="shared" si="22"/>
        <v>76205.25</v>
      </c>
      <c r="Z123" s="149"/>
      <c r="AA123" s="150"/>
      <c r="AB123" s="101">
        <v>0</v>
      </c>
      <c r="AC123" s="226"/>
      <c r="AD123" s="361">
        <f>R123-X123</f>
        <v>-272.89999999999998</v>
      </c>
      <c r="AE123" s="202">
        <f>S123-Y123</f>
        <v>-67505.25</v>
      </c>
    </row>
    <row r="124" spans="1:32" ht="21.75" hidden="1" customHeight="1" outlineLevel="2" x14ac:dyDescent="0.3">
      <c r="A124" s="42"/>
      <c r="B124" s="328" t="s">
        <v>348</v>
      </c>
      <c r="C124" s="78" t="s">
        <v>28</v>
      </c>
      <c r="D124" s="249">
        <v>0.29699999999999999</v>
      </c>
      <c r="E124" s="64"/>
      <c r="F124" s="265">
        <v>9121</v>
      </c>
      <c r="G124" s="212">
        <v>2709</v>
      </c>
      <c r="H124" s="164">
        <v>5.52</v>
      </c>
      <c r="I124" s="232">
        <v>0.25900000000000001</v>
      </c>
      <c r="J124" s="265">
        <v>40067</v>
      </c>
      <c r="K124" s="193">
        <v>10377</v>
      </c>
      <c r="L124" s="164">
        <v>6.31</v>
      </c>
      <c r="M124" s="232">
        <v>3.8000000000000006E-2</v>
      </c>
      <c r="N124" s="265">
        <v>45801</v>
      </c>
      <c r="O124" s="193">
        <v>1740</v>
      </c>
      <c r="P124" s="283"/>
      <c r="Q124" s="236"/>
      <c r="R124" s="265"/>
      <c r="S124" s="193"/>
      <c r="T124" s="232">
        <v>0.29700000000000004</v>
      </c>
      <c r="U124" s="292">
        <v>275360</v>
      </c>
      <c r="V124" s="199">
        <f t="shared" si="27"/>
        <v>81781.920000000013</v>
      </c>
      <c r="W124" s="232">
        <f>D124</f>
        <v>0.29699999999999999</v>
      </c>
      <c r="X124" s="289">
        <v>275360</v>
      </c>
      <c r="Y124" s="199">
        <f>X124*W124</f>
        <v>81781.919999999998</v>
      </c>
      <c r="Z124" s="149"/>
      <c r="AA124" s="150"/>
      <c r="AB124" s="101">
        <v>0</v>
      </c>
      <c r="AC124" s="226"/>
      <c r="AD124" s="307">
        <f>N124-U124</f>
        <v>-229559</v>
      </c>
      <c r="AE124" s="305">
        <f>K124+O124-V124</f>
        <v>-69664.920000000013</v>
      </c>
    </row>
    <row r="125" spans="1:32" ht="21.75" hidden="1" customHeight="1" outlineLevel="2" x14ac:dyDescent="0.3">
      <c r="A125" s="42"/>
      <c r="B125" s="328" t="s">
        <v>343</v>
      </c>
      <c r="C125" s="78" t="s">
        <v>40</v>
      </c>
      <c r="D125" s="249">
        <v>1977</v>
      </c>
      <c r="E125" s="64"/>
      <c r="F125" s="265">
        <v>1</v>
      </c>
      <c r="G125" s="212">
        <v>2107</v>
      </c>
      <c r="H125" s="164"/>
      <c r="I125" s="232"/>
      <c r="J125" s="265"/>
      <c r="K125" s="193"/>
      <c r="L125" s="164">
        <v>6.31</v>
      </c>
      <c r="M125" s="232">
        <v>941</v>
      </c>
      <c r="N125" s="265">
        <v>5</v>
      </c>
      <c r="O125" s="193">
        <v>4725</v>
      </c>
      <c r="P125" s="283">
        <v>6.31</v>
      </c>
      <c r="Q125" s="236">
        <v>1036</v>
      </c>
      <c r="R125" s="265">
        <v>5</v>
      </c>
      <c r="S125" s="193">
        <v>5202</v>
      </c>
      <c r="T125" s="232">
        <v>941</v>
      </c>
      <c r="U125" s="289">
        <v>4</v>
      </c>
      <c r="V125" s="199">
        <f t="shared" si="27"/>
        <v>3764</v>
      </c>
      <c r="W125" s="232">
        <v>1036</v>
      </c>
      <c r="X125" s="289">
        <v>4</v>
      </c>
      <c r="Y125" s="199">
        <f t="shared" si="22"/>
        <v>4144</v>
      </c>
      <c r="Z125" s="153"/>
      <c r="AA125" s="147"/>
      <c r="AB125" s="101">
        <v>0</v>
      </c>
      <c r="AC125" s="226"/>
      <c r="AD125" s="304">
        <f>R125-X125</f>
        <v>1</v>
      </c>
      <c r="AE125" s="305">
        <f>O125+S125-V125-Y125</f>
        <v>2019</v>
      </c>
    </row>
    <row r="126" spans="1:32" ht="21.75" hidden="1" customHeight="1" outlineLevel="2" x14ac:dyDescent="0.3">
      <c r="A126" s="42"/>
      <c r="B126" s="328" t="s">
        <v>344</v>
      </c>
      <c r="C126" s="78" t="s">
        <v>40</v>
      </c>
      <c r="D126" s="249">
        <v>20440</v>
      </c>
      <c r="E126" s="64"/>
      <c r="F126" s="265">
        <v>1</v>
      </c>
      <c r="G126" s="212">
        <v>24999</v>
      </c>
      <c r="H126" s="164"/>
      <c r="I126" s="232"/>
      <c r="J126" s="265"/>
      <c r="K126" s="193"/>
      <c r="L126" s="164">
        <v>6.31</v>
      </c>
      <c r="M126" s="232">
        <v>3337</v>
      </c>
      <c r="N126" s="265">
        <v>5</v>
      </c>
      <c r="O126" s="193">
        <v>16757</v>
      </c>
      <c r="P126" s="283">
        <v>6.31</v>
      </c>
      <c r="Q126" s="236">
        <v>17103</v>
      </c>
      <c r="R126" s="265">
        <v>5</v>
      </c>
      <c r="S126" s="193">
        <v>85883</v>
      </c>
      <c r="T126" s="232">
        <v>3337</v>
      </c>
      <c r="U126" s="289">
        <v>4</v>
      </c>
      <c r="V126" s="199">
        <f t="shared" si="27"/>
        <v>13348</v>
      </c>
      <c r="W126" s="232">
        <v>17103</v>
      </c>
      <c r="X126" s="289">
        <v>4</v>
      </c>
      <c r="Y126" s="199">
        <f t="shared" si="22"/>
        <v>68412</v>
      </c>
      <c r="Z126" s="149"/>
      <c r="AA126" s="150"/>
      <c r="AB126" s="101">
        <v>0</v>
      </c>
      <c r="AC126" s="226"/>
      <c r="AD126" s="304">
        <f>R126-U126</f>
        <v>1</v>
      </c>
      <c r="AE126" s="305">
        <f>O126+S126-V126-Y126</f>
        <v>20880</v>
      </c>
    </row>
    <row r="127" spans="1:32" s="95" customFormat="1" hidden="1" outlineLevel="1" x14ac:dyDescent="0.3">
      <c r="A127" s="98"/>
      <c r="B127" s="160"/>
      <c r="C127" s="107"/>
      <c r="D127" s="253"/>
      <c r="E127" s="98"/>
      <c r="F127" s="154"/>
      <c r="G127" s="214"/>
      <c r="H127" s="154"/>
      <c r="I127" s="231"/>
      <c r="J127" s="154"/>
      <c r="K127" s="194"/>
      <c r="L127" s="154"/>
      <c r="M127" s="231"/>
      <c r="N127" s="154"/>
      <c r="O127" s="194"/>
      <c r="P127" s="154"/>
      <c r="Q127" s="231"/>
      <c r="R127" s="286"/>
      <c r="S127" s="194"/>
      <c r="T127" s="231"/>
      <c r="U127" s="155"/>
      <c r="V127" s="194"/>
      <c r="W127" s="231"/>
      <c r="X127" s="155"/>
      <c r="Y127" s="194"/>
      <c r="Z127" s="157"/>
      <c r="AA127" s="156"/>
      <c r="AB127" s="156"/>
      <c r="AC127" s="194"/>
      <c r="AD127" s="155"/>
      <c r="AE127" s="194"/>
    </row>
    <row r="128" spans="1:32" ht="26.25" hidden="1" customHeight="1" outlineLevel="1" x14ac:dyDescent="0.3">
      <c r="A128" s="399"/>
      <c r="B128" s="1082" t="s">
        <v>349</v>
      </c>
      <c r="C128" s="1083"/>
      <c r="D128" s="1083"/>
      <c r="E128" s="1083"/>
      <c r="F128" s="1084"/>
      <c r="G128" s="333">
        <f>SUM(G129:G138)</f>
        <v>28766.84</v>
      </c>
      <c r="H128" s="320"/>
      <c r="I128" s="320"/>
      <c r="J128" s="320"/>
      <c r="K128" s="336">
        <f>SUM(K129:K138)</f>
        <v>0</v>
      </c>
      <c r="L128" s="337"/>
      <c r="M128" s="337"/>
      <c r="N128" s="337"/>
      <c r="O128" s="336">
        <f>SUM(O129:O138)</f>
        <v>0</v>
      </c>
      <c r="P128" s="337"/>
      <c r="Q128" s="337"/>
      <c r="R128" s="337"/>
      <c r="S128" s="336">
        <f>SUM(S129:S138)</f>
        <v>85125</v>
      </c>
      <c r="T128" s="320"/>
      <c r="U128" s="322"/>
      <c r="V128" s="336">
        <f>SUM(V129:V138)</f>
        <v>0</v>
      </c>
      <c r="W128" s="320"/>
      <c r="X128" s="322"/>
      <c r="Y128" s="336">
        <f>SUM(Y129:Y138)</f>
        <v>92822</v>
      </c>
      <c r="Z128" s="322"/>
      <c r="AA128" s="322"/>
      <c r="AB128" s="322"/>
      <c r="AC128" s="322"/>
      <c r="AD128" s="322"/>
      <c r="AE128" s="338">
        <f>SUM(AE129:AE138)</f>
        <v>-7697</v>
      </c>
      <c r="AF128" s="324">
        <f>AE128/S128</f>
        <v>-9.0419970631424373E-2</v>
      </c>
    </row>
    <row r="129" spans="1:32 16384:16384" ht="32.25" hidden="1" customHeight="1" outlineLevel="2" x14ac:dyDescent="0.3">
      <c r="A129" s="42"/>
      <c r="B129" s="334" t="s">
        <v>761</v>
      </c>
      <c r="C129" s="78" t="s">
        <v>40</v>
      </c>
      <c r="D129" s="255">
        <v>1</v>
      </c>
      <c r="E129" s="55"/>
      <c r="F129" s="265">
        <f>ROUND(G129/D129,0)</f>
        <v>2136</v>
      </c>
      <c r="G129" s="215">
        <v>2135.71</v>
      </c>
      <c r="H129" s="272"/>
      <c r="I129" s="236"/>
      <c r="J129" s="265"/>
      <c r="K129" s="193"/>
      <c r="L129" s="272"/>
      <c r="M129" s="236"/>
      <c r="N129" s="265"/>
      <c r="O129" s="193"/>
      <c r="P129" s="282">
        <v>4.21</v>
      </c>
      <c r="Q129" s="236">
        <f>D129-I129-M129</f>
        <v>1</v>
      </c>
      <c r="R129" s="265">
        <f>ROUND(F129*P129*0.7958,0)</f>
        <v>7156</v>
      </c>
      <c r="S129" s="193">
        <f>ROUND(Q129*P129*F129*0.7958,0)</f>
        <v>7156</v>
      </c>
      <c r="T129" s="230"/>
      <c r="U129" s="293"/>
      <c r="V129" s="207"/>
      <c r="W129" s="232">
        <f>Q129</f>
        <v>1</v>
      </c>
      <c r="X129" s="289">
        <v>9410</v>
      </c>
      <c r="Y129" s="199">
        <f t="shared" ref="Y129:Y138" si="36">W129*X129</f>
        <v>9410</v>
      </c>
      <c r="Z129" s="151"/>
      <c r="AA129" s="152"/>
      <c r="AB129" s="101">
        <f t="shared" ref="AB129:AB138" si="37">ROUND(Z129*AA129,0)</f>
        <v>0</v>
      </c>
      <c r="AC129" s="226"/>
      <c r="AD129" s="302">
        <f>R129-X129</f>
        <v>-2254</v>
      </c>
      <c r="AE129" s="202">
        <f>K129+S129-Y129-V129</f>
        <v>-2254</v>
      </c>
    </row>
    <row r="130" spans="1:32 16384:16384" ht="30.75" hidden="1" customHeight="1" outlineLevel="2" x14ac:dyDescent="0.3">
      <c r="A130" s="42"/>
      <c r="B130" s="334" t="s">
        <v>762</v>
      </c>
      <c r="C130" s="78" t="s">
        <v>26</v>
      </c>
      <c r="D130" s="255">
        <v>2</v>
      </c>
      <c r="E130" s="63"/>
      <c r="F130" s="265">
        <f>ROUND(G130/D130,0)</f>
        <v>2228</v>
      </c>
      <c r="G130" s="215">
        <v>4456.32</v>
      </c>
      <c r="H130" s="272"/>
      <c r="I130" s="236"/>
      <c r="J130" s="265"/>
      <c r="K130" s="193"/>
      <c r="L130" s="272"/>
      <c r="M130" s="236"/>
      <c r="N130" s="265"/>
      <c r="O130" s="193"/>
      <c r="P130" s="282">
        <v>4.21</v>
      </c>
      <c r="Q130" s="236">
        <f>D130-I130-M130</f>
        <v>2</v>
      </c>
      <c r="R130" s="265">
        <f t="shared" ref="R130:R138" si="38">ROUND(F130*P130*0.7958,0)</f>
        <v>7465</v>
      </c>
      <c r="S130" s="193">
        <f>ROUND(Q130*P130*F130*0.7958,0)</f>
        <v>14929</v>
      </c>
      <c r="T130" s="232"/>
      <c r="U130" s="290"/>
      <c r="V130" s="200"/>
      <c r="W130" s="232">
        <f t="shared" ref="W130:W138" si="39">Q130</f>
        <v>2</v>
      </c>
      <c r="X130" s="289">
        <v>7650</v>
      </c>
      <c r="Y130" s="199">
        <f t="shared" si="36"/>
        <v>15300</v>
      </c>
      <c r="Z130" s="149"/>
      <c r="AA130" s="150"/>
      <c r="AB130" s="101">
        <f t="shared" si="37"/>
        <v>0</v>
      </c>
      <c r="AC130" s="226"/>
      <c r="AD130" s="302">
        <f t="shared" ref="AD130:AD138" si="40">R130-X130</f>
        <v>-185</v>
      </c>
      <c r="AE130" s="202">
        <f t="shared" ref="AE130:AE138" si="41">K130+S130-Y130-V130</f>
        <v>-371</v>
      </c>
    </row>
    <row r="131" spans="1:32 16384:16384" ht="18.75" hidden="1" customHeight="1" outlineLevel="2" x14ac:dyDescent="0.3">
      <c r="A131" s="42"/>
      <c r="B131" s="334" t="s">
        <v>769</v>
      </c>
      <c r="C131" s="78" t="s">
        <v>40</v>
      </c>
      <c r="D131" s="255">
        <v>2</v>
      </c>
      <c r="E131" s="64"/>
      <c r="F131" s="265">
        <f>ROUND(G131/D131,0)</f>
        <v>25</v>
      </c>
      <c r="G131" s="215">
        <v>50.58</v>
      </c>
      <c r="H131" s="272"/>
      <c r="I131" s="236"/>
      <c r="J131" s="265"/>
      <c r="K131" s="193"/>
      <c r="L131" s="272"/>
      <c r="M131" s="236"/>
      <c r="N131" s="265"/>
      <c r="O131" s="193"/>
      <c r="P131" s="282">
        <v>6.08</v>
      </c>
      <c r="Q131" s="236">
        <f>D131-I131-M131</f>
        <v>2</v>
      </c>
      <c r="R131" s="265">
        <f t="shared" si="38"/>
        <v>121</v>
      </c>
      <c r="S131" s="193">
        <f t="shared" ref="S131:S138" si="42">ROUND(Q131*P131*F131*0.7958,0)</f>
        <v>242</v>
      </c>
      <c r="T131" s="230"/>
      <c r="U131" s="290"/>
      <c r="V131" s="200"/>
      <c r="W131" s="232">
        <f t="shared" si="39"/>
        <v>2</v>
      </c>
      <c r="X131" s="289">
        <v>287</v>
      </c>
      <c r="Y131" s="199">
        <f t="shared" si="36"/>
        <v>574</v>
      </c>
      <c r="Z131" s="149"/>
      <c r="AA131" s="150"/>
      <c r="AB131" s="101">
        <f t="shared" si="37"/>
        <v>0</v>
      </c>
      <c r="AC131" s="226"/>
      <c r="AD131" s="302">
        <f t="shared" si="40"/>
        <v>-166</v>
      </c>
      <c r="AE131" s="202">
        <f t="shared" si="41"/>
        <v>-332</v>
      </c>
    </row>
    <row r="132" spans="1:32 16384:16384" ht="18" hidden="1" customHeight="1" outlineLevel="2" x14ac:dyDescent="0.3">
      <c r="A132" s="42"/>
      <c r="B132" s="334" t="s">
        <v>770</v>
      </c>
      <c r="C132" s="78" t="s">
        <v>40</v>
      </c>
      <c r="D132" s="255">
        <v>2</v>
      </c>
      <c r="E132" s="64"/>
      <c r="F132" s="265">
        <f>ROUND(G132/D132,0)</f>
        <v>31</v>
      </c>
      <c r="G132" s="215">
        <v>61.58</v>
      </c>
      <c r="H132" s="272"/>
      <c r="I132" s="236"/>
      <c r="J132" s="265"/>
      <c r="K132" s="193"/>
      <c r="L132" s="272"/>
      <c r="M132" s="236"/>
      <c r="N132" s="265"/>
      <c r="O132" s="193"/>
      <c r="P132" s="282">
        <v>6.08</v>
      </c>
      <c r="Q132" s="236">
        <f>D132-I132-M132</f>
        <v>2</v>
      </c>
      <c r="R132" s="265">
        <f t="shared" si="38"/>
        <v>150</v>
      </c>
      <c r="S132" s="193">
        <f t="shared" si="42"/>
        <v>300</v>
      </c>
      <c r="T132" s="230"/>
      <c r="U132" s="290"/>
      <c r="V132" s="200"/>
      <c r="W132" s="232">
        <f t="shared" si="39"/>
        <v>2</v>
      </c>
      <c r="X132" s="289">
        <v>320</v>
      </c>
      <c r="Y132" s="199">
        <f t="shared" si="36"/>
        <v>640</v>
      </c>
      <c r="Z132" s="149"/>
      <c r="AA132" s="150"/>
      <c r="AB132" s="101">
        <f t="shared" si="37"/>
        <v>0</v>
      </c>
      <c r="AC132" s="226"/>
      <c r="AD132" s="302">
        <f t="shared" si="40"/>
        <v>-170</v>
      </c>
      <c r="AE132" s="202">
        <f t="shared" si="41"/>
        <v>-340</v>
      </c>
    </row>
    <row r="133" spans="1:32 16384:16384" ht="24.75" hidden="1" customHeight="1" outlineLevel="2" x14ac:dyDescent="0.3">
      <c r="A133" s="42"/>
      <c r="B133" s="334" t="s">
        <v>763</v>
      </c>
      <c r="C133" s="78" t="s">
        <v>40</v>
      </c>
      <c r="D133" s="255">
        <v>5</v>
      </c>
      <c r="E133" s="63"/>
      <c r="F133" s="265">
        <f>ROUND(G133/D133,0)</f>
        <v>49</v>
      </c>
      <c r="G133" s="215">
        <v>245.1</v>
      </c>
      <c r="H133" s="272"/>
      <c r="I133" s="236"/>
      <c r="J133" s="265"/>
      <c r="K133" s="193"/>
      <c r="L133" s="272"/>
      <c r="M133" s="236"/>
      <c r="N133" s="265"/>
      <c r="O133" s="193"/>
      <c r="P133" s="282">
        <v>6.08</v>
      </c>
      <c r="Q133" s="236">
        <f>D133-I133-M133</f>
        <v>5</v>
      </c>
      <c r="R133" s="265">
        <f t="shared" si="38"/>
        <v>237</v>
      </c>
      <c r="S133" s="193">
        <f t="shared" si="42"/>
        <v>1185</v>
      </c>
      <c r="T133" s="232"/>
      <c r="U133" s="290"/>
      <c r="V133" s="200"/>
      <c r="W133" s="232">
        <f t="shared" si="39"/>
        <v>5</v>
      </c>
      <c r="X133" s="289">
        <v>238</v>
      </c>
      <c r="Y133" s="199">
        <f t="shared" si="36"/>
        <v>1190</v>
      </c>
      <c r="Z133" s="149"/>
      <c r="AA133" s="150"/>
      <c r="AB133" s="101">
        <f t="shared" si="37"/>
        <v>0</v>
      </c>
      <c r="AC133" s="226"/>
      <c r="AD133" s="302">
        <f t="shared" si="40"/>
        <v>-1</v>
      </c>
      <c r="AE133" s="202">
        <f t="shared" si="41"/>
        <v>-5</v>
      </c>
    </row>
    <row r="134" spans="1:32 16384:16384" ht="33.75" hidden="1" customHeight="1" outlineLevel="2" x14ac:dyDescent="0.3">
      <c r="A134" s="42"/>
      <c r="B134" s="334" t="s">
        <v>767</v>
      </c>
      <c r="C134" s="78" t="s">
        <v>5</v>
      </c>
      <c r="D134" s="255">
        <v>11</v>
      </c>
      <c r="E134" s="82" t="s">
        <v>766</v>
      </c>
      <c r="F134" s="265">
        <f>ROUND(G134/10.219,0)</f>
        <v>6</v>
      </c>
      <c r="G134" s="215">
        <v>62.74</v>
      </c>
      <c r="H134" s="272"/>
      <c r="I134" s="236"/>
      <c r="J134" s="265"/>
      <c r="K134" s="193"/>
      <c r="L134" s="272"/>
      <c r="M134" s="236"/>
      <c r="N134" s="265"/>
      <c r="O134" s="193"/>
      <c r="P134" s="282">
        <v>7.93</v>
      </c>
      <c r="Q134" s="236">
        <v>10.218999999999999</v>
      </c>
      <c r="R134" s="265">
        <f t="shared" si="38"/>
        <v>38</v>
      </c>
      <c r="S134" s="193">
        <f t="shared" si="42"/>
        <v>387</v>
      </c>
      <c r="T134" s="230"/>
      <c r="U134" s="293"/>
      <c r="V134" s="207"/>
      <c r="W134" s="232">
        <f>D134</f>
        <v>11</v>
      </c>
      <c r="X134" s="379">
        <v>75</v>
      </c>
      <c r="Y134" s="199">
        <f t="shared" si="36"/>
        <v>825</v>
      </c>
      <c r="Z134" s="151"/>
      <c r="AA134" s="152"/>
      <c r="AB134" s="101">
        <f t="shared" si="37"/>
        <v>0</v>
      </c>
      <c r="AC134" s="226"/>
      <c r="AD134" s="302">
        <f t="shared" si="40"/>
        <v>-37</v>
      </c>
      <c r="AE134" s="202">
        <f t="shared" si="41"/>
        <v>-438</v>
      </c>
    </row>
    <row r="135" spans="1:32 16384:16384" ht="33" hidden="1" customHeight="1" outlineLevel="2" x14ac:dyDescent="0.3">
      <c r="A135" s="42"/>
      <c r="B135" s="334" t="s">
        <v>764</v>
      </c>
      <c r="C135" s="78" t="s">
        <v>5</v>
      </c>
      <c r="D135" s="255">
        <v>11</v>
      </c>
      <c r="E135" s="82" t="s">
        <v>765</v>
      </c>
      <c r="F135" s="265">
        <f>ROUND(G135/9.889,0)</f>
        <v>5</v>
      </c>
      <c r="G135" s="215">
        <v>45.87</v>
      </c>
      <c r="H135" s="272"/>
      <c r="I135" s="236"/>
      <c r="J135" s="265"/>
      <c r="K135" s="193"/>
      <c r="L135" s="272"/>
      <c r="M135" s="236"/>
      <c r="N135" s="265"/>
      <c r="O135" s="193"/>
      <c r="P135" s="282">
        <v>7.93</v>
      </c>
      <c r="Q135" s="236">
        <v>9.8889999999999993</v>
      </c>
      <c r="R135" s="265">
        <f t="shared" si="38"/>
        <v>32</v>
      </c>
      <c r="S135" s="193">
        <f t="shared" si="42"/>
        <v>312</v>
      </c>
      <c r="T135" s="230"/>
      <c r="U135" s="290"/>
      <c r="V135" s="200"/>
      <c r="W135" s="232">
        <f>D135</f>
        <v>11</v>
      </c>
      <c r="X135" s="289">
        <v>50</v>
      </c>
      <c r="Y135" s="199">
        <f t="shared" si="36"/>
        <v>550</v>
      </c>
      <c r="Z135" s="149"/>
      <c r="AA135" s="150"/>
      <c r="AB135" s="101">
        <f t="shared" si="37"/>
        <v>0</v>
      </c>
      <c r="AC135" s="226"/>
      <c r="AD135" s="302">
        <f t="shared" si="40"/>
        <v>-18</v>
      </c>
      <c r="AE135" s="202">
        <f t="shared" si="41"/>
        <v>-238</v>
      </c>
    </row>
    <row r="136" spans="1:32 16384:16384" ht="19.5" hidden="1" customHeight="1" outlineLevel="2" x14ac:dyDescent="0.3">
      <c r="A136" s="42"/>
      <c r="B136" s="334" t="s">
        <v>350</v>
      </c>
      <c r="C136" s="78" t="s">
        <v>40</v>
      </c>
      <c r="D136" s="255">
        <v>1</v>
      </c>
      <c r="E136" s="55"/>
      <c r="F136" s="265">
        <f>ROUND(G136/D136,0)</f>
        <v>26</v>
      </c>
      <c r="G136" s="215">
        <v>26.49</v>
      </c>
      <c r="H136" s="272"/>
      <c r="I136" s="236"/>
      <c r="J136" s="265"/>
      <c r="K136" s="193"/>
      <c r="L136" s="272"/>
      <c r="M136" s="236"/>
      <c r="N136" s="265"/>
      <c r="O136" s="193"/>
      <c r="P136" s="282">
        <v>7.93</v>
      </c>
      <c r="Q136" s="236">
        <f>D136-I136-M136</f>
        <v>1</v>
      </c>
      <c r="R136" s="265">
        <f t="shared" si="38"/>
        <v>164</v>
      </c>
      <c r="S136" s="193">
        <f t="shared" si="42"/>
        <v>164</v>
      </c>
      <c r="T136" s="230"/>
      <c r="U136" s="293"/>
      <c r="V136" s="207"/>
      <c r="W136" s="232">
        <f t="shared" si="39"/>
        <v>1</v>
      </c>
      <c r="X136" s="379">
        <v>125</v>
      </c>
      <c r="Y136" s="199">
        <f t="shared" si="36"/>
        <v>125</v>
      </c>
      <c r="Z136" s="151"/>
      <c r="AA136" s="152"/>
      <c r="AB136" s="101">
        <f t="shared" si="37"/>
        <v>0</v>
      </c>
      <c r="AC136" s="226"/>
      <c r="AD136" s="304">
        <f t="shared" si="40"/>
        <v>39</v>
      </c>
      <c r="AE136" s="305">
        <f t="shared" si="41"/>
        <v>39</v>
      </c>
    </row>
    <row r="137" spans="1:32 16384:16384" ht="51" hidden="1" customHeight="1" outlineLevel="2" x14ac:dyDescent="0.3">
      <c r="A137" s="42"/>
      <c r="B137" s="334" t="s">
        <v>771</v>
      </c>
      <c r="C137" s="78" t="s">
        <v>40</v>
      </c>
      <c r="D137" s="255">
        <v>1</v>
      </c>
      <c r="E137" s="64"/>
      <c r="F137" s="265">
        <f>ROUND(G137/D137,0)</f>
        <v>21560</v>
      </c>
      <c r="G137" s="215">
        <f>48.45+21511.96</f>
        <v>21560.41</v>
      </c>
      <c r="H137" s="272"/>
      <c r="I137" s="236"/>
      <c r="J137" s="265"/>
      <c r="K137" s="193"/>
      <c r="L137" s="272"/>
      <c r="M137" s="236"/>
      <c r="N137" s="265"/>
      <c r="O137" s="193"/>
      <c r="P137" s="282">
        <v>3.5</v>
      </c>
      <c r="Q137" s="236">
        <f>D137-I137-M137</f>
        <v>1</v>
      </c>
      <c r="R137" s="265">
        <f t="shared" si="38"/>
        <v>60051</v>
      </c>
      <c r="S137" s="193">
        <f>ROUND(Q137*P137*F137*0.7958,0)</f>
        <v>60051</v>
      </c>
      <c r="T137" s="230"/>
      <c r="U137" s="293"/>
      <c r="V137" s="207"/>
      <c r="W137" s="232">
        <f t="shared" si="39"/>
        <v>1</v>
      </c>
      <c r="X137" s="289">
        <v>62000</v>
      </c>
      <c r="Y137" s="199">
        <f t="shared" si="36"/>
        <v>62000</v>
      </c>
      <c r="Z137" s="151"/>
      <c r="AA137" s="152"/>
      <c r="AB137" s="101">
        <f t="shared" si="37"/>
        <v>0</v>
      </c>
      <c r="AC137" s="226"/>
      <c r="AD137" s="302">
        <f t="shared" si="40"/>
        <v>-1949</v>
      </c>
      <c r="AE137" s="202">
        <f t="shared" si="41"/>
        <v>-1949</v>
      </c>
    </row>
    <row r="138" spans="1:32 16384:16384" ht="33" hidden="1" customHeight="1" outlineLevel="2" x14ac:dyDescent="0.3">
      <c r="A138" s="42"/>
      <c r="B138" s="334" t="s">
        <v>768</v>
      </c>
      <c r="C138" s="78" t="s">
        <v>26</v>
      </c>
      <c r="D138" s="255">
        <v>1</v>
      </c>
      <c r="E138" s="64"/>
      <c r="F138" s="265">
        <f>ROUND(G138/D138,0)</f>
        <v>122</v>
      </c>
      <c r="G138" s="215">
        <v>122.04</v>
      </c>
      <c r="H138" s="272"/>
      <c r="I138" s="236"/>
      <c r="J138" s="265"/>
      <c r="K138" s="193"/>
      <c r="L138" s="272"/>
      <c r="M138" s="236"/>
      <c r="N138" s="265"/>
      <c r="O138" s="193"/>
      <c r="P138" s="282">
        <v>4.1100000000000003</v>
      </c>
      <c r="Q138" s="236">
        <f>D138-I138-M138</f>
        <v>1</v>
      </c>
      <c r="R138" s="265">
        <f t="shared" si="38"/>
        <v>399</v>
      </c>
      <c r="S138" s="193">
        <f t="shared" si="42"/>
        <v>399</v>
      </c>
      <c r="T138" s="230"/>
      <c r="U138" s="293"/>
      <c r="V138" s="207"/>
      <c r="W138" s="232">
        <f t="shared" si="39"/>
        <v>1</v>
      </c>
      <c r="X138" s="289">
        <v>2208</v>
      </c>
      <c r="Y138" s="199">
        <f t="shared" si="36"/>
        <v>2208</v>
      </c>
      <c r="Z138" s="151"/>
      <c r="AA138" s="152"/>
      <c r="AB138" s="101">
        <f t="shared" si="37"/>
        <v>0</v>
      </c>
      <c r="AC138" s="226"/>
      <c r="AD138" s="302">
        <f t="shared" si="40"/>
        <v>-1809</v>
      </c>
      <c r="AE138" s="202">
        <f t="shared" si="41"/>
        <v>-1809</v>
      </c>
    </row>
    <row r="139" spans="1:32 16384:16384" s="95" customFormat="1" hidden="1" outlineLevel="1" x14ac:dyDescent="0.3">
      <c r="A139" s="98"/>
      <c r="B139" s="160"/>
      <c r="C139" s="107"/>
      <c r="D139" s="253"/>
      <c r="E139" s="98"/>
      <c r="F139" s="154"/>
      <c r="G139" s="214"/>
      <c r="H139" s="154"/>
      <c r="I139" s="231"/>
      <c r="J139" s="154"/>
      <c r="K139" s="194"/>
      <c r="L139" s="154"/>
      <c r="M139" s="231"/>
      <c r="N139" s="154"/>
      <c r="O139" s="194"/>
      <c r="P139" s="154"/>
      <c r="Q139" s="231"/>
      <c r="R139" s="286"/>
      <c r="S139" s="194"/>
      <c r="T139" s="231"/>
      <c r="U139" s="155"/>
      <c r="V139" s="194"/>
      <c r="W139" s="231"/>
      <c r="X139" s="155"/>
      <c r="Y139" s="194"/>
      <c r="Z139" s="157"/>
      <c r="AA139" s="156"/>
      <c r="AB139" s="156"/>
      <c r="AC139" s="194"/>
      <c r="AD139" s="155"/>
      <c r="AE139" s="194"/>
    </row>
    <row r="140" spans="1:32 16384:16384" ht="26.25" hidden="1" customHeight="1" outlineLevel="1" x14ac:dyDescent="0.3">
      <c r="A140" s="399"/>
      <c r="B140" s="1082" t="s">
        <v>351</v>
      </c>
      <c r="C140" s="1083"/>
      <c r="D140" s="1083"/>
      <c r="E140" s="1083"/>
      <c r="F140" s="1084"/>
      <c r="G140" s="333">
        <f>SUM(G141:G147)</f>
        <v>3089.33</v>
      </c>
      <c r="H140" s="320"/>
      <c r="I140" s="320"/>
      <c r="J140" s="320"/>
      <c r="K140" s="336">
        <f>SUM(K141:K147)</f>
        <v>0</v>
      </c>
      <c r="L140" s="337"/>
      <c r="M140" s="337"/>
      <c r="N140" s="337"/>
      <c r="O140" s="336">
        <f>SUM(O141:O147)</f>
        <v>0</v>
      </c>
      <c r="P140" s="337"/>
      <c r="Q140" s="337"/>
      <c r="R140" s="337"/>
      <c r="S140" s="336">
        <f>SUM(S141:S147)</f>
        <v>11495</v>
      </c>
      <c r="T140" s="320"/>
      <c r="U140" s="322"/>
      <c r="V140" s="336">
        <f>SUM(V141:V147)</f>
        <v>0</v>
      </c>
      <c r="W140" s="320"/>
      <c r="X140" s="322"/>
      <c r="Y140" s="336">
        <f>SUM(Y141:Y147)</f>
        <v>23864</v>
      </c>
      <c r="Z140" s="322"/>
      <c r="AA140" s="322"/>
      <c r="AB140" s="322"/>
      <c r="AC140" s="322"/>
      <c r="AD140" s="322"/>
      <c r="AE140" s="338">
        <f>SUM(AE141:AE147)</f>
        <v>-12369</v>
      </c>
      <c r="AF140" s="324">
        <f>AE140/S140</f>
        <v>-1.0760330578512396</v>
      </c>
    </row>
    <row r="141" spans="1:32 16384:16384" ht="37.5" hidden="1" customHeight="1" outlineLevel="2" x14ac:dyDescent="0.3">
      <c r="A141" s="42"/>
      <c r="B141" s="334" t="s">
        <v>773</v>
      </c>
      <c r="C141" s="78" t="s">
        <v>26</v>
      </c>
      <c r="D141" s="255">
        <v>1</v>
      </c>
      <c r="E141" s="63"/>
      <c r="F141" s="265">
        <f>ROUND(G141/D141,0)</f>
        <v>364</v>
      </c>
      <c r="G141" s="215">
        <f>13.9+349.79</f>
        <v>363.69</v>
      </c>
      <c r="H141" s="272"/>
      <c r="I141" s="236"/>
      <c r="J141" s="265"/>
      <c r="K141" s="193"/>
      <c r="L141" s="272"/>
      <c r="M141" s="236"/>
      <c r="N141" s="265"/>
      <c r="O141" s="193"/>
      <c r="P141" s="282">
        <v>4.22</v>
      </c>
      <c r="Q141" s="236">
        <f>D141-I141-M141</f>
        <v>1</v>
      </c>
      <c r="R141" s="265">
        <f>ROUND(F141*P141*0.7958,0)</f>
        <v>1222</v>
      </c>
      <c r="S141" s="193">
        <f>ROUND(Q141*P141*F141*0.7958,0)</f>
        <v>1222</v>
      </c>
      <c r="T141" s="232"/>
      <c r="U141" s="290"/>
      <c r="V141" s="200"/>
      <c r="W141" s="232">
        <f t="shared" ref="W141" si="43">Q141</f>
        <v>1</v>
      </c>
      <c r="X141" s="289">
        <v>3953</v>
      </c>
      <c r="Y141" s="199">
        <f t="shared" ref="Y141" si="44">W141*X141</f>
        <v>3953</v>
      </c>
      <c r="Z141" s="149"/>
      <c r="AA141" s="150"/>
      <c r="AB141" s="101">
        <f>ROUND(Z141*AA141,0)</f>
        <v>0</v>
      </c>
      <c r="AC141" s="226"/>
      <c r="AD141" s="302">
        <f t="shared" ref="AD141" si="45">R141-X141</f>
        <v>-2731</v>
      </c>
      <c r="AE141" s="202">
        <f>S141-Y141</f>
        <v>-2731</v>
      </c>
      <c r="XFD141">
        <f>SUM(D141:XFC141)</f>
        <v>5622.91</v>
      </c>
    </row>
    <row r="142" spans="1:32 16384:16384" ht="51.75" hidden="1" customHeight="1" outlineLevel="2" x14ac:dyDescent="0.3">
      <c r="A142" s="42"/>
      <c r="B142" s="334" t="s">
        <v>772</v>
      </c>
      <c r="C142" s="78" t="s">
        <v>26</v>
      </c>
      <c r="D142" s="255">
        <v>1</v>
      </c>
      <c r="E142" s="63"/>
      <c r="F142" s="265">
        <f>ROUND(G142/D142,0)</f>
        <v>141</v>
      </c>
      <c r="G142" s="215">
        <v>141.12</v>
      </c>
      <c r="H142" s="272"/>
      <c r="I142" s="236"/>
      <c r="J142" s="265"/>
      <c r="K142" s="193"/>
      <c r="L142" s="272"/>
      <c r="M142" s="236"/>
      <c r="N142" s="265"/>
      <c r="O142" s="193"/>
      <c r="P142" s="282">
        <v>5.95</v>
      </c>
      <c r="Q142" s="236">
        <f>D142-I142-M142</f>
        <v>1</v>
      </c>
      <c r="R142" s="265">
        <f>ROUND(F142*P142*0.7958,0)</f>
        <v>668</v>
      </c>
      <c r="S142" s="193">
        <f>ROUND(Q142*P142*F142*0.7958,0)</f>
        <v>668</v>
      </c>
      <c r="T142" s="232"/>
      <c r="U142" s="290"/>
      <c r="V142" s="200"/>
      <c r="W142" s="232">
        <f t="shared" ref="W142:W145" si="46">Q142</f>
        <v>1</v>
      </c>
      <c r="X142" s="289">
        <v>3250</v>
      </c>
      <c r="Y142" s="199">
        <f t="shared" ref="Y142:Y147" si="47">W142*X142</f>
        <v>3250</v>
      </c>
      <c r="Z142" s="149"/>
      <c r="AA142" s="150"/>
      <c r="AB142" s="101">
        <f>ROUND(Z142*AA142,0)</f>
        <v>0</v>
      </c>
      <c r="AC142" s="226"/>
      <c r="AD142" s="302">
        <f t="shared" ref="AD142:AD147" si="48">R142-X142</f>
        <v>-2582</v>
      </c>
      <c r="AE142" s="202">
        <f t="shared" ref="AE142:AE147" si="49">S142-Y142</f>
        <v>-2582</v>
      </c>
      <c r="XFD142">
        <f>SUM(D142:XFC142)</f>
        <v>2963.0699999999997</v>
      </c>
    </row>
    <row r="143" spans="1:32 16384:16384" ht="22.5" hidden="1" customHeight="1" outlineLevel="2" x14ac:dyDescent="0.3">
      <c r="A143" s="42"/>
      <c r="B143" s="334" t="s">
        <v>352</v>
      </c>
      <c r="C143" s="78" t="s">
        <v>40</v>
      </c>
      <c r="D143" s="255">
        <v>1</v>
      </c>
      <c r="E143" s="55"/>
      <c r="F143" s="265">
        <f t="shared" ref="F143:F203" si="50">ROUND(G143/D143,0)</f>
        <v>827</v>
      </c>
      <c r="G143" s="215">
        <v>826.9</v>
      </c>
      <c r="H143" s="272"/>
      <c r="I143" s="236"/>
      <c r="J143" s="265"/>
      <c r="K143" s="193"/>
      <c r="L143" s="272"/>
      <c r="M143" s="236"/>
      <c r="N143" s="265"/>
      <c r="O143" s="193"/>
      <c r="P143" s="282">
        <v>2.5</v>
      </c>
      <c r="Q143" s="236">
        <f t="shared" ref="Q143:Q203" si="51">D143-I143-M143</f>
        <v>1</v>
      </c>
      <c r="R143" s="265">
        <f t="shared" ref="R143:R203" si="52">ROUND(F143*P143*0.7958,0)</f>
        <v>1645</v>
      </c>
      <c r="S143" s="193">
        <f t="shared" ref="S143:S203" si="53">ROUND(Q143*P143*F143*0.7958,0)</f>
        <v>1645</v>
      </c>
      <c r="T143" s="230"/>
      <c r="U143" s="293"/>
      <c r="V143" s="207"/>
      <c r="W143" s="232">
        <f t="shared" si="46"/>
        <v>1</v>
      </c>
      <c r="X143" s="289">
        <v>7198</v>
      </c>
      <c r="Y143" s="199">
        <f t="shared" si="47"/>
        <v>7198</v>
      </c>
      <c r="Z143" s="151"/>
      <c r="AA143" s="152"/>
      <c r="AB143" s="101">
        <f t="shared" ref="AB143:AB203" si="54">ROUND(Z143*AA143,0)</f>
        <v>0</v>
      </c>
      <c r="AC143" s="226"/>
      <c r="AD143" s="302">
        <f t="shared" si="48"/>
        <v>-5553</v>
      </c>
      <c r="AE143" s="202">
        <f t="shared" si="49"/>
        <v>-5553</v>
      </c>
      <c r="XFD143">
        <f t="shared" ref="XFD143:XFD147" si="55">SUM(D143:XFC143)</f>
        <v>8239.4000000000015</v>
      </c>
    </row>
    <row r="144" spans="1:32 16384:16384" ht="21.75" hidden="1" customHeight="1" outlineLevel="2" x14ac:dyDescent="0.3">
      <c r="A144" s="42"/>
      <c r="B144" s="334" t="s">
        <v>353</v>
      </c>
      <c r="C144" s="78" t="s">
        <v>40</v>
      </c>
      <c r="D144" s="255">
        <v>1</v>
      </c>
      <c r="E144" s="63"/>
      <c r="F144" s="265">
        <f t="shared" si="50"/>
        <v>76</v>
      </c>
      <c r="G144" s="215">
        <v>75.87</v>
      </c>
      <c r="H144" s="272"/>
      <c r="I144" s="236"/>
      <c r="J144" s="265"/>
      <c r="K144" s="193"/>
      <c r="L144" s="272"/>
      <c r="M144" s="236"/>
      <c r="N144" s="265"/>
      <c r="O144" s="193"/>
      <c r="P144" s="282">
        <v>2.5</v>
      </c>
      <c r="Q144" s="236">
        <f t="shared" si="51"/>
        <v>1</v>
      </c>
      <c r="R144" s="265">
        <f t="shared" si="52"/>
        <v>151</v>
      </c>
      <c r="S144" s="193">
        <f>ROUND(Q144*P144*F144*0.7958,0)</f>
        <v>151</v>
      </c>
      <c r="T144" s="232"/>
      <c r="U144" s="290"/>
      <c r="V144" s="207"/>
      <c r="W144" s="232">
        <f t="shared" si="46"/>
        <v>1</v>
      </c>
      <c r="X144" s="289">
        <v>826</v>
      </c>
      <c r="Y144" s="199">
        <f t="shared" si="47"/>
        <v>826</v>
      </c>
      <c r="Z144" s="149"/>
      <c r="AA144" s="150"/>
      <c r="AB144" s="101">
        <f t="shared" si="54"/>
        <v>0</v>
      </c>
      <c r="AC144" s="226"/>
      <c r="AD144" s="302">
        <f t="shared" si="48"/>
        <v>-675</v>
      </c>
      <c r="AE144" s="202">
        <f t="shared" si="49"/>
        <v>-675</v>
      </c>
      <c r="XFD144">
        <f t="shared" si="55"/>
        <v>761.36999999999989</v>
      </c>
    </row>
    <row r="145" spans="1:32 16384:16384" ht="36" hidden="1" customHeight="1" outlineLevel="2" x14ac:dyDescent="0.3">
      <c r="A145" s="42"/>
      <c r="B145" s="334" t="s">
        <v>354</v>
      </c>
      <c r="C145" s="78" t="s">
        <v>26</v>
      </c>
      <c r="D145" s="255">
        <v>1</v>
      </c>
      <c r="E145" s="55"/>
      <c r="F145" s="265">
        <f t="shared" si="50"/>
        <v>143</v>
      </c>
      <c r="G145" s="215">
        <v>142.77000000000001</v>
      </c>
      <c r="H145" s="272"/>
      <c r="I145" s="236"/>
      <c r="J145" s="265"/>
      <c r="K145" s="193"/>
      <c r="L145" s="272"/>
      <c r="M145" s="236"/>
      <c r="N145" s="265"/>
      <c r="O145" s="193"/>
      <c r="P145" s="282">
        <v>2.5</v>
      </c>
      <c r="Q145" s="236">
        <f t="shared" si="51"/>
        <v>1</v>
      </c>
      <c r="R145" s="265">
        <f t="shared" si="52"/>
        <v>284</v>
      </c>
      <c r="S145" s="193">
        <f t="shared" si="53"/>
        <v>284</v>
      </c>
      <c r="T145" s="230"/>
      <c r="U145" s="293"/>
      <c r="V145" s="207"/>
      <c r="W145" s="232">
        <f t="shared" si="46"/>
        <v>1</v>
      </c>
      <c r="X145" s="289">
        <v>1495</v>
      </c>
      <c r="Y145" s="199">
        <f t="shared" si="47"/>
        <v>1495</v>
      </c>
      <c r="Z145" s="151"/>
      <c r="AA145" s="152"/>
      <c r="AB145" s="101">
        <f t="shared" si="54"/>
        <v>0</v>
      </c>
      <c r="AC145" s="226"/>
      <c r="AD145" s="302">
        <f t="shared" si="48"/>
        <v>-1211</v>
      </c>
      <c r="AE145" s="202">
        <f t="shared" si="49"/>
        <v>-1211</v>
      </c>
      <c r="XFD145">
        <f t="shared" si="55"/>
        <v>1427.27</v>
      </c>
    </row>
    <row r="146" spans="1:32 16384:16384" ht="36" hidden="1" customHeight="1" outlineLevel="2" x14ac:dyDescent="0.3">
      <c r="A146" s="42"/>
      <c r="B146" s="334" t="s">
        <v>776</v>
      </c>
      <c r="C146" s="78" t="s">
        <v>5</v>
      </c>
      <c r="D146" s="255">
        <v>16</v>
      </c>
      <c r="E146" s="82" t="s">
        <v>775</v>
      </c>
      <c r="F146" s="265">
        <f>ROUND(G146/15.97,0)</f>
        <v>77</v>
      </c>
      <c r="G146" s="215">
        <v>1236.56</v>
      </c>
      <c r="H146" s="272"/>
      <c r="I146" s="236"/>
      <c r="J146" s="265"/>
      <c r="K146" s="193"/>
      <c r="L146" s="272"/>
      <c r="M146" s="236"/>
      <c r="N146" s="265"/>
      <c r="O146" s="193"/>
      <c r="P146" s="282">
        <v>6.18</v>
      </c>
      <c r="Q146" s="236">
        <v>15.97</v>
      </c>
      <c r="R146" s="265">
        <f t="shared" si="52"/>
        <v>379</v>
      </c>
      <c r="S146" s="193">
        <f t="shared" si="53"/>
        <v>6048</v>
      </c>
      <c r="T146" s="232"/>
      <c r="U146" s="290"/>
      <c r="V146" s="200"/>
      <c r="W146" s="232">
        <f>D146</f>
        <v>16</v>
      </c>
      <c r="X146" s="289">
        <v>316</v>
      </c>
      <c r="Y146" s="199">
        <f t="shared" si="47"/>
        <v>5056</v>
      </c>
      <c r="Z146" s="149"/>
      <c r="AA146" s="150"/>
      <c r="AB146" s="101">
        <f t="shared" si="54"/>
        <v>0</v>
      </c>
      <c r="AC146" s="226"/>
      <c r="AD146" s="304">
        <f t="shared" si="48"/>
        <v>63</v>
      </c>
      <c r="AE146" s="305">
        <f t="shared" si="49"/>
        <v>992</v>
      </c>
      <c r="XFD146">
        <f t="shared" si="55"/>
        <v>14221.71</v>
      </c>
    </row>
    <row r="147" spans="1:32 16384:16384" ht="36" hidden="1" customHeight="1" outlineLevel="2" x14ac:dyDescent="0.3">
      <c r="A147" s="42"/>
      <c r="B147" s="334" t="s">
        <v>1344</v>
      </c>
      <c r="C147" s="78" t="s">
        <v>5</v>
      </c>
      <c r="D147" s="255">
        <v>7</v>
      </c>
      <c r="E147" s="82" t="s">
        <v>774</v>
      </c>
      <c r="F147" s="265">
        <f>ROUND(G147/6.986,0)</f>
        <v>43</v>
      </c>
      <c r="G147" s="215">
        <v>302.42</v>
      </c>
      <c r="H147" s="272"/>
      <c r="I147" s="236"/>
      <c r="J147" s="265"/>
      <c r="K147" s="193"/>
      <c r="L147" s="272"/>
      <c r="M147" s="236"/>
      <c r="N147" s="265"/>
      <c r="O147" s="193"/>
      <c r="P147" s="282">
        <v>6.18</v>
      </c>
      <c r="Q147" s="236">
        <v>6.9859999999999998</v>
      </c>
      <c r="R147" s="265">
        <f t="shared" si="52"/>
        <v>211</v>
      </c>
      <c r="S147" s="193">
        <f t="shared" si="53"/>
        <v>1477</v>
      </c>
      <c r="T147" s="230"/>
      <c r="U147" s="293"/>
      <c r="V147" s="207"/>
      <c r="W147" s="232">
        <f>D147</f>
        <v>7</v>
      </c>
      <c r="X147" s="289">
        <v>298</v>
      </c>
      <c r="Y147" s="199">
        <f t="shared" si="47"/>
        <v>2086</v>
      </c>
      <c r="Z147" s="151"/>
      <c r="AA147" s="152"/>
      <c r="AB147" s="101">
        <f t="shared" si="54"/>
        <v>0</v>
      </c>
      <c r="AC147" s="226"/>
      <c r="AD147" s="302">
        <f t="shared" si="48"/>
        <v>-87</v>
      </c>
      <c r="AE147" s="202">
        <f t="shared" si="49"/>
        <v>-609</v>
      </c>
      <c r="XFD147">
        <f t="shared" si="55"/>
        <v>3748.5860000000002</v>
      </c>
    </row>
    <row r="148" spans="1:32 16384:16384" s="95" customFormat="1" hidden="1" outlineLevel="1" x14ac:dyDescent="0.3">
      <c r="A148" s="98"/>
      <c r="B148" s="160"/>
      <c r="C148" s="107"/>
      <c r="D148" s="253"/>
      <c r="E148" s="98"/>
      <c r="F148" s="154"/>
      <c r="G148" s="214"/>
      <c r="H148" s="154"/>
      <c r="I148" s="231"/>
      <c r="J148" s="154"/>
      <c r="K148" s="194"/>
      <c r="L148" s="154"/>
      <c r="M148" s="231"/>
      <c r="N148" s="154"/>
      <c r="O148" s="194"/>
      <c r="P148" s="154"/>
      <c r="Q148" s="231"/>
      <c r="R148" s="286"/>
      <c r="S148" s="194"/>
      <c r="T148" s="231"/>
      <c r="U148" s="155"/>
      <c r="V148" s="194"/>
      <c r="W148" s="231"/>
      <c r="X148" s="155"/>
      <c r="Y148" s="194"/>
      <c r="Z148" s="157"/>
      <c r="AA148" s="156"/>
      <c r="AB148" s="156"/>
      <c r="AC148" s="194"/>
      <c r="AD148" s="155"/>
      <c r="AE148" s="194"/>
    </row>
    <row r="149" spans="1:32 16384:16384" ht="26.25" hidden="1" customHeight="1" outlineLevel="1" x14ac:dyDescent="0.3">
      <c r="A149" s="399"/>
      <c r="B149" s="1082" t="s">
        <v>355</v>
      </c>
      <c r="C149" s="1083"/>
      <c r="D149" s="1083"/>
      <c r="E149" s="1083"/>
      <c r="F149" s="1084"/>
      <c r="G149" s="333">
        <f>SUM(G150:G150)</f>
        <v>87.7</v>
      </c>
      <c r="H149" s="320"/>
      <c r="I149" s="320"/>
      <c r="J149" s="320"/>
      <c r="K149" s="336">
        <f>SUM(K150:K150)</f>
        <v>0</v>
      </c>
      <c r="L149" s="337"/>
      <c r="M149" s="337"/>
      <c r="N149" s="337"/>
      <c r="O149" s="336">
        <f>SUM(O150:O150)</f>
        <v>0</v>
      </c>
      <c r="P149" s="337"/>
      <c r="Q149" s="337"/>
      <c r="R149" s="337"/>
      <c r="S149" s="336">
        <f>SUM(S150:S150)</f>
        <v>382</v>
      </c>
      <c r="T149" s="320"/>
      <c r="U149" s="322"/>
      <c r="V149" s="336">
        <f>V150</f>
        <v>0</v>
      </c>
      <c r="W149" s="320"/>
      <c r="X149" s="322"/>
      <c r="Y149" s="336">
        <f>Y150</f>
        <v>975.78000000000009</v>
      </c>
      <c r="Z149" s="322"/>
      <c r="AA149" s="322"/>
      <c r="AB149" s="322"/>
      <c r="AC149" s="322"/>
      <c r="AD149" s="322"/>
      <c r="AE149" s="338">
        <f>AE150</f>
        <v>-593.78000000000009</v>
      </c>
      <c r="AF149" s="324">
        <f>AE149/S149</f>
        <v>-1.5543979057591626</v>
      </c>
    </row>
    <row r="150" spans="1:32 16384:16384" ht="35.25" hidden="1" customHeight="1" outlineLevel="2" x14ac:dyDescent="0.3">
      <c r="A150" s="191"/>
      <c r="B150" s="334" t="s">
        <v>777</v>
      </c>
      <c r="C150" s="78" t="s">
        <v>16</v>
      </c>
      <c r="D150" s="255">
        <v>7.2</v>
      </c>
      <c r="E150" s="63"/>
      <c r="F150" s="265">
        <f t="shared" si="50"/>
        <v>12</v>
      </c>
      <c r="G150" s="215">
        <v>87.7</v>
      </c>
      <c r="H150" s="272"/>
      <c r="I150" s="236"/>
      <c r="J150" s="265"/>
      <c r="K150" s="193"/>
      <c r="L150" s="272"/>
      <c r="M150" s="236"/>
      <c r="N150" s="265"/>
      <c r="O150" s="193"/>
      <c r="P150" s="282">
        <v>5.56</v>
      </c>
      <c r="Q150" s="236">
        <f t="shared" si="51"/>
        <v>7.2</v>
      </c>
      <c r="R150" s="265">
        <f t="shared" si="52"/>
        <v>53</v>
      </c>
      <c r="S150" s="193">
        <f t="shared" si="53"/>
        <v>382</v>
      </c>
      <c r="T150" s="232"/>
      <c r="U150" s="290"/>
      <c r="V150" s="200"/>
      <c r="W150" s="232">
        <f>Q150</f>
        <v>7.2</v>
      </c>
      <c r="X150" s="290">
        <f>135525/1000</f>
        <v>135.52500000000001</v>
      </c>
      <c r="Y150" s="200">
        <f>W150*X150</f>
        <v>975.78000000000009</v>
      </c>
      <c r="Z150" s="149"/>
      <c r="AA150" s="150"/>
      <c r="AB150" s="101">
        <f t="shared" si="54"/>
        <v>0</v>
      </c>
      <c r="AC150" s="226"/>
      <c r="AD150" s="302">
        <f t="shared" ref="AD150" si="56">R150-X150</f>
        <v>-82.525000000000006</v>
      </c>
      <c r="AE150" s="202">
        <f t="shared" ref="AE150" si="57">S150-Y150</f>
        <v>-593.78000000000009</v>
      </c>
    </row>
    <row r="151" spans="1:32 16384:16384" s="95" customFormat="1" hidden="1" outlineLevel="1" x14ac:dyDescent="0.3">
      <c r="A151" s="98"/>
      <c r="B151" s="160"/>
      <c r="C151" s="107"/>
      <c r="D151" s="253"/>
      <c r="E151" s="98"/>
      <c r="F151" s="154"/>
      <c r="G151" s="214"/>
      <c r="H151" s="154"/>
      <c r="I151" s="231"/>
      <c r="J151" s="154"/>
      <c r="K151" s="194"/>
      <c r="L151" s="154"/>
      <c r="M151" s="231"/>
      <c r="N151" s="154"/>
      <c r="O151" s="194"/>
      <c r="P151" s="154"/>
      <c r="Q151" s="231"/>
      <c r="R151" s="286"/>
      <c r="S151" s="194"/>
      <c r="T151" s="231"/>
      <c r="U151" s="155"/>
      <c r="V151" s="194"/>
      <c r="W151" s="231"/>
      <c r="X151" s="155"/>
      <c r="Y151" s="194"/>
      <c r="Z151" s="157"/>
      <c r="AA151" s="156"/>
      <c r="AB151" s="156"/>
      <c r="AC151" s="194"/>
      <c r="AD151" s="155"/>
      <c r="AE151" s="194"/>
    </row>
    <row r="152" spans="1:32 16384:16384" ht="26.25" hidden="1" customHeight="1" outlineLevel="1" x14ac:dyDescent="0.3">
      <c r="A152" s="399"/>
      <c r="B152" s="1082" t="s">
        <v>356</v>
      </c>
      <c r="C152" s="1083"/>
      <c r="D152" s="1083"/>
      <c r="E152" s="1083"/>
      <c r="F152" s="1084"/>
      <c r="G152" s="333">
        <f>SUM(G153:G204)</f>
        <v>198484.60999999996</v>
      </c>
      <c r="H152" s="320"/>
      <c r="I152" s="320"/>
      <c r="J152" s="320"/>
      <c r="K152" s="336">
        <f>SUM(K153:K204)</f>
        <v>0</v>
      </c>
      <c r="L152" s="337"/>
      <c r="M152" s="337"/>
      <c r="N152" s="337"/>
      <c r="O152" s="336">
        <f>SUM(O153:O204)</f>
        <v>0</v>
      </c>
      <c r="P152" s="337"/>
      <c r="Q152" s="337"/>
      <c r="R152" s="337"/>
      <c r="S152" s="336">
        <f>SUM(S153:S204)</f>
        <v>861463.31160599994</v>
      </c>
      <c r="T152" s="320"/>
      <c r="U152" s="322"/>
      <c r="V152" s="336"/>
      <c r="W152" s="320"/>
      <c r="X152" s="322"/>
      <c r="Y152" s="336">
        <f>SUM(Y153:Y204)</f>
        <v>1116444.9110000001</v>
      </c>
      <c r="Z152" s="322"/>
      <c r="AA152" s="322"/>
      <c r="AB152" s="322"/>
      <c r="AC152" s="322"/>
      <c r="AD152" s="322"/>
      <c r="AE152" s="338">
        <f>SUM(AE153:AE204)</f>
        <v>-254981.59939399999</v>
      </c>
      <c r="AF152" s="324">
        <f>AE152/S152</f>
        <v>-0.29598660321197606</v>
      </c>
    </row>
    <row r="153" spans="1:32 16384:16384" ht="32.25" hidden="1" customHeight="1" outlineLevel="2" x14ac:dyDescent="0.3">
      <c r="A153" s="42"/>
      <c r="B153" s="360" t="s">
        <v>814</v>
      </c>
      <c r="C153" s="78" t="s">
        <v>28</v>
      </c>
      <c r="D153" s="255">
        <f>0.0162+0.0088</f>
        <v>2.5000000000000001E-2</v>
      </c>
      <c r="E153" s="64"/>
      <c r="F153" s="265">
        <f t="shared" si="50"/>
        <v>11996</v>
      </c>
      <c r="G153" s="216">
        <f>203+96.89</f>
        <v>299.89</v>
      </c>
      <c r="H153" s="272"/>
      <c r="I153" s="236"/>
      <c r="J153" s="265"/>
      <c r="K153" s="193"/>
      <c r="L153" s="272"/>
      <c r="M153" s="236"/>
      <c r="N153" s="265"/>
      <c r="O153" s="193"/>
      <c r="P153" s="282">
        <v>5.49</v>
      </c>
      <c r="Q153" s="236">
        <f t="shared" si="51"/>
        <v>2.5000000000000001E-2</v>
      </c>
      <c r="R153" s="265">
        <f t="shared" si="52"/>
        <v>52410</v>
      </c>
      <c r="S153" s="193">
        <f t="shared" si="53"/>
        <v>1310</v>
      </c>
      <c r="T153" s="230"/>
      <c r="U153" s="293"/>
      <c r="V153" s="207"/>
      <c r="W153" s="232">
        <f>D153</f>
        <v>2.5000000000000001E-2</v>
      </c>
      <c r="X153" s="289">
        <v>41050</v>
      </c>
      <c r="Y153" s="199">
        <f t="shared" ref="Y153" si="58">W153*X153</f>
        <v>1026.25</v>
      </c>
      <c r="Z153" s="151"/>
      <c r="AA153" s="152"/>
      <c r="AB153" s="101">
        <f t="shared" si="54"/>
        <v>0</v>
      </c>
      <c r="AC153" s="226"/>
      <c r="AD153" s="304">
        <f t="shared" ref="AD153" si="59">R153-X153</f>
        <v>11360</v>
      </c>
      <c r="AE153" s="305">
        <f t="shared" ref="AE153:AE158" si="60">S153-Y153</f>
        <v>283.75</v>
      </c>
    </row>
    <row r="154" spans="1:32 16384:16384" ht="32.25" hidden="1" customHeight="1" outlineLevel="2" x14ac:dyDescent="0.3">
      <c r="A154" s="140"/>
      <c r="B154" s="328" t="s">
        <v>360</v>
      </c>
      <c r="C154" s="78" t="s">
        <v>40</v>
      </c>
      <c r="D154" s="255">
        <v>1</v>
      </c>
      <c r="E154" s="64"/>
      <c r="F154" s="265">
        <f>ROUND(G154/D154,0)</f>
        <v>24858</v>
      </c>
      <c r="G154" s="216">
        <v>24858.45</v>
      </c>
      <c r="H154" s="272"/>
      <c r="I154" s="236"/>
      <c r="J154" s="265"/>
      <c r="K154" s="193"/>
      <c r="L154" s="272"/>
      <c r="M154" s="236"/>
      <c r="N154" s="265"/>
      <c r="O154" s="193"/>
      <c r="P154" s="282">
        <v>5.49</v>
      </c>
      <c r="Q154" s="236">
        <f>D154-I154-M154</f>
        <v>1</v>
      </c>
      <c r="R154" s="265">
        <f t="shared" ref="R154:R159" si="61">ROUND(F154*P154*0.7958,0)</f>
        <v>108603</v>
      </c>
      <c r="S154" s="193">
        <f>ROUND(Q154*P154*F154*0.7958,0)</f>
        <v>108603</v>
      </c>
      <c r="T154" s="232"/>
      <c r="U154" s="290"/>
      <c r="V154" s="200"/>
      <c r="W154" s="232">
        <f t="shared" ref="W154:W204" si="62">D154</f>
        <v>1</v>
      </c>
      <c r="X154" s="289">
        <v>125833</v>
      </c>
      <c r="Y154" s="199">
        <f t="shared" ref="Y154:Y204" si="63">W154*X154</f>
        <v>125833</v>
      </c>
      <c r="Z154" s="149"/>
      <c r="AA154" s="150"/>
      <c r="AB154" s="101">
        <f>ROUND(Z154*AA154,0)</f>
        <v>0</v>
      </c>
      <c r="AC154" s="226"/>
      <c r="AD154" s="302">
        <f t="shared" ref="AD154:AD204" si="64">R154-X154</f>
        <v>-17230</v>
      </c>
      <c r="AE154" s="202">
        <f t="shared" si="60"/>
        <v>-17230</v>
      </c>
    </row>
    <row r="155" spans="1:32 16384:16384" ht="20.25" hidden="1" customHeight="1" outlineLevel="2" x14ac:dyDescent="0.3">
      <c r="A155" s="42"/>
      <c r="B155" s="360" t="s">
        <v>361</v>
      </c>
      <c r="C155" s="78" t="s">
        <v>16</v>
      </c>
      <c r="D155" s="255">
        <v>10.164999999999999</v>
      </c>
      <c r="E155" s="64"/>
      <c r="F155" s="265">
        <f>ROUND(G155/D155,0)</f>
        <v>25</v>
      </c>
      <c r="G155" s="216">
        <v>250.98</v>
      </c>
      <c r="H155" s="272"/>
      <c r="I155" s="236"/>
      <c r="J155" s="265"/>
      <c r="K155" s="193"/>
      <c r="L155" s="272"/>
      <c r="M155" s="236"/>
      <c r="N155" s="265"/>
      <c r="O155" s="193"/>
      <c r="P155" s="282">
        <v>5.49</v>
      </c>
      <c r="Q155" s="236">
        <f>D155-I155-M155</f>
        <v>10.164999999999999</v>
      </c>
      <c r="R155" s="265">
        <f t="shared" si="61"/>
        <v>109</v>
      </c>
      <c r="S155" s="193">
        <f>ROUND(Q155*P155*F155*0.7958,0)</f>
        <v>1110</v>
      </c>
      <c r="T155" s="232"/>
      <c r="U155" s="290"/>
      <c r="V155" s="200"/>
      <c r="W155" s="232">
        <f t="shared" si="62"/>
        <v>10.164999999999999</v>
      </c>
      <c r="X155" s="289">
        <v>200</v>
      </c>
      <c r="Y155" s="199">
        <f t="shared" si="63"/>
        <v>2032.9999999999998</v>
      </c>
      <c r="Z155" s="149"/>
      <c r="AA155" s="150"/>
      <c r="AB155" s="101">
        <f>ROUND(Z155*AA155,0)</f>
        <v>0</v>
      </c>
      <c r="AC155" s="226"/>
      <c r="AD155" s="302">
        <f t="shared" si="64"/>
        <v>-91</v>
      </c>
      <c r="AE155" s="202">
        <f t="shared" si="60"/>
        <v>-922.99999999999977</v>
      </c>
    </row>
    <row r="156" spans="1:32 16384:16384" ht="48.75" hidden="1" customHeight="1" outlineLevel="2" x14ac:dyDescent="0.3">
      <c r="A156" s="140"/>
      <c r="B156" s="328" t="s">
        <v>1306</v>
      </c>
      <c r="C156" s="78" t="s">
        <v>40</v>
      </c>
      <c r="D156" s="255">
        <v>7</v>
      </c>
      <c r="E156" s="64"/>
      <c r="F156" s="265">
        <f>ROUND(G156/D156,0)</f>
        <v>1276</v>
      </c>
      <c r="G156" s="216">
        <v>8929.5499999999993</v>
      </c>
      <c r="H156" s="272"/>
      <c r="I156" s="236"/>
      <c r="J156" s="265"/>
      <c r="K156" s="193"/>
      <c r="L156" s="272"/>
      <c r="M156" s="236"/>
      <c r="N156" s="265"/>
      <c r="O156" s="193"/>
      <c r="P156" s="282">
        <v>5.49</v>
      </c>
      <c r="Q156" s="236">
        <f>D156-I156-M156</f>
        <v>7</v>
      </c>
      <c r="R156" s="265">
        <f t="shared" si="61"/>
        <v>5575</v>
      </c>
      <c r="S156" s="193">
        <f>ROUND(Q156*P156*F156*0.7958,0)</f>
        <v>39023</v>
      </c>
      <c r="T156" s="232"/>
      <c r="U156" s="290"/>
      <c r="V156" s="200"/>
      <c r="W156" s="232">
        <f t="shared" si="62"/>
        <v>7</v>
      </c>
      <c r="X156" s="289">
        <v>5900</v>
      </c>
      <c r="Y156" s="199">
        <f t="shared" si="63"/>
        <v>41300</v>
      </c>
      <c r="Z156" s="149"/>
      <c r="AA156" s="150"/>
      <c r="AB156" s="101">
        <f>ROUND(Z156*AA156,0)</f>
        <v>0</v>
      </c>
      <c r="AC156" s="226"/>
      <c r="AD156" s="304">
        <f t="shared" si="64"/>
        <v>-325</v>
      </c>
      <c r="AE156" s="305">
        <f t="shared" si="60"/>
        <v>-2277</v>
      </c>
    </row>
    <row r="157" spans="1:32 16384:16384" s="356" customFormat="1" ht="24" hidden="1" customHeight="1" outlineLevel="2" x14ac:dyDescent="0.3">
      <c r="A157" s="342"/>
      <c r="B157" s="328" t="s">
        <v>806</v>
      </c>
      <c r="C157" s="125" t="s">
        <v>40</v>
      </c>
      <c r="D157" s="255">
        <v>4</v>
      </c>
      <c r="E157" s="144"/>
      <c r="F157" s="343">
        <f>ROUND(G157/D157,0)</f>
        <v>25</v>
      </c>
      <c r="G157" s="344">
        <v>101.16</v>
      </c>
      <c r="H157" s="345"/>
      <c r="I157" s="346"/>
      <c r="J157" s="343"/>
      <c r="K157" s="347"/>
      <c r="L157" s="345"/>
      <c r="M157" s="346"/>
      <c r="N157" s="343"/>
      <c r="O157" s="347"/>
      <c r="P157" s="282">
        <v>5.49</v>
      </c>
      <c r="Q157" s="346">
        <f>D157-I157-M157</f>
        <v>4</v>
      </c>
      <c r="R157" s="343">
        <f t="shared" si="61"/>
        <v>109</v>
      </c>
      <c r="S157" s="347">
        <f>ROUND(Q157*P157*F157*0.7958,0)</f>
        <v>437</v>
      </c>
      <c r="T157" s="348"/>
      <c r="U157" s="349"/>
      <c r="V157" s="350"/>
      <c r="W157" s="359">
        <f t="shared" si="62"/>
        <v>4</v>
      </c>
      <c r="X157" s="358">
        <v>287</v>
      </c>
      <c r="Y157" s="351">
        <f t="shared" si="63"/>
        <v>1148</v>
      </c>
      <c r="Z157" s="352"/>
      <c r="AA157" s="353"/>
      <c r="AB157" s="354">
        <f>ROUND(Z157*AA157,0)</f>
        <v>0</v>
      </c>
      <c r="AC157" s="355"/>
      <c r="AD157" s="302">
        <f t="shared" si="64"/>
        <v>-178</v>
      </c>
      <c r="AE157" s="202">
        <f t="shared" si="60"/>
        <v>-711</v>
      </c>
    </row>
    <row r="158" spans="1:32 16384:16384" s="356" customFormat="1" ht="24" hidden="1" customHeight="1" outlineLevel="2" x14ac:dyDescent="0.3">
      <c r="A158" s="342"/>
      <c r="B158" s="328" t="s">
        <v>807</v>
      </c>
      <c r="C158" s="125" t="s">
        <v>40</v>
      </c>
      <c r="D158" s="255">
        <v>4</v>
      </c>
      <c r="E158" s="144"/>
      <c r="F158" s="343">
        <f>ROUND(G158/D158,0)</f>
        <v>31</v>
      </c>
      <c r="G158" s="344">
        <v>123.16</v>
      </c>
      <c r="H158" s="345"/>
      <c r="I158" s="346"/>
      <c r="J158" s="343"/>
      <c r="K158" s="347"/>
      <c r="L158" s="345"/>
      <c r="M158" s="346"/>
      <c r="N158" s="343"/>
      <c r="O158" s="347"/>
      <c r="P158" s="282">
        <v>5.49</v>
      </c>
      <c r="Q158" s="346">
        <f>D158-I158-M158</f>
        <v>4</v>
      </c>
      <c r="R158" s="343">
        <f t="shared" si="61"/>
        <v>135</v>
      </c>
      <c r="S158" s="347">
        <f>ROUND(Q158*P158*F158*0.7958,0)</f>
        <v>542</v>
      </c>
      <c r="T158" s="348"/>
      <c r="U158" s="349"/>
      <c r="V158" s="350"/>
      <c r="W158" s="359">
        <f t="shared" si="62"/>
        <v>4</v>
      </c>
      <c r="X158" s="358">
        <v>320</v>
      </c>
      <c r="Y158" s="351">
        <f t="shared" si="63"/>
        <v>1280</v>
      </c>
      <c r="Z158" s="352"/>
      <c r="AA158" s="353"/>
      <c r="AB158" s="354">
        <f>ROUND(Z158*AA158,0)</f>
        <v>0</v>
      </c>
      <c r="AC158" s="355"/>
      <c r="AD158" s="302">
        <f t="shared" si="64"/>
        <v>-185</v>
      </c>
      <c r="AE158" s="202">
        <f t="shared" si="60"/>
        <v>-738</v>
      </c>
    </row>
    <row r="159" spans="1:32 16384:16384" s="356" customFormat="1" ht="44.25" hidden="1" customHeight="1" outlineLevel="2" x14ac:dyDescent="0.3">
      <c r="A159" s="357"/>
      <c r="B159" s="328" t="s">
        <v>778</v>
      </c>
      <c r="C159" s="125" t="s">
        <v>5</v>
      </c>
      <c r="D159" s="255">
        <v>11</v>
      </c>
      <c r="E159" s="1132" t="s">
        <v>779</v>
      </c>
      <c r="F159" s="1026">
        <f>ROUND(G159/17.4,0)</f>
        <v>100</v>
      </c>
      <c r="G159" s="1151">
        <v>1735.3</v>
      </c>
      <c r="H159" s="1091"/>
      <c r="I159" s="1094"/>
      <c r="J159" s="1091"/>
      <c r="K159" s="1097"/>
      <c r="L159" s="1091"/>
      <c r="M159" s="1094"/>
      <c r="N159" s="1091"/>
      <c r="O159" s="1097"/>
      <c r="P159" s="1147">
        <v>5.49</v>
      </c>
      <c r="Q159" s="1030">
        <v>17.399999999999999</v>
      </c>
      <c r="R159" s="1026">
        <f t="shared" si="61"/>
        <v>437</v>
      </c>
      <c r="S159" s="1008">
        <f>ROUND(F159*P159*Q159*0.7958,0)</f>
        <v>7602</v>
      </c>
      <c r="T159" s="230"/>
      <c r="U159" s="290"/>
      <c r="V159" s="200"/>
      <c r="W159" s="232">
        <f t="shared" si="62"/>
        <v>11</v>
      </c>
      <c r="X159" s="289">
        <v>141.87</v>
      </c>
      <c r="Y159" s="199">
        <f t="shared" si="63"/>
        <v>1560.5700000000002</v>
      </c>
      <c r="Z159" s="149"/>
      <c r="AA159" s="150"/>
      <c r="AB159" s="101">
        <f t="shared" si="54"/>
        <v>0</v>
      </c>
      <c r="AC159" s="226"/>
      <c r="AD159" s="1036"/>
      <c r="AE159" s="1064">
        <f>S159-Y159-Y160-Y161-Y162-Y163</f>
        <v>-1118.8699999999994</v>
      </c>
    </row>
    <row r="160" spans="1:32 16384:16384" s="356" customFormat="1" ht="44.25" hidden="1" customHeight="1" outlineLevel="2" x14ac:dyDescent="0.3">
      <c r="A160" s="357"/>
      <c r="B160" s="328" t="s">
        <v>780</v>
      </c>
      <c r="C160" s="125" t="s">
        <v>5</v>
      </c>
      <c r="D160" s="255">
        <v>9</v>
      </c>
      <c r="E160" s="1133"/>
      <c r="F160" s="1100"/>
      <c r="G160" s="1186"/>
      <c r="H160" s="1092"/>
      <c r="I160" s="1095"/>
      <c r="J160" s="1092"/>
      <c r="K160" s="1098"/>
      <c r="L160" s="1092"/>
      <c r="M160" s="1095"/>
      <c r="N160" s="1092"/>
      <c r="O160" s="1098"/>
      <c r="P160" s="1148"/>
      <c r="Q160" s="1031"/>
      <c r="R160" s="1100"/>
      <c r="S160" s="1077"/>
      <c r="T160" s="230"/>
      <c r="U160" s="290"/>
      <c r="V160" s="200"/>
      <c r="W160" s="232">
        <f t="shared" si="62"/>
        <v>9</v>
      </c>
      <c r="X160" s="289">
        <v>177.6</v>
      </c>
      <c r="Y160" s="199">
        <f t="shared" si="63"/>
        <v>1598.3999999999999</v>
      </c>
      <c r="Z160" s="149"/>
      <c r="AA160" s="150"/>
      <c r="AB160" s="101">
        <f t="shared" ref="AB160:AB162" si="65">ROUND(Z160*AA160,0)</f>
        <v>0</v>
      </c>
      <c r="AC160" s="226"/>
      <c r="AD160" s="1037"/>
      <c r="AE160" s="1203"/>
    </row>
    <row r="161" spans="1:31" s="356" customFormat="1" ht="44.25" hidden="1" customHeight="1" outlineLevel="2" x14ac:dyDescent="0.3">
      <c r="A161" s="357"/>
      <c r="B161" s="328" t="s">
        <v>781</v>
      </c>
      <c r="C161" s="125" t="s">
        <v>5</v>
      </c>
      <c r="D161" s="255">
        <v>13</v>
      </c>
      <c r="E161" s="1133"/>
      <c r="F161" s="1100"/>
      <c r="G161" s="1186"/>
      <c r="H161" s="1092"/>
      <c r="I161" s="1095"/>
      <c r="J161" s="1092"/>
      <c r="K161" s="1098"/>
      <c r="L161" s="1092"/>
      <c r="M161" s="1095"/>
      <c r="N161" s="1092"/>
      <c r="O161" s="1098"/>
      <c r="P161" s="1148"/>
      <c r="Q161" s="1031"/>
      <c r="R161" s="1100"/>
      <c r="S161" s="1077"/>
      <c r="T161" s="230"/>
      <c r="U161" s="290"/>
      <c r="V161" s="200"/>
      <c r="W161" s="232">
        <f t="shared" si="62"/>
        <v>13</v>
      </c>
      <c r="X161" s="289">
        <v>227.2</v>
      </c>
      <c r="Y161" s="199">
        <f t="shared" si="63"/>
        <v>2953.6</v>
      </c>
      <c r="Z161" s="149"/>
      <c r="AA161" s="150"/>
      <c r="AB161" s="101">
        <f t="shared" si="65"/>
        <v>0</v>
      </c>
      <c r="AC161" s="226"/>
      <c r="AD161" s="1037"/>
      <c r="AE161" s="1203"/>
    </row>
    <row r="162" spans="1:31" s="356" customFormat="1" ht="44.25" hidden="1" customHeight="1" outlineLevel="2" x14ac:dyDescent="0.3">
      <c r="A162" s="357"/>
      <c r="B162" s="328" t="s">
        <v>782</v>
      </c>
      <c r="C162" s="125" t="s">
        <v>5</v>
      </c>
      <c r="D162" s="255">
        <v>5</v>
      </c>
      <c r="E162" s="1133"/>
      <c r="F162" s="1100"/>
      <c r="G162" s="1186"/>
      <c r="H162" s="1092"/>
      <c r="I162" s="1095"/>
      <c r="J162" s="1092"/>
      <c r="K162" s="1098"/>
      <c r="L162" s="1092"/>
      <c r="M162" s="1095"/>
      <c r="N162" s="1092"/>
      <c r="O162" s="1098"/>
      <c r="P162" s="1148"/>
      <c r="Q162" s="1031"/>
      <c r="R162" s="1100"/>
      <c r="S162" s="1077"/>
      <c r="T162" s="230"/>
      <c r="U162" s="290"/>
      <c r="V162" s="200"/>
      <c r="W162" s="232">
        <f t="shared" si="62"/>
        <v>5</v>
      </c>
      <c r="X162" s="289">
        <v>354.94</v>
      </c>
      <c r="Y162" s="199">
        <f t="shared" si="63"/>
        <v>1774.7</v>
      </c>
      <c r="Z162" s="149"/>
      <c r="AA162" s="150"/>
      <c r="AB162" s="101">
        <f t="shared" si="65"/>
        <v>0</v>
      </c>
      <c r="AC162" s="226"/>
      <c r="AD162" s="1037"/>
      <c r="AE162" s="1203"/>
    </row>
    <row r="163" spans="1:31" s="356" customFormat="1" ht="44.25" hidden="1" customHeight="1" outlineLevel="2" x14ac:dyDescent="0.3">
      <c r="A163" s="357"/>
      <c r="B163" s="328" t="s">
        <v>783</v>
      </c>
      <c r="C163" s="125" t="s">
        <v>5</v>
      </c>
      <c r="D163" s="255">
        <v>2</v>
      </c>
      <c r="E163" s="1134"/>
      <c r="F163" s="1027"/>
      <c r="G163" s="1152"/>
      <c r="H163" s="1093"/>
      <c r="I163" s="1096"/>
      <c r="J163" s="1093"/>
      <c r="K163" s="1099"/>
      <c r="L163" s="1093"/>
      <c r="M163" s="1096"/>
      <c r="N163" s="1093"/>
      <c r="O163" s="1099"/>
      <c r="P163" s="1149"/>
      <c r="Q163" s="1032"/>
      <c r="R163" s="1027"/>
      <c r="S163" s="1009"/>
      <c r="T163" s="230"/>
      <c r="U163" s="290"/>
      <c r="V163" s="200"/>
      <c r="W163" s="232">
        <f t="shared" si="62"/>
        <v>2</v>
      </c>
      <c r="X163" s="289">
        <v>416.8</v>
      </c>
      <c r="Y163" s="199">
        <f t="shared" si="63"/>
        <v>833.6</v>
      </c>
      <c r="Z163" s="149"/>
      <c r="AA163" s="150"/>
      <c r="AB163" s="101">
        <f t="shared" ref="AB163" si="66">ROUND(Z163*AA163,0)</f>
        <v>0</v>
      </c>
      <c r="AC163" s="226"/>
      <c r="AD163" s="1038"/>
      <c r="AE163" s="1065"/>
    </row>
    <row r="164" spans="1:31" ht="78.75" hidden="1" customHeight="1" outlineLevel="2" x14ac:dyDescent="0.3">
      <c r="A164" s="140"/>
      <c r="B164" s="328" t="s">
        <v>816</v>
      </c>
      <c r="C164" s="78" t="s">
        <v>5</v>
      </c>
      <c r="D164" s="257">
        <v>4</v>
      </c>
      <c r="E164" s="82" t="s">
        <v>817</v>
      </c>
      <c r="F164" s="265">
        <f>ROUND(G164/0.0826,0)</f>
        <v>2459</v>
      </c>
      <c r="G164" s="216">
        <f>110+93.13</f>
        <v>203.13</v>
      </c>
      <c r="H164" s="272"/>
      <c r="I164" s="236"/>
      <c r="J164" s="265"/>
      <c r="K164" s="193"/>
      <c r="L164" s="272"/>
      <c r="M164" s="236"/>
      <c r="N164" s="265"/>
      <c r="O164" s="193"/>
      <c r="P164" s="282">
        <v>5.49</v>
      </c>
      <c r="Q164" s="236">
        <v>8.2600000000000007E-2</v>
      </c>
      <c r="R164" s="265">
        <f>S164/Q164</f>
        <v>4919.0267070217915</v>
      </c>
      <c r="S164" s="193">
        <f>93*P164*0.7958</f>
        <v>406.31160599999998</v>
      </c>
      <c r="T164" s="230"/>
      <c r="U164" s="290"/>
      <c r="V164" s="200"/>
      <c r="W164" s="232">
        <f t="shared" si="62"/>
        <v>4</v>
      </c>
      <c r="X164" s="289">
        <v>2543</v>
      </c>
      <c r="Y164" s="199">
        <f t="shared" si="63"/>
        <v>10172</v>
      </c>
      <c r="Z164" s="149"/>
      <c r="AA164" s="150"/>
      <c r="AB164" s="101">
        <f t="shared" ref="AB164:AB177" si="67">ROUND(Z164*AA164,0)</f>
        <v>0</v>
      </c>
      <c r="AC164" s="226"/>
      <c r="AD164" s="302"/>
      <c r="AE164" s="202">
        <f t="shared" ref="AE164" si="68">S164-Y164</f>
        <v>-9765.6883940000007</v>
      </c>
    </row>
    <row r="165" spans="1:31" ht="21" hidden="1" customHeight="1" outlineLevel="2" x14ac:dyDescent="0.3">
      <c r="A165" s="42"/>
      <c r="B165" s="328" t="s">
        <v>357</v>
      </c>
      <c r="C165" s="78" t="s">
        <v>28</v>
      </c>
      <c r="D165" s="255">
        <v>1.6E-2</v>
      </c>
      <c r="E165" s="64"/>
      <c r="F165" s="265">
        <f>ROUND(G165/D165,0)</f>
        <v>9696</v>
      </c>
      <c r="G165" s="216">
        <v>155.13</v>
      </c>
      <c r="H165" s="272"/>
      <c r="I165" s="236"/>
      <c r="J165" s="265"/>
      <c r="K165" s="193"/>
      <c r="L165" s="272"/>
      <c r="M165" s="236"/>
      <c r="N165" s="265"/>
      <c r="O165" s="193"/>
      <c r="P165" s="282">
        <v>5.49</v>
      </c>
      <c r="Q165" s="236">
        <f>D165-I165-M165</f>
        <v>1.6E-2</v>
      </c>
      <c r="R165" s="265">
        <f>ROUND(F165*P165*0.7958,0)</f>
        <v>42361</v>
      </c>
      <c r="S165" s="193">
        <f t="shared" ref="S165:S177" si="69">ROUND(Q165*P165*F165*0.7958,0)</f>
        <v>678</v>
      </c>
      <c r="T165" s="232"/>
      <c r="U165" s="290"/>
      <c r="V165" s="200"/>
      <c r="W165" s="232">
        <f t="shared" si="62"/>
        <v>1.6E-2</v>
      </c>
      <c r="X165" s="289">
        <v>135525</v>
      </c>
      <c r="Y165" s="199">
        <f t="shared" si="63"/>
        <v>2168.4</v>
      </c>
      <c r="Z165" s="149"/>
      <c r="AA165" s="150"/>
      <c r="AB165" s="101">
        <f t="shared" si="67"/>
        <v>0</v>
      </c>
      <c r="AC165" s="226"/>
      <c r="AD165" s="302">
        <f t="shared" si="64"/>
        <v>-93164</v>
      </c>
      <c r="AE165" s="202">
        <f t="shared" ref="AE165:AE204" si="70">S165-Y165</f>
        <v>-1490.4</v>
      </c>
    </row>
    <row r="166" spans="1:31" ht="66" hidden="1" customHeight="1" outlineLevel="2" x14ac:dyDescent="0.3">
      <c r="A166" s="140"/>
      <c r="B166" s="328" t="s">
        <v>818</v>
      </c>
      <c r="C166" s="78" t="s">
        <v>17</v>
      </c>
      <c r="D166" s="255">
        <v>2.8490000000000002</v>
      </c>
      <c r="E166" s="82" t="s">
        <v>819</v>
      </c>
      <c r="F166" s="265">
        <f>ROUND(G166/D166,0)</f>
        <v>542</v>
      </c>
      <c r="G166" s="216">
        <v>1543.05</v>
      </c>
      <c r="H166" s="272"/>
      <c r="I166" s="236"/>
      <c r="J166" s="265"/>
      <c r="K166" s="193"/>
      <c r="L166" s="272"/>
      <c r="M166" s="236"/>
      <c r="N166" s="265"/>
      <c r="O166" s="193"/>
      <c r="P166" s="282">
        <v>5.49</v>
      </c>
      <c r="Q166" s="236">
        <f>D166-I166-M166</f>
        <v>2.8490000000000002</v>
      </c>
      <c r="R166" s="265">
        <f>ROUND(F166*P166*0.7958,0)</f>
        <v>2368</v>
      </c>
      <c r="S166" s="193">
        <f t="shared" si="69"/>
        <v>6746</v>
      </c>
      <c r="T166" s="232"/>
      <c r="U166" s="290"/>
      <c r="V166" s="200"/>
      <c r="W166" s="232">
        <f t="shared" si="62"/>
        <v>2.8490000000000002</v>
      </c>
      <c r="X166" s="289">
        <v>613</v>
      </c>
      <c r="Y166" s="199">
        <f t="shared" si="63"/>
        <v>1746.4370000000001</v>
      </c>
      <c r="Z166" s="149"/>
      <c r="AA166" s="150"/>
      <c r="AB166" s="101">
        <f t="shared" si="67"/>
        <v>0</v>
      </c>
      <c r="AC166" s="226"/>
      <c r="AD166" s="304">
        <f t="shared" si="64"/>
        <v>1755</v>
      </c>
      <c r="AE166" s="305">
        <f t="shared" si="70"/>
        <v>4999.5630000000001</v>
      </c>
    </row>
    <row r="167" spans="1:31" ht="34.5" hidden="1" customHeight="1" outlineLevel="2" x14ac:dyDescent="0.3">
      <c r="A167" s="140"/>
      <c r="B167" s="328" t="s">
        <v>784</v>
      </c>
      <c r="C167" s="78" t="s">
        <v>40</v>
      </c>
      <c r="D167" s="255">
        <v>2</v>
      </c>
      <c r="E167" s="1108"/>
      <c r="F167" s="1026">
        <f>ROUND(G167/6,0)</f>
        <v>148</v>
      </c>
      <c r="G167" s="1151">
        <v>886.32</v>
      </c>
      <c r="H167" s="1078"/>
      <c r="I167" s="1030"/>
      <c r="J167" s="1078"/>
      <c r="K167" s="1008"/>
      <c r="L167" s="1078"/>
      <c r="M167" s="1030"/>
      <c r="N167" s="1078"/>
      <c r="O167" s="1008"/>
      <c r="P167" s="1078">
        <v>5.49</v>
      </c>
      <c r="Q167" s="1030">
        <v>6</v>
      </c>
      <c r="R167" s="1026">
        <f>ROUND(F167*P167*0.7958,0)</f>
        <v>647</v>
      </c>
      <c r="S167" s="1008">
        <f t="shared" si="69"/>
        <v>3880</v>
      </c>
      <c r="T167" s="232"/>
      <c r="U167" s="290"/>
      <c r="V167" s="200"/>
      <c r="W167" s="232">
        <f t="shared" si="62"/>
        <v>2</v>
      </c>
      <c r="X167" s="289">
        <v>560</v>
      </c>
      <c r="Y167" s="199">
        <f t="shared" si="63"/>
        <v>1120</v>
      </c>
      <c r="Z167" s="149"/>
      <c r="AA167" s="150"/>
      <c r="AB167" s="101">
        <f t="shared" si="67"/>
        <v>0</v>
      </c>
      <c r="AC167" s="226"/>
      <c r="AD167" s="1036"/>
      <c r="AE167" s="1064">
        <f>S167-Y167-Y168-Y169-Y170</f>
        <v>80</v>
      </c>
    </row>
    <row r="168" spans="1:31" ht="34.5" hidden="1" customHeight="1" outlineLevel="2" x14ac:dyDescent="0.3">
      <c r="A168" s="140"/>
      <c r="B168" s="328" t="s">
        <v>785</v>
      </c>
      <c r="C168" s="78" t="s">
        <v>40</v>
      </c>
      <c r="D168" s="255">
        <v>1</v>
      </c>
      <c r="E168" s="1187"/>
      <c r="F168" s="1100"/>
      <c r="G168" s="1186"/>
      <c r="H168" s="1079"/>
      <c r="I168" s="1031"/>
      <c r="J168" s="1079"/>
      <c r="K168" s="1077"/>
      <c r="L168" s="1079"/>
      <c r="M168" s="1031"/>
      <c r="N168" s="1079"/>
      <c r="O168" s="1077"/>
      <c r="P168" s="1079">
        <v>6.31</v>
      </c>
      <c r="Q168" s="1031">
        <f t="shared" ref="Q168:Q174" si="71">D168-I168-M168</f>
        <v>1</v>
      </c>
      <c r="R168" s="1100"/>
      <c r="S168" s="1077">
        <f t="shared" si="69"/>
        <v>0</v>
      </c>
      <c r="T168" s="232"/>
      <c r="U168" s="290"/>
      <c r="V168" s="200"/>
      <c r="W168" s="232">
        <f t="shared" si="62"/>
        <v>1</v>
      </c>
      <c r="X168" s="289">
        <v>560</v>
      </c>
      <c r="Y168" s="199">
        <f t="shared" si="63"/>
        <v>560</v>
      </c>
      <c r="Z168" s="149"/>
      <c r="AA168" s="150"/>
      <c r="AB168" s="101">
        <f t="shared" si="67"/>
        <v>0</v>
      </c>
      <c r="AC168" s="226"/>
      <c r="AD168" s="1037"/>
      <c r="AE168" s="1203"/>
    </row>
    <row r="169" spans="1:31" ht="34.5" hidden="1" customHeight="1" outlineLevel="2" x14ac:dyDescent="0.3">
      <c r="A169" s="140"/>
      <c r="B169" s="328" t="s">
        <v>786</v>
      </c>
      <c r="C169" s="78" t="s">
        <v>40</v>
      </c>
      <c r="D169" s="255">
        <v>2</v>
      </c>
      <c r="E169" s="1187"/>
      <c r="F169" s="1100"/>
      <c r="G169" s="1186"/>
      <c r="H169" s="1079"/>
      <c r="I169" s="1031"/>
      <c r="J169" s="1079"/>
      <c r="K169" s="1077"/>
      <c r="L169" s="1079"/>
      <c r="M169" s="1031"/>
      <c r="N169" s="1079"/>
      <c r="O169" s="1077"/>
      <c r="P169" s="1079">
        <v>6.31</v>
      </c>
      <c r="Q169" s="1031">
        <f t="shared" si="71"/>
        <v>2</v>
      </c>
      <c r="R169" s="1100"/>
      <c r="S169" s="1077">
        <f t="shared" si="69"/>
        <v>0</v>
      </c>
      <c r="T169" s="232"/>
      <c r="U169" s="290"/>
      <c r="V169" s="200"/>
      <c r="W169" s="232">
        <f t="shared" si="62"/>
        <v>2</v>
      </c>
      <c r="X169" s="289">
        <v>560</v>
      </c>
      <c r="Y169" s="199">
        <f t="shared" si="63"/>
        <v>1120</v>
      </c>
      <c r="Z169" s="149"/>
      <c r="AA169" s="150"/>
      <c r="AB169" s="101">
        <f t="shared" si="67"/>
        <v>0</v>
      </c>
      <c r="AC169" s="226"/>
      <c r="AD169" s="1037"/>
      <c r="AE169" s="1203"/>
    </row>
    <row r="170" spans="1:31" ht="34.5" hidden="1" customHeight="1" outlineLevel="2" x14ac:dyDescent="0.3">
      <c r="A170" s="140"/>
      <c r="B170" s="328" t="s">
        <v>787</v>
      </c>
      <c r="C170" s="78" t="s">
        <v>40</v>
      </c>
      <c r="D170" s="255">
        <v>1</v>
      </c>
      <c r="E170" s="1150"/>
      <c r="F170" s="1027"/>
      <c r="G170" s="1152"/>
      <c r="H170" s="1080"/>
      <c r="I170" s="1032"/>
      <c r="J170" s="1080"/>
      <c r="K170" s="1009"/>
      <c r="L170" s="1080"/>
      <c r="M170" s="1032"/>
      <c r="N170" s="1080"/>
      <c r="O170" s="1009"/>
      <c r="P170" s="1080">
        <v>6.31</v>
      </c>
      <c r="Q170" s="1032">
        <f t="shared" si="71"/>
        <v>1</v>
      </c>
      <c r="R170" s="1027"/>
      <c r="S170" s="1009">
        <f t="shared" si="69"/>
        <v>0</v>
      </c>
      <c r="T170" s="232"/>
      <c r="U170" s="290"/>
      <c r="V170" s="200"/>
      <c r="W170" s="232">
        <f t="shared" si="62"/>
        <v>1</v>
      </c>
      <c r="X170" s="289">
        <v>1000</v>
      </c>
      <c r="Y170" s="199">
        <f t="shared" si="63"/>
        <v>1000</v>
      </c>
      <c r="Z170" s="149"/>
      <c r="AA170" s="150"/>
      <c r="AB170" s="101">
        <f t="shared" si="67"/>
        <v>0</v>
      </c>
      <c r="AC170" s="226"/>
      <c r="AD170" s="1038"/>
      <c r="AE170" s="1065"/>
    </row>
    <row r="171" spans="1:31" ht="34.5" hidden="1" customHeight="1" outlineLevel="2" x14ac:dyDescent="0.3">
      <c r="A171" s="140"/>
      <c r="B171" s="328" t="s">
        <v>811</v>
      </c>
      <c r="C171" s="78" t="s">
        <v>40</v>
      </c>
      <c r="D171" s="255">
        <v>1</v>
      </c>
      <c r="E171" s="64"/>
      <c r="F171" s="265">
        <f>ROUND(G171/D171,0)</f>
        <v>106</v>
      </c>
      <c r="G171" s="216">
        <v>105.73</v>
      </c>
      <c r="H171" s="272"/>
      <c r="I171" s="236"/>
      <c r="J171" s="265"/>
      <c r="K171" s="193"/>
      <c r="L171" s="272"/>
      <c r="M171" s="236"/>
      <c r="N171" s="265"/>
      <c r="O171" s="193"/>
      <c r="P171" s="282">
        <v>5.49</v>
      </c>
      <c r="Q171" s="236">
        <f t="shared" si="71"/>
        <v>1</v>
      </c>
      <c r="R171" s="265">
        <f t="shared" ref="R171:R177" si="72">ROUND(F171*P171*0.7958,0)</f>
        <v>463</v>
      </c>
      <c r="S171" s="193">
        <f t="shared" si="69"/>
        <v>463</v>
      </c>
      <c r="T171" s="232"/>
      <c r="U171" s="290"/>
      <c r="V171" s="200"/>
      <c r="W171" s="232">
        <f t="shared" si="62"/>
        <v>1</v>
      </c>
      <c r="X171" s="289">
        <v>106.4</v>
      </c>
      <c r="Y171" s="199">
        <f t="shared" si="63"/>
        <v>106.4</v>
      </c>
      <c r="Z171" s="149"/>
      <c r="AA171" s="150"/>
      <c r="AB171" s="101">
        <f t="shared" si="67"/>
        <v>0</v>
      </c>
      <c r="AC171" s="226"/>
      <c r="AD171" s="304">
        <f t="shared" si="64"/>
        <v>356.6</v>
      </c>
      <c r="AE171" s="305">
        <f t="shared" si="70"/>
        <v>356.6</v>
      </c>
    </row>
    <row r="172" spans="1:31" ht="34.5" hidden="1" customHeight="1" outlineLevel="2" x14ac:dyDescent="0.3">
      <c r="A172" s="140"/>
      <c r="B172" s="328" t="s">
        <v>809</v>
      </c>
      <c r="C172" s="78" t="s">
        <v>40</v>
      </c>
      <c r="D172" s="255">
        <v>3</v>
      </c>
      <c r="E172" s="64"/>
      <c r="F172" s="265">
        <f>ROUND(G172/D172,0)</f>
        <v>95</v>
      </c>
      <c r="G172" s="216">
        <v>285.06</v>
      </c>
      <c r="H172" s="272"/>
      <c r="I172" s="236"/>
      <c r="J172" s="265"/>
      <c r="K172" s="193"/>
      <c r="L172" s="272"/>
      <c r="M172" s="236"/>
      <c r="N172" s="265"/>
      <c r="O172" s="193"/>
      <c r="P172" s="282">
        <v>5.49</v>
      </c>
      <c r="Q172" s="236">
        <f t="shared" si="71"/>
        <v>3</v>
      </c>
      <c r="R172" s="265">
        <f t="shared" si="72"/>
        <v>415</v>
      </c>
      <c r="S172" s="193">
        <f t="shared" si="69"/>
        <v>1245</v>
      </c>
      <c r="T172" s="232"/>
      <c r="U172" s="290"/>
      <c r="V172" s="200"/>
      <c r="W172" s="232">
        <f t="shared" si="62"/>
        <v>3</v>
      </c>
      <c r="X172" s="289">
        <v>81.599999999999994</v>
      </c>
      <c r="Y172" s="199">
        <f t="shared" si="63"/>
        <v>244.79999999999998</v>
      </c>
      <c r="Z172" s="149"/>
      <c r="AA172" s="150"/>
      <c r="AB172" s="101">
        <f t="shared" si="67"/>
        <v>0</v>
      </c>
      <c r="AC172" s="226"/>
      <c r="AD172" s="304">
        <f t="shared" si="64"/>
        <v>333.4</v>
      </c>
      <c r="AE172" s="305">
        <f t="shared" si="70"/>
        <v>1000.2</v>
      </c>
    </row>
    <row r="173" spans="1:31" ht="34.5" hidden="1" customHeight="1" outlineLevel="2" x14ac:dyDescent="0.3">
      <c r="A173" s="140"/>
      <c r="B173" s="328" t="s">
        <v>810</v>
      </c>
      <c r="C173" s="78" t="s">
        <v>40</v>
      </c>
      <c r="D173" s="255">
        <v>3</v>
      </c>
      <c r="E173" s="64"/>
      <c r="F173" s="265">
        <f>ROUND(G173/D173,0)</f>
        <v>148</v>
      </c>
      <c r="G173" s="216">
        <v>443.67</v>
      </c>
      <c r="H173" s="272"/>
      <c r="I173" s="236"/>
      <c r="J173" s="265"/>
      <c r="K173" s="193"/>
      <c r="L173" s="272"/>
      <c r="M173" s="236"/>
      <c r="N173" s="265"/>
      <c r="O173" s="193"/>
      <c r="P173" s="282">
        <v>5.49</v>
      </c>
      <c r="Q173" s="236">
        <f t="shared" si="71"/>
        <v>3</v>
      </c>
      <c r="R173" s="265">
        <f t="shared" si="72"/>
        <v>647</v>
      </c>
      <c r="S173" s="193">
        <f t="shared" si="69"/>
        <v>1940</v>
      </c>
      <c r="T173" s="232"/>
      <c r="U173" s="290"/>
      <c r="V173" s="200"/>
      <c r="W173" s="232">
        <f t="shared" si="62"/>
        <v>3</v>
      </c>
      <c r="X173" s="289">
        <v>139.19999999999999</v>
      </c>
      <c r="Y173" s="199">
        <f t="shared" si="63"/>
        <v>417.59999999999997</v>
      </c>
      <c r="Z173" s="149"/>
      <c r="AA173" s="150"/>
      <c r="AB173" s="101">
        <f t="shared" si="67"/>
        <v>0</v>
      </c>
      <c r="AC173" s="226"/>
      <c r="AD173" s="304">
        <f t="shared" si="64"/>
        <v>507.8</v>
      </c>
      <c r="AE173" s="305">
        <f t="shared" si="70"/>
        <v>1522.4</v>
      </c>
    </row>
    <row r="174" spans="1:31" ht="34.5" hidden="1" customHeight="1" outlineLevel="2" x14ac:dyDescent="0.3">
      <c r="A174" s="140"/>
      <c r="B174" s="328" t="s">
        <v>812</v>
      </c>
      <c r="C174" s="78" t="s">
        <v>40</v>
      </c>
      <c r="D174" s="255">
        <v>1</v>
      </c>
      <c r="E174" s="64"/>
      <c r="F174" s="265">
        <f>ROUND(G174/D174,0)</f>
        <v>258</v>
      </c>
      <c r="G174" s="216">
        <v>258.02999999999997</v>
      </c>
      <c r="H174" s="272"/>
      <c r="I174" s="236"/>
      <c r="J174" s="265"/>
      <c r="K174" s="193"/>
      <c r="L174" s="272"/>
      <c r="M174" s="236"/>
      <c r="N174" s="265"/>
      <c r="O174" s="193"/>
      <c r="P174" s="282">
        <v>5.49</v>
      </c>
      <c r="Q174" s="236">
        <f t="shared" si="71"/>
        <v>1</v>
      </c>
      <c r="R174" s="265">
        <f t="shared" si="72"/>
        <v>1127</v>
      </c>
      <c r="S174" s="193">
        <f t="shared" si="69"/>
        <v>1127</v>
      </c>
      <c r="T174" s="232"/>
      <c r="U174" s="290"/>
      <c r="V174" s="200"/>
      <c r="W174" s="232">
        <f t="shared" si="62"/>
        <v>1</v>
      </c>
      <c r="X174" s="289">
        <v>356</v>
      </c>
      <c r="Y174" s="199">
        <f t="shared" si="63"/>
        <v>356</v>
      </c>
      <c r="Z174" s="149"/>
      <c r="AA174" s="150"/>
      <c r="AB174" s="101">
        <f t="shared" si="67"/>
        <v>0</v>
      </c>
      <c r="AC174" s="226"/>
      <c r="AD174" s="304">
        <f t="shared" si="64"/>
        <v>771</v>
      </c>
      <c r="AE174" s="305">
        <f t="shared" si="70"/>
        <v>771</v>
      </c>
    </row>
    <row r="175" spans="1:31" ht="36.75" hidden="1" customHeight="1" outlineLevel="2" x14ac:dyDescent="0.3">
      <c r="A175" s="140"/>
      <c r="B175" s="328" t="s">
        <v>788</v>
      </c>
      <c r="C175" s="78" t="s">
        <v>40</v>
      </c>
      <c r="D175" s="255">
        <v>4</v>
      </c>
      <c r="E175" s="82" t="s">
        <v>789</v>
      </c>
      <c r="F175" s="265">
        <f>ROUND(G175/0.24,0)</f>
        <v>102</v>
      </c>
      <c r="G175" s="216">
        <v>24.5</v>
      </c>
      <c r="H175" s="272"/>
      <c r="I175" s="236"/>
      <c r="J175" s="265"/>
      <c r="K175" s="193"/>
      <c r="L175" s="272"/>
      <c r="M175" s="236"/>
      <c r="N175" s="265"/>
      <c r="O175" s="193"/>
      <c r="P175" s="282">
        <v>5.49</v>
      </c>
      <c r="Q175" s="236">
        <v>0.24</v>
      </c>
      <c r="R175" s="265">
        <f t="shared" si="72"/>
        <v>446</v>
      </c>
      <c r="S175" s="193">
        <f t="shared" si="69"/>
        <v>107</v>
      </c>
      <c r="T175" s="232"/>
      <c r="U175" s="290"/>
      <c r="V175" s="200"/>
      <c r="W175" s="232">
        <f t="shared" si="62"/>
        <v>4</v>
      </c>
      <c r="X175" s="289">
        <v>470.4</v>
      </c>
      <c r="Y175" s="199">
        <f t="shared" si="63"/>
        <v>1881.6</v>
      </c>
      <c r="Z175" s="149"/>
      <c r="AA175" s="150"/>
      <c r="AB175" s="101">
        <f t="shared" si="67"/>
        <v>0</v>
      </c>
      <c r="AC175" s="226"/>
      <c r="AD175" s="302"/>
      <c r="AE175" s="202">
        <f t="shared" si="70"/>
        <v>-1774.6</v>
      </c>
    </row>
    <row r="176" spans="1:31" ht="47.25" hidden="1" customHeight="1" outlineLevel="2" x14ac:dyDescent="0.3">
      <c r="A176" s="140"/>
      <c r="B176" s="328" t="s">
        <v>790</v>
      </c>
      <c r="C176" s="78" t="s">
        <v>40</v>
      </c>
      <c r="D176" s="255">
        <v>3</v>
      </c>
      <c r="E176" s="82" t="s">
        <v>791</v>
      </c>
      <c r="F176" s="265">
        <f>ROUND(G176/0.06,0)</f>
        <v>1694</v>
      </c>
      <c r="G176" s="216">
        <v>101.61</v>
      </c>
      <c r="H176" s="272"/>
      <c r="I176" s="236"/>
      <c r="J176" s="265"/>
      <c r="K176" s="193"/>
      <c r="L176" s="272"/>
      <c r="M176" s="236"/>
      <c r="N176" s="265"/>
      <c r="O176" s="193"/>
      <c r="P176" s="282">
        <v>5.49</v>
      </c>
      <c r="Q176" s="236">
        <v>0.06</v>
      </c>
      <c r="R176" s="265">
        <f t="shared" si="72"/>
        <v>7401</v>
      </c>
      <c r="S176" s="193">
        <f t="shared" si="69"/>
        <v>444</v>
      </c>
      <c r="T176" s="232"/>
      <c r="U176" s="290"/>
      <c r="V176" s="200"/>
      <c r="W176" s="232">
        <f t="shared" si="62"/>
        <v>3</v>
      </c>
      <c r="X176" s="289">
        <v>737</v>
      </c>
      <c r="Y176" s="199">
        <f t="shared" si="63"/>
        <v>2211</v>
      </c>
      <c r="Z176" s="149"/>
      <c r="AA176" s="150"/>
      <c r="AB176" s="101">
        <f t="shared" si="67"/>
        <v>0</v>
      </c>
      <c r="AC176" s="226"/>
      <c r="AD176" s="302"/>
      <c r="AE176" s="202">
        <f t="shared" si="70"/>
        <v>-1767</v>
      </c>
    </row>
    <row r="177" spans="1:31" ht="21.75" hidden="1" customHeight="1" outlineLevel="2" x14ac:dyDescent="0.3">
      <c r="A177" s="140"/>
      <c r="B177" s="328" t="s">
        <v>363</v>
      </c>
      <c r="C177" s="78" t="s">
        <v>20</v>
      </c>
      <c r="D177" s="255">
        <v>1</v>
      </c>
      <c r="E177" s="64"/>
      <c r="F177" s="265">
        <f>ROUND(G177/D177,0)</f>
        <v>32</v>
      </c>
      <c r="G177" s="216">
        <v>32</v>
      </c>
      <c r="H177" s="272"/>
      <c r="I177" s="236"/>
      <c r="J177" s="265"/>
      <c r="K177" s="193"/>
      <c r="L177" s="272"/>
      <c r="M177" s="236"/>
      <c r="N177" s="265"/>
      <c r="O177" s="193"/>
      <c r="P177" s="282">
        <v>5.49</v>
      </c>
      <c r="Q177" s="236">
        <f>D177-I177-M177</f>
        <v>1</v>
      </c>
      <c r="R177" s="265">
        <f t="shared" si="72"/>
        <v>140</v>
      </c>
      <c r="S177" s="193">
        <f t="shared" si="69"/>
        <v>140</v>
      </c>
      <c r="T177" s="232"/>
      <c r="U177" s="290"/>
      <c r="V177" s="200"/>
      <c r="W177" s="232">
        <f t="shared" si="62"/>
        <v>1</v>
      </c>
      <c r="X177" s="289">
        <v>908</v>
      </c>
      <c r="Y177" s="199">
        <f t="shared" si="63"/>
        <v>908</v>
      </c>
      <c r="Z177" s="149"/>
      <c r="AA177" s="150"/>
      <c r="AB177" s="101">
        <f t="shared" si="67"/>
        <v>0</v>
      </c>
      <c r="AC177" s="226"/>
      <c r="AD177" s="302">
        <f t="shared" si="64"/>
        <v>-768</v>
      </c>
      <c r="AE177" s="202">
        <f t="shared" si="70"/>
        <v>-768</v>
      </c>
    </row>
    <row r="178" spans="1:31" ht="33" hidden="1" customHeight="1" outlineLevel="2" x14ac:dyDescent="0.3">
      <c r="A178" s="140"/>
      <c r="B178" s="328" t="s">
        <v>800</v>
      </c>
      <c r="C178" s="78" t="s">
        <v>40</v>
      </c>
      <c r="D178" s="255">
        <v>1</v>
      </c>
      <c r="E178" s="64"/>
      <c r="F178" s="265">
        <f t="shared" si="50"/>
        <v>378</v>
      </c>
      <c r="G178" s="216">
        <v>378.39</v>
      </c>
      <c r="H178" s="272"/>
      <c r="I178" s="236"/>
      <c r="J178" s="265"/>
      <c r="K178" s="193"/>
      <c r="L178" s="272"/>
      <c r="M178" s="236"/>
      <c r="N178" s="265"/>
      <c r="O178" s="193"/>
      <c r="P178" s="282">
        <v>5.49</v>
      </c>
      <c r="Q178" s="236">
        <f t="shared" si="51"/>
        <v>1</v>
      </c>
      <c r="R178" s="265">
        <f t="shared" si="52"/>
        <v>1651</v>
      </c>
      <c r="S178" s="193">
        <f t="shared" si="53"/>
        <v>1651</v>
      </c>
      <c r="T178" s="230"/>
      <c r="U178" s="290"/>
      <c r="V178" s="200"/>
      <c r="W178" s="232">
        <f t="shared" si="62"/>
        <v>1</v>
      </c>
      <c r="X178" s="289">
        <v>1400</v>
      </c>
      <c r="Y178" s="199">
        <f t="shared" si="63"/>
        <v>1400</v>
      </c>
      <c r="Z178" s="149"/>
      <c r="AA178" s="150"/>
      <c r="AB178" s="101">
        <f t="shared" si="54"/>
        <v>0</v>
      </c>
      <c r="AC178" s="226"/>
      <c r="AD178" s="304">
        <f t="shared" si="64"/>
        <v>251</v>
      </c>
      <c r="AE178" s="305">
        <f t="shared" si="70"/>
        <v>251</v>
      </c>
    </row>
    <row r="179" spans="1:31" ht="32.25" hidden="1" customHeight="1" outlineLevel="2" x14ac:dyDescent="0.3">
      <c r="A179" s="140"/>
      <c r="B179" s="328" t="s">
        <v>815</v>
      </c>
      <c r="C179" s="78" t="s">
        <v>28</v>
      </c>
      <c r="D179" s="255">
        <v>1E-3</v>
      </c>
      <c r="E179" s="64"/>
      <c r="F179" s="265">
        <f t="shared" si="50"/>
        <v>18440</v>
      </c>
      <c r="G179" s="216">
        <v>18.440000000000001</v>
      </c>
      <c r="H179" s="272"/>
      <c r="I179" s="236"/>
      <c r="J179" s="265"/>
      <c r="K179" s="193"/>
      <c r="L179" s="272"/>
      <c r="M179" s="236"/>
      <c r="N179" s="265"/>
      <c r="O179" s="193"/>
      <c r="P179" s="282">
        <v>5.49</v>
      </c>
      <c r="Q179" s="236">
        <f t="shared" si="51"/>
        <v>1E-3</v>
      </c>
      <c r="R179" s="265">
        <f t="shared" si="52"/>
        <v>80563</v>
      </c>
      <c r="S179" s="193">
        <f t="shared" si="53"/>
        <v>81</v>
      </c>
      <c r="T179" s="232"/>
      <c r="U179" s="290"/>
      <c r="V179" s="200"/>
      <c r="W179" s="232">
        <f t="shared" si="62"/>
        <v>1E-3</v>
      </c>
      <c r="X179" s="289">
        <v>350</v>
      </c>
      <c r="Y179" s="199">
        <v>350</v>
      </c>
      <c r="Z179" s="149"/>
      <c r="AA179" s="150"/>
      <c r="AB179" s="101">
        <f t="shared" si="54"/>
        <v>0</v>
      </c>
      <c r="AC179" s="226"/>
      <c r="AD179" s="304">
        <f t="shared" si="64"/>
        <v>80213</v>
      </c>
      <c r="AE179" s="305">
        <f t="shared" si="70"/>
        <v>-269</v>
      </c>
    </row>
    <row r="180" spans="1:31" ht="51" hidden="1" customHeight="1" outlineLevel="2" x14ac:dyDescent="0.3">
      <c r="A180" s="140"/>
      <c r="B180" s="328" t="s">
        <v>793</v>
      </c>
      <c r="C180" s="78" t="s">
        <v>364</v>
      </c>
      <c r="D180" s="255">
        <v>2</v>
      </c>
      <c r="E180" s="64"/>
      <c r="F180" s="265">
        <f>ROUND(G180/D180,0)</f>
        <v>9363</v>
      </c>
      <c r="G180" s="216">
        <v>18725.22</v>
      </c>
      <c r="H180" s="272"/>
      <c r="I180" s="236"/>
      <c r="J180" s="265"/>
      <c r="K180" s="193"/>
      <c r="L180" s="272"/>
      <c r="M180" s="236"/>
      <c r="N180" s="265"/>
      <c r="O180" s="193"/>
      <c r="P180" s="282">
        <v>5.43</v>
      </c>
      <c r="Q180" s="236">
        <f>D180-I180-M180</f>
        <v>2</v>
      </c>
      <c r="R180" s="265">
        <f>ROUND(F180*P180*0.7958,0)</f>
        <v>40459</v>
      </c>
      <c r="S180" s="193">
        <f>ROUND(Q180*P180*F180*0.7958,0)</f>
        <v>80919</v>
      </c>
      <c r="T180" s="232"/>
      <c r="U180" s="290"/>
      <c r="V180" s="200"/>
      <c r="W180" s="232">
        <f t="shared" si="62"/>
        <v>2</v>
      </c>
      <c r="X180" s="289">
        <v>70990</v>
      </c>
      <c r="Y180" s="199">
        <f t="shared" si="63"/>
        <v>141980</v>
      </c>
      <c r="Z180" s="149"/>
      <c r="AA180" s="150"/>
      <c r="AB180" s="101">
        <f>ROUND(Z180*AA180,0)</f>
        <v>0</v>
      </c>
      <c r="AC180" s="226"/>
      <c r="AD180" s="302">
        <f t="shared" si="64"/>
        <v>-30531</v>
      </c>
      <c r="AE180" s="202">
        <f t="shared" si="70"/>
        <v>-61061</v>
      </c>
    </row>
    <row r="181" spans="1:31" ht="45" hidden="1" customHeight="1" outlineLevel="2" x14ac:dyDescent="0.3">
      <c r="A181" s="140"/>
      <c r="B181" s="328" t="s">
        <v>792</v>
      </c>
      <c r="C181" s="78" t="s">
        <v>40</v>
      </c>
      <c r="D181" s="255">
        <v>3</v>
      </c>
      <c r="E181" s="64"/>
      <c r="F181" s="265">
        <f t="shared" si="50"/>
        <v>26529</v>
      </c>
      <c r="G181" s="216">
        <v>79586.100000000006</v>
      </c>
      <c r="H181" s="272"/>
      <c r="I181" s="236"/>
      <c r="J181" s="265"/>
      <c r="K181" s="193"/>
      <c r="L181" s="272"/>
      <c r="M181" s="236"/>
      <c r="N181" s="265"/>
      <c r="O181" s="193"/>
      <c r="P181" s="282">
        <v>5.43</v>
      </c>
      <c r="Q181" s="236">
        <f t="shared" si="51"/>
        <v>3</v>
      </c>
      <c r="R181" s="265">
        <f t="shared" si="52"/>
        <v>114637</v>
      </c>
      <c r="S181" s="193">
        <f t="shared" si="53"/>
        <v>343911</v>
      </c>
      <c r="T181" s="230"/>
      <c r="U181" s="293"/>
      <c r="V181" s="207"/>
      <c r="W181" s="232">
        <f t="shared" si="62"/>
        <v>3</v>
      </c>
      <c r="X181" s="289">
        <v>170354</v>
      </c>
      <c r="Y181" s="199">
        <f t="shared" si="63"/>
        <v>511062</v>
      </c>
      <c r="Z181" s="151"/>
      <c r="AA181" s="152"/>
      <c r="AB181" s="101">
        <f t="shared" si="54"/>
        <v>0</v>
      </c>
      <c r="AC181" s="226"/>
      <c r="AD181" s="302">
        <f t="shared" si="64"/>
        <v>-55717</v>
      </c>
      <c r="AE181" s="202">
        <f t="shared" si="70"/>
        <v>-167151</v>
      </c>
    </row>
    <row r="182" spans="1:31" ht="19.5" hidden="1" customHeight="1" outlineLevel="2" x14ac:dyDescent="0.3">
      <c r="A182" s="140"/>
      <c r="B182" s="328" t="s">
        <v>358</v>
      </c>
      <c r="C182" s="78" t="s">
        <v>40</v>
      </c>
      <c r="D182" s="255">
        <v>3</v>
      </c>
      <c r="E182" s="64"/>
      <c r="F182" s="265">
        <f>ROUND(G182/D182,0)</f>
        <v>4023</v>
      </c>
      <c r="G182" s="216">
        <v>12069.96</v>
      </c>
      <c r="H182" s="272"/>
      <c r="I182" s="236"/>
      <c r="J182" s="265"/>
      <c r="K182" s="193"/>
      <c r="L182" s="272"/>
      <c r="M182" s="236"/>
      <c r="N182" s="265"/>
      <c r="O182" s="193"/>
      <c r="P182" s="282">
        <v>5.49</v>
      </c>
      <c r="Q182" s="236">
        <f>D182-I182-M182</f>
        <v>3</v>
      </c>
      <c r="R182" s="265">
        <f>ROUND(F182*P182*0.7958,0)</f>
        <v>17576</v>
      </c>
      <c r="S182" s="193">
        <f>ROUND(Q182*P182*F182*0.7958,0)</f>
        <v>52729</v>
      </c>
      <c r="T182" s="232"/>
      <c r="U182" s="290"/>
      <c r="V182" s="200"/>
      <c r="W182" s="232">
        <f t="shared" si="62"/>
        <v>3</v>
      </c>
      <c r="X182" s="289">
        <v>5690</v>
      </c>
      <c r="Y182" s="199">
        <f t="shared" si="63"/>
        <v>17070</v>
      </c>
      <c r="Z182" s="149"/>
      <c r="AA182" s="150"/>
      <c r="AB182" s="101">
        <f>ROUND(Z182*AA182,0)</f>
        <v>0</v>
      </c>
      <c r="AC182" s="226"/>
      <c r="AD182" s="304">
        <f t="shared" si="64"/>
        <v>11886</v>
      </c>
      <c r="AE182" s="305">
        <f t="shared" si="70"/>
        <v>35659</v>
      </c>
    </row>
    <row r="183" spans="1:31" ht="20.25" hidden="1" customHeight="1" outlineLevel="2" x14ac:dyDescent="0.3">
      <c r="A183" s="42"/>
      <c r="B183" s="328" t="s">
        <v>362</v>
      </c>
      <c r="C183" s="78" t="s">
        <v>40</v>
      </c>
      <c r="D183" s="255">
        <v>3</v>
      </c>
      <c r="E183" s="64"/>
      <c r="F183" s="265">
        <f>ROUND(G183/D183,0)</f>
        <v>20</v>
      </c>
      <c r="G183" s="216">
        <v>59.52</v>
      </c>
      <c r="H183" s="272"/>
      <c r="I183" s="236"/>
      <c r="J183" s="265"/>
      <c r="K183" s="193"/>
      <c r="L183" s="272"/>
      <c r="M183" s="236"/>
      <c r="N183" s="265"/>
      <c r="O183" s="193"/>
      <c r="P183" s="282">
        <v>5.49</v>
      </c>
      <c r="Q183" s="236">
        <f>D183-I183-M183</f>
        <v>3</v>
      </c>
      <c r="R183" s="265">
        <f>ROUND(F183*P183*0.7958,0)</f>
        <v>87</v>
      </c>
      <c r="S183" s="193">
        <f>ROUND(Q183*P183*F183*0.7958,0)</f>
        <v>262</v>
      </c>
      <c r="T183" s="232"/>
      <c r="U183" s="290"/>
      <c r="V183" s="200"/>
      <c r="W183" s="232">
        <f t="shared" si="62"/>
        <v>3</v>
      </c>
      <c r="X183" s="289">
        <v>63</v>
      </c>
      <c r="Y183" s="199">
        <f t="shared" si="63"/>
        <v>189</v>
      </c>
      <c r="Z183" s="149"/>
      <c r="AA183" s="150"/>
      <c r="AB183" s="101">
        <f>ROUND(Z183*AA183,0)</f>
        <v>0</v>
      </c>
      <c r="AC183" s="226"/>
      <c r="AD183" s="304">
        <f t="shared" si="64"/>
        <v>24</v>
      </c>
      <c r="AE183" s="305">
        <f t="shared" si="70"/>
        <v>73</v>
      </c>
    </row>
    <row r="184" spans="1:31" ht="20.25" hidden="1" customHeight="1" outlineLevel="2" x14ac:dyDescent="0.3">
      <c r="A184" s="140"/>
      <c r="B184" s="328" t="s">
        <v>359</v>
      </c>
      <c r="C184" s="78" t="s">
        <v>40</v>
      </c>
      <c r="D184" s="255">
        <v>5</v>
      </c>
      <c r="E184" s="64"/>
      <c r="F184" s="265">
        <f>ROUND(G184/D184,0)</f>
        <v>2083</v>
      </c>
      <c r="G184" s="216">
        <v>10415.950000000001</v>
      </c>
      <c r="H184" s="272"/>
      <c r="I184" s="236"/>
      <c r="J184" s="265"/>
      <c r="K184" s="193"/>
      <c r="L184" s="272"/>
      <c r="M184" s="236"/>
      <c r="N184" s="265"/>
      <c r="O184" s="193"/>
      <c r="P184" s="282">
        <v>5.49</v>
      </c>
      <c r="Q184" s="236">
        <f>D184-I184-M184</f>
        <v>5</v>
      </c>
      <c r="R184" s="265">
        <f>ROUND(F184*P184*0.7958,0)</f>
        <v>9101</v>
      </c>
      <c r="S184" s="193">
        <f>ROUND(Q184*P184*F184*0.7958,0)</f>
        <v>45503</v>
      </c>
      <c r="T184" s="232"/>
      <c r="U184" s="290"/>
      <c r="V184" s="200"/>
      <c r="W184" s="232">
        <f t="shared" si="62"/>
        <v>5</v>
      </c>
      <c r="X184" s="289">
        <v>21770</v>
      </c>
      <c r="Y184" s="199">
        <f t="shared" si="63"/>
        <v>108850</v>
      </c>
      <c r="Z184" s="149"/>
      <c r="AA184" s="150"/>
      <c r="AB184" s="101">
        <f>ROUND(Z184*AA184,0)</f>
        <v>0</v>
      </c>
      <c r="AC184" s="226"/>
      <c r="AD184" s="302">
        <f t="shared" si="64"/>
        <v>-12669</v>
      </c>
      <c r="AE184" s="202">
        <f t="shared" si="70"/>
        <v>-63347</v>
      </c>
    </row>
    <row r="185" spans="1:31" ht="55.5" hidden="1" customHeight="1" outlineLevel="2" x14ac:dyDescent="0.3">
      <c r="A185" s="140"/>
      <c r="B185" s="328" t="s">
        <v>794</v>
      </c>
      <c r="C185" s="78" t="s">
        <v>364</v>
      </c>
      <c r="D185" s="255">
        <v>2</v>
      </c>
      <c r="E185" s="64"/>
      <c r="F185" s="265">
        <f t="shared" si="50"/>
        <v>6241</v>
      </c>
      <c r="G185" s="216">
        <v>12482.44</v>
      </c>
      <c r="H185" s="272"/>
      <c r="I185" s="236"/>
      <c r="J185" s="265"/>
      <c r="K185" s="193"/>
      <c r="L185" s="272"/>
      <c r="M185" s="236"/>
      <c r="N185" s="265"/>
      <c r="O185" s="193"/>
      <c r="P185" s="282">
        <v>5.43</v>
      </c>
      <c r="Q185" s="236">
        <f t="shared" si="51"/>
        <v>2</v>
      </c>
      <c r="R185" s="265">
        <f t="shared" si="52"/>
        <v>26969</v>
      </c>
      <c r="S185" s="193">
        <f t="shared" si="53"/>
        <v>53937</v>
      </c>
      <c r="T185" s="232"/>
      <c r="U185" s="290"/>
      <c r="V185" s="200"/>
      <c r="W185" s="232">
        <f t="shared" si="62"/>
        <v>2</v>
      </c>
      <c r="X185" s="289">
        <v>41990</v>
      </c>
      <c r="Y185" s="199">
        <f t="shared" si="63"/>
        <v>83980</v>
      </c>
      <c r="Z185" s="149"/>
      <c r="AA185" s="150"/>
      <c r="AB185" s="101">
        <f t="shared" si="54"/>
        <v>0</v>
      </c>
      <c r="AC185" s="226"/>
      <c r="AD185" s="302">
        <f t="shared" si="64"/>
        <v>-15021</v>
      </c>
      <c r="AE185" s="202">
        <f t="shared" si="70"/>
        <v>-30043</v>
      </c>
    </row>
    <row r="186" spans="1:31" ht="36" hidden="1" customHeight="1" outlineLevel="2" x14ac:dyDescent="0.3">
      <c r="A186" s="140"/>
      <c r="B186" s="328" t="s">
        <v>795</v>
      </c>
      <c r="C186" s="78" t="s">
        <v>26</v>
      </c>
      <c r="D186" s="255">
        <v>4</v>
      </c>
      <c r="E186" s="64"/>
      <c r="F186" s="265">
        <f t="shared" ref="F186:F191" si="73">ROUND(G186/D186,0)</f>
        <v>2228</v>
      </c>
      <c r="G186" s="216">
        <v>8912.64</v>
      </c>
      <c r="H186" s="272"/>
      <c r="I186" s="236"/>
      <c r="J186" s="265"/>
      <c r="K186" s="193"/>
      <c r="L186" s="272"/>
      <c r="M186" s="236"/>
      <c r="N186" s="265"/>
      <c r="O186" s="193"/>
      <c r="P186" s="282">
        <v>5.49</v>
      </c>
      <c r="Q186" s="236">
        <f t="shared" ref="Q186:Q191" si="74">D186-I186-M186</f>
        <v>4</v>
      </c>
      <c r="R186" s="265">
        <f t="shared" ref="R186:R195" si="75">ROUND(F186*P186*0.7958,0)</f>
        <v>9734</v>
      </c>
      <c r="S186" s="193">
        <f t="shared" ref="S186:S195" si="76">ROUND(Q186*P186*F186*0.7958,0)</f>
        <v>38936</v>
      </c>
      <c r="T186" s="232"/>
      <c r="U186" s="290"/>
      <c r="V186" s="200"/>
      <c r="W186" s="232">
        <f t="shared" si="62"/>
        <v>4</v>
      </c>
      <c r="X186" s="289">
        <v>4335</v>
      </c>
      <c r="Y186" s="199">
        <f t="shared" si="63"/>
        <v>17340</v>
      </c>
      <c r="Z186" s="149"/>
      <c r="AA186" s="150"/>
      <c r="AB186" s="101">
        <f t="shared" ref="AB186:AB195" si="77">ROUND(Z186*AA186,0)</f>
        <v>0</v>
      </c>
      <c r="AC186" s="226"/>
      <c r="AD186" s="304">
        <f t="shared" si="64"/>
        <v>5399</v>
      </c>
      <c r="AE186" s="305">
        <f t="shared" si="70"/>
        <v>21596</v>
      </c>
    </row>
    <row r="187" spans="1:31" ht="32.25" hidden="1" customHeight="1" outlineLevel="2" x14ac:dyDescent="0.3">
      <c r="A187" s="42"/>
      <c r="B187" s="328" t="s">
        <v>367</v>
      </c>
      <c r="C187" s="78" t="s">
        <v>26</v>
      </c>
      <c r="D187" s="255">
        <v>7</v>
      </c>
      <c r="E187" s="64"/>
      <c r="F187" s="265">
        <f t="shared" si="73"/>
        <v>88</v>
      </c>
      <c r="G187" s="216">
        <v>614.74</v>
      </c>
      <c r="H187" s="272"/>
      <c r="I187" s="236"/>
      <c r="J187" s="265"/>
      <c r="K187" s="193"/>
      <c r="L187" s="272"/>
      <c r="M187" s="236"/>
      <c r="N187" s="265"/>
      <c r="O187" s="193"/>
      <c r="P187" s="282">
        <v>5.49</v>
      </c>
      <c r="Q187" s="236">
        <f t="shared" si="74"/>
        <v>7</v>
      </c>
      <c r="R187" s="265">
        <f t="shared" si="75"/>
        <v>384</v>
      </c>
      <c r="S187" s="193">
        <f t="shared" si="76"/>
        <v>2691</v>
      </c>
      <c r="T187" s="232"/>
      <c r="U187" s="290"/>
      <c r="V187" s="200"/>
      <c r="W187" s="232">
        <f t="shared" si="62"/>
        <v>7</v>
      </c>
      <c r="X187" s="289">
        <v>710</v>
      </c>
      <c r="Y187" s="199">
        <f t="shared" si="63"/>
        <v>4970</v>
      </c>
      <c r="Z187" s="149"/>
      <c r="AA187" s="150"/>
      <c r="AB187" s="101">
        <f t="shared" si="77"/>
        <v>0</v>
      </c>
      <c r="AC187" s="226"/>
      <c r="AD187" s="302">
        <f t="shared" si="64"/>
        <v>-326</v>
      </c>
      <c r="AE187" s="202">
        <f t="shared" si="70"/>
        <v>-2279</v>
      </c>
    </row>
    <row r="188" spans="1:31" ht="39" hidden="1" customHeight="1" outlineLevel="2" x14ac:dyDescent="0.3">
      <c r="A188" s="140"/>
      <c r="B188" s="328" t="s">
        <v>368</v>
      </c>
      <c r="C188" s="78" t="s">
        <v>5</v>
      </c>
      <c r="D188" s="255">
        <v>9</v>
      </c>
      <c r="E188" s="64"/>
      <c r="F188" s="265">
        <f t="shared" si="73"/>
        <v>48</v>
      </c>
      <c r="G188" s="216">
        <v>431.37</v>
      </c>
      <c r="H188" s="272"/>
      <c r="I188" s="236"/>
      <c r="J188" s="265"/>
      <c r="K188" s="193"/>
      <c r="L188" s="272"/>
      <c r="M188" s="236"/>
      <c r="N188" s="265"/>
      <c r="O188" s="193"/>
      <c r="P188" s="282">
        <v>5.49</v>
      </c>
      <c r="Q188" s="236">
        <f t="shared" si="74"/>
        <v>9</v>
      </c>
      <c r="R188" s="265">
        <f t="shared" si="75"/>
        <v>210</v>
      </c>
      <c r="S188" s="193">
        <f t="shared" si="76"/>
        <v>1887</v>
      </c>
      <c r="T188" s="230"/>
      <c r="U188" s="293"/>
      <c r="V188" s="207"/>
      <c r="W188" s="232">
        <f t="shared" si="62"/>
        <v>9</v>
      </c>
      <c r="X188" s="289">
        <v>170</v>
      </c>
      <c r="Y188" s="199">
        <f t="shared" si="63"/>
        <v>1530</v>
      </c>
      <c r="Z188" s="151"/>
      <c r="AA188" s="152"/>
      <c r="AB188" s="101">
        <f t="shared" si="77"/>
        <v>0</v>
      </c>
      <c r="AC188" s="226"/>
      <c r="AD188" s="304">
        <f t="shared" si="64"/>
        <v>40</v>
      </c>
      <c r="AE188" s="305">
        <f t="shared" si="70"/>
        <v>357</v>
      </c>
    </row>
    <row r="189" spans="1:31" ht="39" hidden="1" customHeight="1" outlineLevel="2" x14ac:dyDescent="0.3">
      <c r="A189" s="140"/>
      <c r="B189" s="328" t="s">
        <v>369</v>
      </c>
      <c r="C189" s="78" t="s">
        <v>5</v>
      </c>
      <c r="D189" s="255">
        <v>15</v>
      </c>
      <c r="E189" s="64"/>
      <c r="F189" s="265">
        <f t="shared" si="73"/>
        <v>67</v>
      </c>
      <c r="G189" s="216">
        <v>998.1</v>
      </c>
      <c r="H189" s="272"/>
      <c r="I189" s="236"/>
      <c r="J189" s="265"/>
      <c r="K189" s="193"/>
      <c r="L189" s="272"/>
      <c r="M189" s="236"/>
      <c r="N189" s="265"/>
      <c r="O189" s="193"/>
      <c r="P189" s="282">
        <v>5.49</v>
      </c>
      <c r="Q189" s="236">
        <f t="shared" si="74"/>
        <v>15</v>
      </c>
      <c r="R189" s="265">
        <f t="shared" si="75"/>
        <v>293</v>
      </c>
      <c r="S189" s="193">
        <f t="shared" si="76"/>
        <v>4391</v>
      </c>
      <c r="T189" s="230"/>
      <c r="U189" s="290"/>
      <c r="V189" s="200"/>
      <c r="W189" s="232">
        <f t="shared" si="62"/>
        <v>15</v>
      </c>
      <c r="X189" s="289">
        <v>197</v>
      </c>
      <c r="Y189" s="199">
        <f t="shared" si="63"/>
        <v>2955</v>
      </c>
      <c r="Z189" s="149"/>
      <c r="AA189" s="150"/>
      <c r="AB189" s="101">
        <f t="shared" si="77"/>
        <v>0</v>
      </c>
      <c r="AC189" s="226"/>
      <c r="AD189" s="304">
        <f t="shared" si="64"/>
        <v>96</v>
      </c>
      <c r="AE189" s="305">
        <f t="shared" si="70"/>
        <v>1436</v>
      </c>
    </row>
    <row r="190" spans="1:31" ht="39" hidden="1" customHeight="1" outlineLevel="2" x14ac:dyDescent="0.3">
      <c r="A190" s="140"/>
      <c r="B190" s="328" t="s">
        <v>370</v>
      </c>
      <c r="C190" s="78" t="s">
        <v>5</v>
      </c>
      <c r="D190" s="255">
        <v>18</v>
      </c>
      <c r="E190" s="64"/>
      <c r="F190" s="265">
        <f t="shared" si="73"/>
        <v>23</v>
      </c>
      <c r="G190" s="216">
        <v>408.6</v>
      </c>
      <c r="H190" s="272"/>
      <c r="I190" s="236"/>
      <c r="J190" s="265"/>
      <c r="K190" s="193"/>
      <c r="L190" s="272"/>
      <c r="M190" s="236"/>
      <c r="N190" s="265"/>
      <c r="O190" s="193"/>
      <c r="P190" s="282">
        <v>5.49</v>
      </c>
      <c r="Q190" s="236">
        <f t="shared" si="74"/>
        <v>18</v>
      </c>
      <c r="R190" s="265">
        <f t="shared" si="75"/>
        <v>100</v>
      </c>
      <c r="S190" s="193">
        <f t="shared" si="76"/>
        <v>1809</v>
      </c>
      <c r="T190" s="230"/>
      <c r="U190" s="290"/>
      <c r="V190" s="200"/>
      <c r="W190" s="232">
        <f t="shared" si="62"/>
        <v>18</v>
      </c>
      <c r="X190" s="289">
        <v>74</v>
      </c>
      <c r="Y190" s="199">
        <f t="shared" si="63"/>
        <v>1332</v>
      </c>
      <c r="Z190" s="149"/>
      <c r="AA190" s="150"/>
      <c r="AB190" s="101">
        <f t="shared" si="77"/>
        <v>0</v>
      </c>
      <c r="AC190" s="226"/>
      <c r="AD190" s="304">
        <f t="shared" si="64"/>
        <v>26</v>
      </c>
      <c r="AE190" s="305">
        <f t="shared" si="70"/>
        <v>477</v>
      </c>
    </row>
    <row r="191" spans="1:31" ht="39" hidden="1" customHeight="1" outlineLevel="2" x14ac:dyDescent="0.3">
      <c r="A191" s="140"/>
      <c r="B191" s="328" t="s">
        <v>371</v>
      </c>
      <c r="C191" s="78" t="s">
        <v>5</v>
      </c>
      <c r="D191" s="255">
        <v>24</v>
      </c>
      <c r="E191" s="64"/>
      <c r="F191" s="265">
        <f t="shared" si="73"/>
        <v>35</v>
      </c>
      <c r="G191" s="216">
        <v>839.28</v>
      </c>
      <c r="H191" s="272"/>
      <c r="I191" s="236"/>
      <c r="J191" s="265"/>
      <c r="K191" s="193"/>
      <c r="L191" s="272"/>
      <c r="M191" s="236"/>
      <c r="N191" s="265"/>
      <c r="O191" s="193"/>
      <c r="P191" s="282">
        <v>5.49</v>
      </c>
      <c r="Q191" s="236">
        <f t="shared" si="74"/>
        <v>24</v>
      </c>
      <c r="R191" s="265">
        <f t="shared" si="75"/>
        <v>153</v>
      </c>
      <c r="S191" s="193">
        <f t="shared" si="76"/>
        <v>3670</v>
      </c>
      <c r="T191" s="230"/>
      <c r="U191" s="290"/>
      <c r="V191" s="200"/>
      <c r="W191" s="232">
        <f t="shared" si="62"/>
        <v>24</v>
      </c>
      <c r="X191" s="289">
        <v>125</v>
      </c>
      <c r="Y191" s="199">
        <f t="shared" si="63"/>
        <v>3000</v>
      </c>
      <c r="Z191" s="149"/>
      <c r="AA191" s="150"/>
      <c r="AB191" s="101">
        <f t="shared" si="77"/>
        <v>0</v>
      </c>
      <c r="AC191" s="226"/>
      <c r="AD191" s="304">
        <f t="shared" si="64"/>
        <v>28</v>
      </c>
      <c r="AE191" s="305">
        <f t="shared" si="70"/>
        <v>670</v>
      </c>
    </row>
    <row r="192" spans="1:31" ht="51.75" hidden="1" customHeight="1" outlineLevel="2" x14ac:dyDescent="0.3">
      <c r="A192" s="140"/>
      <c r="B192" s="328" t="s">
        <v>796</v>
      </c>
      <c r="C192" s="78" t="s">
        <v>5</v>
      </c>
      <c r="D192" s="255">
        <v>9</v>
      </c>
      <c r="E192" s="1108"/>
      <c r="F192" s="1026">
        <f>ROUND(G192/33,0)</f>
        <v>2</v>
      </c>
      <c r="G192" s="1151">
        <v>81.180000000000007</v>
      </c>
      <c r="H192" s="1078"/>
      <c r="I192" s="1030"/>
      <c r="J192" s="1078"/>
      <c r="K192" s="1008"/>
      <c r="L192" s="1078"/>
      <c r="M192" s="1030"/>
      <c r="N192" s="1078"/>
      <c r="O192" s="1008"/>
      <c r="P192" s="1078">
        <v>5.49</v>
      </c>
      <c r="Q192" s="1030">
        <v>33</v>
      </c>
      <c r="R192" s="1078">
        <f t="shared" si="75"/>
        <v>9</v>
      </c>
      <c r="S192" s="1008">
        <f t="shared" si="76"/>
        <v>288</v>
      </c>
      <c r="T192" s="230"/>
      <c r="U192" s="293"/>
      <c r="V192" s="207"/>
      <c r="W192" s="232">
        <f t="shared" si="62"/>
        <v>9</v>
      </c>
      <c r="X192" s="289">
        <v>8</v>
      </c>
      <c r="Y192" s="199">
        <f t="shared" si="63"/>
        <v>72</v>
      </c>
      <c r="Z192" s="151"/>
      <c r="AA192" s="152"/>
      <c r="AB192" s="101">
        <f t="shared" si="77"/>
        <v>0</v>
      </c>
      <c r="AC192" s="226"/>
      <c r="AD192" s="1036"/>
      <c r="AE192" s="1064">
        <f>S192-Y192-Y193</f>
        <v>24</v>
      </c>
    </row>
    <row r="193" spans="1:32" ht="51.75" hidden="1" customHeight="1" outlineLevel="2" x14ac:dyDescent="0.3">
      <c r="A193" s="140"/>
      <c r="B193" s="328" t="s">
        <v>797</v>
      </c>
      <c r="C193" s="78" t="s">
        <v>5</v>
      </c>
      <c r="D193" s="255">
        <v>24</v>
      </c>
      <c r="E193" s="1150"/>
      <c r="F193" s="1027"/>
      <c r="G193" s="1152"/>
      <c r="H193" s="1080"/>
      <c r="I193" s="1032"/>
      <c r="J193" s="1080"/>
      <c r="K193" s="1009"/>
      <c r="L193" s="1080"/>
      <c r="M193" s="1032"/>
      <c r="N193" s="1080"/>
      <c r="O193" s="1009"/>
      <c r="P193" s="1080"/>
      <c r="Q193" s="1032">
        <f>D193-I193-M193</f>
        <v>24</v>
      </c>
      <c r="R193" s="1080">
        <f t="shared" si="75"/>
        <v>0</v>
      </c>
      <c r="S193" s="1009">
        <f t="shared" si="76"/>
        <v>0</v>
      </c>
      <c r="T193" s="230"/>
      <c r="U193" s="293"/>
      <c r="V193" s="207"/>
      <c r="W193" s="232">
        <f t="shared" si="62"/>
        <v>24</v>
      </c>
      <c r="X193" s="289">
        <v>8</v>
      </c>
      <c r="Y193" s="199">
        <f t="shared" si="63"/>
        <v>192</v>
      </c>
      <c r="Z193" s="151"/>
      <c r="AA193" s="152"/>
      <c r="AB193" s="101">
        <f t="shared" si="77"/>
        <v>0</v>
      </c>
      <c r="AC193" s="226"/>
      <c r="AD193" s="1038"/>
      <c r="AE193" s="1065"/>
    </row>
    <row r="194" spans="1:32" ht="51.75" hidden="1" customHeight="1" outlineLevel="2" x14ac:dyDescent="0.3">
      <c r="A194" s="140"/>
      <c r="B194" s="328" t="s">
        <v>798</v>
      </c>
      <c r="C194" s="78" t="s">
        <v>5</v>
      </c>
      <c r="D194" s="255">
        <v>15</v>
      </c>
      <c r="E194" s="64"/>
      <c r="F194" s="265">
        <f>ROUND(G194/D194,0)</f>
        <v>3</v>
      </c>
      <c r="G194" s="216">
        <v>43.05</v>
      </c>
      <c r="H194" s="272"/>
      <c r="I194" s="236"/>
      <c r="J194" s="265"/>
      <c r="K194" s="193"/>
      <c r="L194" s="272"/>
      <c r="M194" s="236"/>
      <c r="N194" s="265"/>
      <c r="O194" s="193"/>
      <c r="P194" s="282">
        <v>5.49</v>
      </c>
      <c r="Q194" s="236">
        <f>D194-I194-M194</f>
        <v>15</v>
      </c>
      <c r="R194" s="265">
        <f t="shared" si="75"/>
        <v>13</v>
      </c>
      <c r="S194" s="193">
        <f t="shared" si="76"/>
        <v>197</v>
      </c>
      <c r="T194" s="230"/>
      <c r="U194" s="293"/>
      <c r="V194" s="207"/>
      <c r="W194" s="232">
        <f t="shared" si="62"/>
        <v>15</v>
      </c>
      <c r="X194" s="289">
        <v>9</v>
      </c>
      <c r="Y194" s="199">
        <f t="shared" si="63"/>
        <v>135</v>
      </c>
      <c r="Z194" s="151"/>
      <c r="AA194" s="152"/>
      <c r="AB194" s="101">
        <f t="shared" si="77"/>
        <v>0</v>
      </c>
      <c r="AC194" s="226"/>
      <c r="AD194" s="304">
        <f t="shared" si="64"/>
        <v>4</v>
      </c>
      <c r="AE194" s="305">
        <f t="shared" si="70"/>
        <v>62</v>
      </c>
    </row>
    <row r="195" spans="1:32" ht="51.75" hidden="1" customHeight="1" outlineLevel="2" x14ac:dyDescent="0.3">
      <c r="A195" s="140"/>
      <c r="B195" s="328" t="s">
        <v>799</v>
      </c>
      <c r="C195" s="78" t="s">
        <v>5</v>
      </c>
      <c r="D195" s="255">
        <v>18</v>
      </c>
      <c r="E195" s="64"/>
      <c r="F195" s="265">
        <f>ROUND(G195/D195,0)</f>
        <v>2</v>
      </c>
      <c r="G195" s="216">
        <v>36</v>
      </c>
      <c r="H195" s="272"/>
      <c r="I195" s="236"/>
      <c r="J195" s="265"/>
      <c r="K195" s="193"/>
      <c r="L195" s="272"/>
      <c r="M195" s="236"/>
      <c r="N195" s="265"/>
      <c r="O195" s="193"/>
      <c r="P195" s="282">
        <v>5.49</v>
      </c>
      <c r="Q195" s="236">
        <f>D195-I195-M195</f>
        <v>18</v>
      </c>
      <c r="R195" s="265">
        <f t="shared" si="75"/>
        <v>9</v>
      </c>
      <c r="S195" s="193">
        <f t="shared" si="76"/>
        <v>157</v>
      </c>
      <c r="T195" s="230"/>
      <c r="U195" s="293"/>
      <c r="V195" s="207"/>
      <c r="W195" s="232">
        <f t="shared" si="62"/>
        <v>18</v>
      </c>
      <c r="X195" s="289">
        <v>6</v>
      </c>
      <c r="Y195" s="199">
        <f t="shared" si="63"/>
        <v>108</v>
      </c>
      <c r="Z195" s="151"/>
      <c r="AA195" s="152"/>
      <c r="AB195" s="101">
        <f t="shared" si="77"/>
        <v>0</v>
      </c>
      <c r="AC195" s="226"/>
      <c r="AD195" s="304">
        <f t="shared" si="64"/>
        <v>3</v>
      </c>
      <c r="AE195" s="305">
        <f t="shared" si="70"/>
        <v>49</v>
      </c>
    </row>
    <row r="196" spans="1:32" ht="32.25" hidden="1" customHeight="1" outlineLevel="2" x14ac:dyDescent="0.3">
      <c r="A196" s="140"/>
      <c r="B196" s="328" t="s">
        <v>808</v>
      </c>
      <c r="C196" s="78" t="s">
        <v>28</v>
      </c>
      <c r="D196" s="255">
        <v>7.8600000000000003E-2</v>
      </c>
      <c r="E196" s="64"/>
      <c r="F196" s="265">
        <f>ROUND(G196/16,0)</f>
        <v>59</v>
      </c>
      <c r="G196" s="216">
        <v>951.06</v>
      </c>
      <c r="H196" s="272"/>
      <c r="I196" s="236"/>
      <c r="J196" s="265"/>
      <c r="K196" s="193"/>
      <c r="L196" s="272"/>
      <c r="M196" s="236"/>
      <c r="N196" s="265"/>
      <c r="O196" s="193"/>
      <c r="P196" s="282">
        <v>5.49</v>
      </c>
      <c r="Q196" s="236">
        <v>16</v>
      </c>
      <c r="R196" s="265">
        <f>ROUND(F196*P196*0.7958,0)</f>
        <v>258</v>
      </c>
      <c r="S196" s="193">
        <f t="shared" si="53"/>
        <v>4124</v>
      </c>
      <c r="T196" s="232"/>
      <c r="U196" s="290"/>
      <c r="V196" s="200"/>
      <c r="W196" s="232">
        <v>7.8600000000000003E-2</v>
      </c>
      <c r="X196" s="289">
        <v>61590</v>
      </c>
      <c r="Y196" s="199">
        <f>W196*X196</f>
        <v>4840.9740000000002</v>
      </c>
      <c r="Z196" s="149"/>
      <c r="AA196" s="150"/>
      <c r="AB196" s="101">
        <f t="shared" si="54"/>
        <v>0</v>
      </c>
      <c r="AC196" s="226"/>
      <c r="AD196" s="302"/>
      <c r="AE196" s="202">
        <f t="shared" si="70"/>
        <v>-716.97400000000016</v>
      </c>
    </row>
    <row r="197" spans="1:32" ht="21.75" hidden="1" customHeight="1" outlineLevel="2" x14ac:dyDescent="0.3">
      <c r="A197" s="140"/>
      <c r="B197" s="328" t="s">
        <v>365</v>
      </c>
      <c r="C197" s="78" t="s">
        <v>181</v>
      </c>
      <c r="D197" s="255">
        <v>1.5</v>
      </c>
      <c r="E197" s="64"/>
      <c r="F197" s="265">
        <f t="shared" si="50"/>
        <v>83</v>
      </c>
      <c r="G197" s="216">
        <v>124.77</v>
      </c>
      <c r="H197" s="272"/>
      <c r="I197" s="236"/>
      <c r="J197" s="265"/>
      <c r="K197" s="193"/>
      <c r="L197" s="272"/>
      <c r="M197" s="236"/>
      <c r="N197" s="265"/>
      <c r="O197" s="193"/>
      <c r="P197" s="282">
        <v>5.49</v>
      </c>
      <c r="Q197" s="236">
        <f t="shared" si="51"/>
        <v>1.5</v>
      </c>
      <c r="R197" s="265">
        <f t="shared" si="52"/>
        <v>363</v>
      </c>
      <c r="S197" s="193">
        <f t="shared" si="53"/>
        <v>544</v>
      </c>
      <c r="T197" s="230"/>
      <c r="U197" s="293"/>
      <c r="V197" s="207"/>
      <c r="W197" s="232">
        <f t="shared" si="62"/>
        <v>1.5</v>
      </c>
      <c r="X197" s="289">
        <v>74</v>
      </c>
      <c r="Y197" s="199">
        <f t="shared" si="63"/>
        <v>111</v>
      </c>
      <c r="Z197" s="151"/>
      <c r="AA197" s="152"/>
      <c r="AB197" s="101">
        <f t="shared" si="54"/>
        <v>0</v>
      </c>
      <c r="AC197" s="226"/>
      <c r="AD197" s="304">
        <f t="shared" si="64"/>
        <v>289</v>
      </c>
      <c r="AE197" s="305">
        <f t="shared" si="70"/>
        <v>433</v>
      </c>
    </row>
    <row r="198" spans="1:32" ht="20.25" hidden="1" customHeight="1" outlineLevel="2" x14ac:dyDescent="0.3">
      <c r="A198" s="140"/>
      <c r="B198" s="328" t="s">
        <v>366</v>
      </c>
      <c r="C198" s="78" t="s">
        <v>181</v>
      </c>
      <c r="D198" s="255">
        <v>1.3</v>
      </c>
      <c r="E198" s="64"/>
      <c r="F198" s="265">
        <f t="shared" si="50"/>
        <v>126</v>
      </c>
      <c r="G198" s="216">
        <v>163.24</v>
      </c>
      <c r="H198" s="272"/>
      <c r="I198" s="236"/>
      <c r="J198" s="265"/>
      <c r="K198" s="193"/>
      <c r="L198" s="272"/>
      <c r="M198" s="236"/>
      <c r="N198" s="265"/>
      <c r="O198" s="193"/>
      <c r="P198" s="282">
        <v>5.49</v>
      </c>
      <c r="Q198" s="236">
        <f t="shared" si="51"/>
        <v>1.3</v>
      </c>
      <c r="R198" s="265">
        <f t="shared" si="52"/>
        <v>550</v>
      </c>
      <c r="S198" s="193">
        <f t="shared" si="53"/>
        <v>716</v>
      </c>
      <c r="T198" s="230"/>
      <c r="U198" s="293"/>
      <c r="V198" s="207"/>
      <c r="W198" s="232">
        <f t="shared" si="62"/>
        <v>1.3</v>
      </c>
      <c r="X198" s="289">
        <v>97</v>
      </c>
      <c r="Y198" s="199">
        <f t="shared" si="63"/>
        <v>126.10000000000001</v>
      </c>
      <c r="Z198" s="151"/>
      <c r="AA198" s="152"/>
      <c r="AB198" s="101">
        <f t="shared" si="54"/>
        <v>0</v>
      </c>
      <c r="AC198" s="226"/>
      <c r="AD198" s="304">
        <f t="shared" si="64"/>
        <v>453</v>
      </c>
      <c r="AE198" s="305">
        <f t="shared" si="70"/>
        <v>589.9</v>
      </c>
    </row>
    <row r="199" spans="1:32" ht="33.75" hidden="1" customHeight="1" outlineLevel="2" x14ac:dyDescent="0.3">
      <c r="A199" s="140"/>
      <c r="B199" s="328" t="s">
        <v>801</v>
      </c>
      <c r="C199" s="78" t="s">
        <v>5</v>
      </c>
      <c r="D199" s="255">
        <v>17</v>
      </c>
      <c r="E199" s="64"/>
      <c r="F199" s="265">
        <f t="shared" si="50"/>
        <v>8</v>
      </c>
      <c r="G199" s="216">
        <v>129.71</v>
      </c>
      <c r="H199" s="272"/>
      <c r="I199" s="236"/>
      <c r="J199" s="265"/>
      <c r="K199" s="193"/>
      <c r="L199" s="272"/>
      <c r="M199" s="236"/>
      <c r="N199" s="265"/>
      <c r="O199" s="193"/>
      <c r="P199" s="282">
        <v>5.49</v>
      </c>
      <c r="Q199" s="236">
        <f t="shared" si="51"/>
        <v>17</v>
      </c>
      <c r="R199" s="265">
        <f t="shared" si="52"/>
        <v>35</v>
      </c>
      <c r="S199" s="193">
        <f t="shared" si="53"/>
        <v>594</v>
      </c>
      <c r="T199" s="230"/>
      <c r="U199" s="293"/>
      <c r="V199" s="207"/>
      <c r="W199" s="232">
        <f t="shared" si="62"/>
        <v>17</v>
      </c>
      <c r="X199" s="289">
        <v>16</v>
      </c>
      <c r="Y199" s="199">
        <f t="shared" si="63"/>
        <v>272</v>
      </c>
      <c r="Z199" s="151"/>
      <c r="AA199" s="152"/>
      <c r="AB199" s="101">
        <f t="shared" si="54"/>
        <v>0</v>
      </c>
      <c r="AC199" s="226"/>
      <c r="AD199" s="304">
        <f t="shared" si="64"/>
        <v>19</v>
      </c>
      <c r="AE199" s="305">
        <f t="shared" si="70"/>
        <v>322</v>
      </c>
    </row>
    <row r="200" spans="1:32" ht="64.5" hidden="1" customHeight="1" outlineLevel="2" x14ac:dyDescent="0.3">
      <c r="A200" s="140"/>
      <c r="B200" s="328" t="s">
        <v>802</v>
      </c>
      <c r="C200" s="78" t="s">
        <v>40</v>
      </c>
      <c r="D200" s="255">
        <v>2</v>
      </c>
      <c r="E200" s="1108"/>
      <c r="F200" s="1026">
        <f>ROUND(G200/5,0)</f>
        <v>1505</v>
      </c>
      <c r="G200" s="1151">
        <v>7523.1</v>
      </c>
      <c r="H200" s="1085"/>
      <c r="I200" s="1088"/>
      <c r="J200" s="1078"/>
      <c r="K200" s="1008"/>
      <c r="L200" s="1085"/>
      <c r="M200" s="1088"/>
      <c r="N200" s="1078"/>
      <c r="O200" s="1008"/>
      <c r="P200" s="1147">
        <v>5.49</v>
      </c>
      <c r="Q200" s="1141">
        <v>5</v>
      </c>
      <c r="R200" s="1144">
        <f t="shared" si="52"/>
        <v>6575</v>
      </c>
      <c r="S200" s="1008">
        <f t="shared" si="53"/>
        <v>32876</v>
      </c>
      <c r="T200" s="230"/>
      <c r="U200" s="290"/>
      <c r="V200" s="200"/>
      <c r="W200" s="232">
        <f t="shared" si="62"/>
        <v>2</v>
      </c>
      <c r="X200" s="289">
        <v>1360</v>
      </c>
      <c r="Y200" s="199">
        <f t="shared" si="63"/>
        <v>2720</v>
      </c>
      <c r="Z200" s="149"/>
      <c r="AA200" s="150"/>
      <c r="AB200" s="101">
        <f t="shared" si="54"/>
        <v>0</v>
      </c>
      <c r="AC200" s="226"/>
      <c r="AD200" s="1036"/>
      <c r="AE200" s="1064">
        <f>S200-Y200-Y201-Y202</f>
        <v>25392</v>
      </c>
    </row>
    <row r="201" spans="1:32" ht="64.5" hidden="1" customHeight="1" outlineLevel="2" x14ac:dyDescent="0.3">
      <c r="A201" s="140"/>
      <c r="B201" s="328" t="s">
        <v>803</v>
      </c>
      <c r="C201" s="78" t="s">
        <v>40</v>
      </c>
      <c r="D201" s="255">
        <v>1</v>
      </c>
      <c r="E201" s="1187"/>
      <c r="F201" s="1100"/>
      <c r="G201" s="1186"/>
      <c r="H201" s="1086"/>
      <c r="I201" s="1089"/>
      <c r="J201" s="1079"/>
      <c r="K201" s="1077"/>
      <c r="L201" s="1086"/>
      <c r="M201" s="1089"/>
      <c r="N201" s="1079"/>
      <c r="O201" s="1077"/>
      <c r="P201" s="1148"/>
      <c r="Q201" s="1142">
        <f t="shared" ref="Q201" si="78">D201-I201-M201</f>
        <v>1</v>
      </c>
      <c r="R201" s="1145">
        <f t="shared" ref="R201" si="79">ROUND(F201*P201*0.7958,0)</f>
        <v>0</v>
      </c>
      <c r="S201" s="1156"/>
      <c r="T201" s="230"/>
      <c r="U201" s="290"/>
      <c r="V201" s="200"/>
      <c r="W201" s="232">
        <f t="shared" si="62"/>
        <v>1</v>
      </c>
      <c r="X201" s="289">
        <v>1514</v>
      </c>
      <c r="Y201" s="199">
        <f t="shared" si="63"/>
        <v>1514</v>
      </c>
      <c r="Z201" s="149"/>
      <c r="AA201" s="150"/>
      <c r="AB201" s="101">
        <f t="shared" ref="AB201" si="80">ROUND(Z201*AA201,0)</f>
        <v>0</v>
      </c>
      <c r="AC201" s="226"/>
      <c r="AD201" s="1037"/>
      <c r="AE201" s="1203"/>
    </row>
    <row r="202" spans="1:32" ht="64.5" hidden="1" customHeight="1" outlineLevel="2" x14ac:dyDescent="0.3">
      <c r="A202" s="140"/>
      <c r="B202" s="328" t="s">
        <v>804</v>
      </c>
      <c r="C202" s="78" t="s">
        <v>40</v>
      </c>
      <c r="D202" s="255">
        <v>2</v>
      </c>
      <c r="E202" s="1187"/>
      <c r="F202" s="1027"/>
      <c r="G202" s="1152"/>
      <c r="H202" s="1087"/>
      <c r="I202" s="1090"/>
      <c r="J202" s="1080"/>
      <c r="K202" s="1009"/>
      <c r="L202" s="1087"/>
      <c r="M202" s="1090"/>
      <c r="N202" s="1080"/>
      <c r="O202" s="1009"/>
      <c r="P202" s="1149"/>
      <c r="Q202" s="1143">
        <f t="shared" ref="Q202" si="81">D202-I202-M202</f>
        <v>2</v>
      </c>
      <c r="R202" s="1146">
        <f t="shared" ref="R202" si="82">ROUND(F202*P202*0.7958,0)</f>
        <v>0</v>
      </c>
      <c r="S202" s="1157"/>
      <c r="T202" s="230"/>
      <c r="U202" s="290"/>
      <c r="V202" s="200"/>
      <c r="W202" s="232">
        <f t="shared" si="62"/>
        <v>2</v>
      </c>
      <c r="X202" s="289">
        <v>1625</v>
      </c>
      <c r="Y202" s="199">
        <f t="shared" si="63"/>
        <v>3250</v>
      </c>
      <c r="Z202" s="149"/>
      <c r="AA202" s="150"/>
      <c r="AB202" s="101">
        <f t="shared" ref="AB202" si="83">ROUND(Z202*AA202,0)</f>
        <v>0</v>
      </c>
      <c r="AC202" s="226"/>
      <c r="AD202" s="1038"/>
      <c r="AE202" s="1065"/>
    </row>
    <row r="203" spans="1:32" ht="64.5" hidden="1" customHeight="1" outlineLevel="2" x14ac:dyDescent="0.3">
      <c r="A203" s="140"/>
      <c r="B203" s="328" t="s">
        <v>805</v>
      </c>
      <c r="C203" s="78" t="s">
        <v>40</v>
      </c>
      <c r="D203" s="255">
        <v>1</v>
      </c>
      <c r="E203" s="64"/>
      <c r="F203" s="265">
        <f t="shared" si="50"/>
        <v>1693</v>
      </c>
      <c r="G203" s="217">
        <v>1693.05</v>
      </c>
      <c r="H203" s="272"/>
      <c r="I203" s="236"/>
      <c r="J203" s="265"/>
      <c r="K203" s="193"/>
      <c r="L203" s="272"/>
      <c r="M203" s="236"/>
      <c r="N203" s="265"/>
      <c r="O203" s="193"/>
      <c r="P203" s="282">
        <v>5.49</v>
      </c>
      <c r="Q203" s="236">
        <f t="shared" si="51"/>
        <v>1</v>
      </c>
      <c r="R203" s="265">
        <f t="shared" si="52"/>
        <v>7397</v>
      </c>
      <c r="S203" s="193">
        <f t="shared" si="53"/>
        <v>7397</v>
      </c>
      <c r="T203" s="230"/>
      <c r="U203" s="290"/>
      <c r="V203" s="200"/>
      <c r="W203" s="232">
        <f t="shared" si="62"/>
        <v>1</v>
      </c>
      <c r="X203" s="289">
        <v>1417</v>
      </c>
      <c r="Y203" s="199">
        <f t="shared" si="63"/>
        <v>1417</v>
      </c>
      <c r="Z203" s="149"/>
      <c r="AA203" s="150"/>
      <c r="AB203" s="101">
        <f t="shared" si="54"/>
        <v>0</v>
      </c>
      <c r="AC203" s="226"/>
      <c r="AD203" s="304">
        <f t="shared" si="64"/>
        <v>5980</v>
      </c>
      <c r="AE203" s="305">
        <f t="shared" si="70"/>
        <v>5980</v>
      </c>
    </row>
    <row r="204" spans="1:32" ht="52.5" hidden="1" customHeight="1" outlineLevel="2" x14ac:dyDescent="0.3">
      <c r="A204" s="140"/>
      <c r="B204" s="328" t="s">
        <v>813</v>
      </c>
      <c r="C204" s="78" t="s">
        <v>17</v>
      </c>
      <c r="D204" s="255">
        <v>2.06</v>
      </c>
      <c r="E204" s="64"/>
      <c r="F204" s="265">
        <f>ROUND(G204/D204,0)</f>
        <v>710</v>
      </c>
      <c r="G204" s="216">
        <v>1461.98</v>
      </c>
      <c r="H204" s="272"/>
      <c r="I204" s="236"/>
      <c r="J204" s="265"/>
      <c r="K204" s="193"/>
      <c r="L204" s="272"/>
      <c r="M204" s="236"/>
      <c r="N204" s="265"/>
      <c r="O204" s="193"/>
      <c r="P204" s="282">
        <v>5.49</v>
      </c>
      <c r="Q204" s="236">
        <f>D204-I204-M204</f>
        <v>2.06</v>
      </c>
      <c r="R204" s="265">
        <f>ROUND(F204*P204*0.7958,0)</f>
        <v>3102</v>
      </c>
      <c r="S204" s="193">
        <f>ROUND(Q204*P204*F204*0.7958,0)</f>
        <v>6390</v>
      </c>
      <c r="T204" s="230"/>
      <c r="U204" s="290"/>
      <c r="V204" s="200"/>
      <c r="W204" s="232">
        <f t="shared" si="62"/>
        <v>2.06</v>
      </c>
      <c r="X204" s="289">
        <v>158</v>
      </c>
      <c r="Y204" s="199">
        <f t="shared" si="63"/>
        <v>325.48</v>
      </c>
      <c r="Z204" s="149"/>
      <c r="AA204" s="150"/>
      <c r="AB204" s="101">
        <f>ROUND(Z204*AA204,0)</f>
        <v>0</v>
      </c>
      <c r="AC204" s="226"/>
      <c r="AD204" s="304">
        <f t="shared" si="64"/>
        <v>2944</v>
      </c>
      <c r="AE204" s="305">
        <f t="shared" si="70"/>
        <v>6064.52</v>
      </c>
    </row>
    <row r="205" spans="1:32" s="95" customFormat="1" hidden="1" outlineLevel="1" x14ac:dyDescent="0.3">
      <c r="A205" s="98"/>
      <c r="B205" s="160"/>
      <c r="C205" s="107"/>
      <c r="D205" s="253"/>
      <c r="E205" s="98"/>
      <c r="F205" s="154"/>
      <c r="G205" s="214"/>
      <c r="H205" s="154"/>
      <c r="I205" s="231"/>
      <c r="J205" s="154"/>
      <c r="K205" s="194"/>
      <c r="L205" s="154"/>
      <c r="M205" s="231"/>
      <c r="N205" s="154"/>
      <c r="O205" s="194"/>
      <c r="P205" s="154"/>
      <c r="Q205" s="231"/>
      <c r="R205" s="286"/>
      <c r="S205" s="194"/>
      <c r="T205" s="231"/>
      <c r="U205" s="155"/>
      <c r="V205" s="194"/>
      <c r="W205" s="231"/>
      <c r="X205" s="155"/>
      <c r="Y205" s="194"/>
      <c r="Z205" s="157"/>
      <c r="AA205" s="156"/>
      <c r="AB205" s="156"/>
      <c r="AC205" s="194"/>
      <c r="AD205" s="155"/>
      <c r="AE205" s="194"/>
    </row>
    <row r="206" spans="1:32" ht="26.25" hidden="1" customHeight="1" outlineLevel="1" x14ac:dyDescent="0.3">
      <c r="A206" s="399"/>
      <c r="B206" s="1082" t="s">
        <v>381</v>
      </c>
      <c r="C206" s="1083"/>
      <c r="D206" s="1083"/>
      <c r="E206" s="1083"/>
      <c r="F206" s="1084"/>
      <c r="G206" s="333">
        <f>SUM(G207:G222)</f>
        <v>14075.16</v>
      </c>
      <c r="H206" s="320"/>
      <c r="I206" s="320"/>
      <c r="J206" s="320"/>
      <c r="K206" s="336">
        <f>SUM(K207:K222)</f>
        <v>0</v>
      </c>
      <c r="L206" s="337"/>
      <c r="M206" s="337"/>
      <c r="N206" s="337"/>
      <c r="O206" s="336">
        <f>SUM(O207:O222)</f>
        <v>0</v>
      </c>
      <c r="P206" s="337"/>
      <c r="Q206" s="337"/>
      <c r="R206" s="337"/>
      <c r="S206" s="336">
        <f>SUM(S207:S222)</f>
        <v>71510</v>
      </c>
      <c r="T206" s="320"/>
      <c r="U206" s="322"/>
      <c r="V206" s="336"/>
      <c r="W206" s="320"/>
      <c r="X206" s="322"/>
      <c r="Y206" s="336">
        <f>SUM(Y207:Y222)</f>
        <v>65122.259999999995</v>
      </c>
      <c r="Z206" s="322"/>
      <c r="AA206" s="322"/>
      <c r="AB206" s="322"/>
      <c r="AC206" s="322"/>
      <c r="AD206" s="322"/>
      <c r="AE206" s="338">
        <f>SUM(AE207:AE222)</f>
        <v>6387.74</v>
      </c>
      <c r="AF206" s="324">
        <f>AE206/S206</f>
        <v>8.9326527758355478E-2</v>
      </c>
    </row>
    <row r="207" spans="1:32" ht="19.5" hidden="1" customHeight="1" outlineLevel="2" x14ac:dyDescent="0.3">
      <c r="A207" s="42"/>
      <c r="B207" s="334" t="s">
        <v>372</v>
      </c>
      <c r="C207" s="78" t="s">
        <v>16</v>
      </c>
      <c r="D207" s="255">
        <v>19.936</v>
      </c>
      <c r="E207" s="64"/>
      <c r="F207" s="265">
        <f t="shared" ref="F207:F222" si="84">ROUND(G207/D207,0)</f>
        <v>10</v>
      </c>
      <c r="G207" s="215">
        <v>194.19</v>
      </c>
      <c r="H207" s="272"/>
      <c r="I207" s="236"/>
      <c r="J207" s="265"/>
      <c r="K207" s="193"/>
      <c r="L207" s="272"/>
      <c r="M207" s="236"/>
      <c r="N207" s="265"/>
      <c r="O207" s="193"/>
      <c r="P207" s="282">
        <v>6.18</v>
      </c>
      <c r="Q207" s="236">
        <f t="shared" ref="Q207:Q222" si="85">D207-I207-M207</f>
        <v>19.936</v>
      </c>
      <c r="R207" s="265">
        <f t="shared" ref="R207:R222" si="86">ROUND(F207*P207*0.7958,0)</f>
        <v>49</v>
      </c>
      <c r="S207" s="193">
        <f t="shared" ref="S207:S222" si="87">ROUND(Q207*P207*F207*0.7958,0)</f>
        <v>980</v>
      </c>
      <c r="T207" s="230"/>
      <c r="U207" s="290"/>
      <c r="V207" s="200"/>
      <c r="W207" s="232">
        <f t="shared" ref="W207" si="88">D207</f>
        <v>19.936</v>
      </c>
      <c r="X207" s="289">
        <v>110</v>
      </c>
      <c r="Y207" s="199">
        <f t="shared" ref="Y207" si="89">W207*X207</f>
        <v>2192.96</v>
      </c>
      <c r="Z207" s="149"/>
      <c r="AA207" s="150"/>
      <c r="AB207" s="101">
        <f t="shared" ref="AB207:AB222" si="90">ROUND(Z207*AA207,0)</f>
        <v>0</v>
      </c>
      <c r="AC207" s="226"/>
      <c r="AD207" s="302">
        <f>R207-X207</f>
        <v>-61</v>
      </c>
      <c r="AE207" s="202">
        <f>S207-Y207</f>
        <v>-1212.96</v>
      </c>
    </row>
    <row r="208" spans="1:32" ht="19.5" hidden="1" customHeight="1" outlineLevel="2" x14ac:dyDescent="0.3">
      <c r="A208" s="42"/>
      <c r="B208" s="334" t="s">
        <v>373</v>
      </c>
      <c r="C208" s="78" t="s">
        <v>16</v>
      </c>
      <c r="D208" s="255">
        <v>1061</v>
      </c>
      <c r="E208" s="64"/>
      <c r="F208" s="265">
        <f t="shared" si="84"/>
        <v>5</v>
      </c>
      <c r="G208" s="215">
        <v>4848.7700000000004</v>
      </c>
      <c r="H208" s="272"/>
      <c r="I208" s="236"/>
      <c r="J208" s="265"/>
      <c r="K208" s="193"/>
      <c r="L208" s="272"/>
      <c r="M208" s="236"/>
      <c r="N208" s="265"/>
      <c r="O208" s="193"/>
      <c r="P208" s="282">
        <v>6.18</v>
      </c>
      <c r="Q208" s="236">
        <f t="shared" si="85"/>
        <v>1061</v>
      </c>
      <c r="R208" s="265">
        <f t="shared" si="86"/>
        <v>25</v>
      </c>
      <c r="S208" s="193">
        <f t="shared" si="87"/>
        <v>26090</v>
      </c>
      <c r="T208" s="230"/>
      <c r="U208" s="290"/>
      <c r="V208" s="200"/>
      <c r="W208" s="232">
        <f t="shared" ref="W208:W222" si="91">D208</f>
        <v>1061</v>
      </c>
      <c r="X208" s="289">
        <v>11</v>
      </c>
      <c r="Y208" s="199">
        <f t="shared" ref="Y208:Y222" si="92">W208*X208</f>
        <v>11671</v>
      </c>
      <c r="Z208" s="149"/>
      <c r="AA208" s="150"/>
      <c r="AB208" s="101">
        <f t="shared" si="90"/>
        <v>0</v>
      </c>
      <c r="AC208" s="226"/>
      <c r="AD208" s="304">
        <f t="shared" ref="AD208:AD222" si="93">R208-X208</f>
        <v>14</v>
      </c>
      <c r="AE208" s="305">
        <f t="shared" ref="AE208:AE222" si="94">S208-Y208</f>
        <v>14419</v>
      </c>
    </row>
    <row r="209" spans="1:32" ht="17.25" hidden="1" customHeight="1" outlineLevel="2" x14ac:dyDescent="0.3">
      <c r="A209" s="140"/>
      <c r="B209" s="334" t="s">
        <v>888</v>
      </c>
      <c r="C209" s="78" t="s">
        <v>40</v>
      </c>
      <c r="D209" s="255">
        <v>10</v>
      </c>
      <c r="E209" s="64"/>
      <c r="F209" s="265">
        <f t="shared" si="84"/>
        <v>49</v>
      </c>
      <c r="G209" s="215">
        <v>491.3</v>
      </c>
      <c r="H209" s="272"/>
      <c r="I209" s="236"/>
      <c r="J209" s="265"/>
      <c r="K209" s="193"/>
      <c r="L209" s="272"/>
      <c r="M209" s="236"/>
      <c r="N209" s="265"/>
      <c r="O209" s="193"/>
      <c r="P209" s="282">
        <v>6.18</v>
      </c>
      <c r="Q209" s="236">
        <f t="shared" si="85"/>
        <v>10</v>
      </c>
      <c r="R209" s="265">
        <f t="shared" si="86"/>
        <v>241</v>
      </c>
      <c r="S209" s="193">
        <f t="shared" si="87"/>
        <v>2410</v>
      </c>
      <c r="T209" s="230"/>
      <c r="U209" s="290"/>
      <c r="V209" s="200"/>
      <c r="W209" s="232">
        <f t="shared" si="91"/>
        <v>10</v>
      </c>
      <c r="X209" s="289">
        <v>5.03</v>
      </c>
      <c r="Y209" s="199">
        <f t="shared" si="92"/>
        <v>50.300000000000004</v>
      </c>
      <c r="Z209" s="149"/>
      <c r="AA209" s="150"/>
      <c r="AB209" s="101">
        <f t="shared" si="90"/>
        <v>0</v>
      </c>
      <c r="AC209" s="226"/>
      <c r="AD209" s="304">
        <f t="shared" si="93"/>
        <v>235.97</v>
      </c>
      <c r="AE209" s="305">
        <f t="shared" si="94"/>
        <v>2359.6999999999998</v>
      </c>
    </row>
    <row r="210" spans="1:32" ht="19.5" hidden="1" customHeight="1" outlineLevel="2" x14ac:dyDescent="0.3">
      <c r="A210" s="42"/>
      <c r="B210" s="334" t="s">
        <v>374</v>
      </c>
      <c r="C210" s="78" t="s">
        <v>364</v>
      </c>
      <c r="D210" s="255">
        <v>1</v>
      </c>
      <c r="E210" s="64"/>
      <c r="F210" s="265">
        <f t="shared" si="84"/>
        <v>2</v>
      </c>
      <c r="G210" s="215">
        <v>2</v>
      </c>
      <c r="H210" s="272"/>
      <c r="I210" s="236"/>
      <c r="J210" s="265"/>
      <c r="K210" s="193"/>
      <c r="L210" s="272"/>
      <c r="M210" s="236"/>
      <c r="N210" s="265"/>
      <c r="O210" s="193"/>
      <c r="P210" s="282">
        <v>6.18</v>
      </c>
      <c r="Q210" s="236">
        <f t="shared" si="85"/>
        <v>1</v>
      </c>
      <c r="R210" s="265">
        <f t="shared" si="86"/>
        <v>10</v>
      </c>
      <c r="S210" s="193">
        <f t="shared" si="87"/>
        <v>10</v>
      </c>
      <c r="T210" s="230"/>
      <c r="U210" s="290"/>
      <c r="V210" s="200"/>
      <c r="W210" s="232">
        <f t="shared" si="91"/>
        <v>1</v>
      </c>
      <c r="X210" s="289">
        <v>6.5</v>
      </c>
      <c r="Y210" s="199">
        <f t="shared" si="92"/>
        <v>6.5</v>
      </c>
      <c r="Z210" s="149"/>
      <c r="AA210" s="150"/>
      <c r="AB210" s="101">
        <f t="shared" si="90"/>
        <v>0</v>
      </c>
      <c r="AC210" s="226"/>
      <c r="AD210" s="304">
        <f t="shared" si="93"/>
        <v>3.5</v>
      </c>
      <c r="AE210" s="305">
        <f t="shared" si="94"/>
        <v>3.5</v>
      </c>
    </row>
    <row r="211" spans="1:32" ht="21" hidden="1" customHeight="1" outlineLevel="2" x14ac:dyDescent="0.3">
      <c r="A211" s="140"/>
      <c r="B211" s="334" t="s">
        <v>884</v>
      </c>
      <c r="C211" s="78" t="s">
        <v>5</v>
      </c>
      <c r="D211" s="255">
        <v>2</v>
      </c>
      <c r="E211" s="64"/>
      <c r="F211" s="265">
        <f t="shared" si="84"/>
        <v>14</v>
      </c>
      <c r="G211" s="215">
        <v>27.36</v>
      </c>
      <c r="H211" s="272"/>
      <c r="I211" s="236"/>
      <c r="J211" s="265"/>
      <c r="K211" s="193"/>
      <c r="L211" s="272"/>
      <c r="M211" s="236"/>
      <c r="N211" s="265"/>
      <c r="O211" s="193"/>
      <c r="P211" s="282">
        <v>6.18</v>
      </c>
      <c r="Q211" s="236">
        <f t="shared" si="85"/>
        <v>2</v>
      </c>
      <c r="R211" s="265">
        <f t="shared" si="86"/>
        <v>69</v>
      </c>
      <c r="S211" s="193">
        <f t="shared" si="87"/>
        <v>138</v>
      </c>
      <c r="T211" s="230"/>
      <c r="U211" s="290"/>
      <c r="V211" s="200"/>
      <c r="W211" s="232">
        <f t="shared" si="91"/>
        <v>2</v>
      </c>
      <c r="X211" s="289">
        <v>209.6</v>
      </c>
      <c r="Y211" s="199">
        <f t="shared" si="92"/>
        <v>419.2</v>
      </c>
      <c r="Z211" s="153"/>
      <c r="AA211" s="147"/>
      <c r="AB211" s="101">
        <f t="shared" si="90"/>
        <v>0</v>
      </c>
      <c r="AC211" s="226"/>
      <c r="AD211" s="302">
        <f t="shared" si="93"/>
        <v>-140.6</v>
      </c>
      <c r="AE211" s="202">
        <f t="shared" si="94"/>
        <v>-281.2</v>
      </c>
    </row>
    <row r="212" spans="1:32" ht="24.75" hidden="1" customHeight="1" outlineLevel="2" x14ac:dyDescent="0.3">
      <c r="A212" s="191"/>
      <c r="B212" s="334" t="s">
        <v>1343</v>
      </c>
      <c r="C212" s="78" t="s">
        <v>28</v>
      </c>
      <c r="D212" s="255">
        <v>0.17280000000000001</v>
      </c>
      <c r="E212" s="64"/>
      <c r="F212" s="265">
        <f t="shared" si="84"/>
        <v>11572</v>
      </c>
      <c r="G212" s="215">
        <v>1999.7</v>
      </c>
      <c r="H212" s="272"/>
      <c r="I212" s="236"/>
      <c r="J212" s="265"/>
      <c r="K212" s="193"/>
      <c r="L212" s="272"/>
      <c r="M212" s="236"/>
      <c r="N212" s="265"/>
      <c r="O212" s="193"/>
      <c r="P212" s="282">
        <v>6.18</v>
      </c>
      <c r="Q212" s="236">
        <f t="shared" si="85"/>
        <v>0.17280000000000001</v>
      </c>
      <c r="R212" s="265">
        <f t="shared" si="86"/>
        <v>56912</v>
      </c>
      <c r="S212" s="193">
        <f t="shared" si="87"/>
        <v>9834</v>
      </c>
      <c r="T212" s="230"/>
      <c r="U212" s="290"/>
      <c r="V212" s="200"/>
      <c r="W212" s="232">
        <f t="shared" si="91"/>
        <v>0.17280000000000001</v>
      </c>
      <c r="X212" s="296">
        <v>135525</v>
      </c>
      <c r="Y212" s="199">
        <f t="shared" si="92"/>
        <v>23418.720000000001</v>
      </c>
      <c r="Z212" s="149"/>
      <c r="AA212" s="150"/>
      <c r="AB212" s="101">
        <f t="shared" si="90"/>
        <v>0</v>
      </c>
      <c r="AC212" s="226"/>
      <c r="AD212" s="302">
        <f t="shared" si="93"/>
        <v>-78613</v>
      </c>
      <c r="AE212" s="202">
        <f t="shared" si="94"/>
        <v>-13584.720000000001</v>
      </c>
    </row>
    <row r="213" spans="1:32" ht="19.5" hidden="1" customHeight="1" outlineLevel="2" x14ac:dyDescent="0.3">
      <c r="A213" s="140"/>
      <c r="B213" s="334" t="s">
        <v>885</v>
      </c>
      <c r="C213" s="78" t="s">
        <v>40</v>
      </c>
      <c r="D213" s="255">
        <v>61</v>
      </c>
      <c r="E213" s="64"/>
      <c r="F213" s="265">
        <f t="shared" si="84"/>
        <v>35</v>
      </c>
      <c r="G213" s="215">
        <v>2136.4</v>
      </c>
      <c r="H213" s="272"/>
      <c r="I213" s="236"/>
      <c r="J213" s="265"/>
      <c r="K213" s="193"/>
      <c r="L213" s="272"/>
      <c r="M213" s="236"/>
      <c r="N213" s="265"/>
      <c r="O213" s="193"/>
      <c r="P213" s="282">
        <v>6.18</v>
      </c>
      <c r="Q213" s="236">
        <f t="shared" si="85"/>
        <v>61</v>
      </c>
      <c r="R213" s="265">
        <f t="shared" si="86"/>
        <v>172</v>
      </c>
      <c r="S213" s="193">
        <f t="shared" si="87"/>
        <v>10500</v>
      </c>
      <c r="T213" s="230"/>
      <c r="U213" s="290"/>
      <c r="V213" s="200"/>
      <c r="W213" s="232">
        <f t="shared" si="91"/>
        <v>61</v>
      </c>
      <c r="X213" s="289">
        <v>167.33</v>
      </c>
      <c r="Y213" s="199">
        <f t="shared" si="92"/>
        <v>10207.130000000001</v>
      </c>
      <c r="Z213" s="149"/>
      <c r="AA213" s="150"/>
      <c r="AB213" s="101">
        <f t="shared" si="90"/>
        <v>0</v>
      </c>
      <c r="AC213" s="226"/>
      <c r="AD213" s="304">
        <f t="shared" si="93"/>
        <v>4.6699999999999875</v>
      </c>
      <c r="AE213" s="305">
        <f t="shared" si="94"/>
        <v>292.86999999999898</v>
      </c>
    </row>
    <row r="214" spans="1:32" ht="19.5" hidden="1" customHeight="1" outlineLevel="2" x14ac:dyDescent="0.3">
      <c r="A214" s="42"/>
      <c r="B214" s="334" t="s">
        <v>375</v>
      </c>
      <c r="C214" s="78" t="s">
        <v>40</v>
      </c>
      <c r="D214" s="255">
        <v>25</v>
      </c>
      <c r="E214" s="64"/>
      <c r="F214" s="265">
        <f t="shared" si="84"/>
        <v>4</v>
      </c>
      <c r="G214" s="215">
        <v>98</v>
      </c>
      <c r="H214" s="272"/>
      <c r="I214" s="236"/>
      <c r="J214" s="265"/>
      <c r="K214" s="193"/>
      <c r="L214" s="272"/>
      <c r="M214" s="236"/>
      <c r="N214" s="265"/>
      <c r="O214" s="193"/>
      <c r="P214" s="282">
        <v>6.18</v>
      </c>
      <c r="Q214" s="236">
        <f t="shared" si="85"/>
        <v>25</v>
      </c>
      <c r="R214" s="265">
        <f t="shared" si="86"/>
        <v>20</v>
      </c>
      <c r="S214" s="193">
        <f t="shared" si="87"/>
        <v>492</v>
      </c>
      <c r="T214" s="230"/>
      <c r="U214" s="290"/>
      <c r="V214" s="200"/>
      <c r="W214" s="232">
        <f t="shared" si="91"/>
        <v>25</v>
      </c>
      <c r="X214" s="289">
        <v>20</v>
      </c>
      <c r="Y214" s="199">
        <v>492</v>
      </c>
      <c r="Z214" s="149"/>
      <c r="AA214" s="150"/>
      <c r="AB214" s="101">
        <f t="shared" si="90"/>
        <v>0</v>
      </c>
      <c r="AC214" s="226"/>
      <c r="AD214" s="304">
        <f t="shared" si="93"/>
        <v>0</v>
      </c>
      <c r="AE214" s="305">
        <f t="shared" si="94"/>
        <v>0</v>
      </c>
    </row>
    <row r="215" spans="1:32" ht="33" hidden="1" customHeight="1" outlineLevel="2" x14ac:dyDescent="0.3">
      <c r="A215" s="140"/>
      <c r="B215" s="334" t="s">
        <v>1355</v>
      </c>
      <c r="C215" s="78" t="s">
        <v>364</v>
      </c>
      <c r="D215" s="255">
        <v>10</v>
      </c>
      <c r="E215" s="64"/>
      <c r="F215" s="265">
        <f t="shared" si="84"/>
        <v>1</v>
      </c>
      <c r="G215" s="215">
        <v>12.32</v>
      </c>
      <c r="H215" s="272"/>
      <c r="I215" s="236"/>
      <c r="J215" s="265"/>
      <c r="K215" s="193"/>
      <c r="L215" s="272"/>
      <c r="M215" s="236"/>
      <c r="N215" s="265"/>
      <c r="O215" s="193"/>
      <c r="P215" s="282">
        <v>6.18</v>
      </c>
      <c r="Q215" s="236">
        <f t="shared" si="85"/>
        <v>10</v>
      </c>
      <c r="R215" s="265">
        <f t="shared" si="86"/>
        <v>5</v>
      </c>
      <c r="S215" s="193">
        <f t="shared" si="87"/>
        <v>49</v>
      </c>
      <c r="T215" s="230"/>
      <c r="U215" s="290"/>
      <c r="V215" s="200"/>
      <c r="W215" s="232">
        <f t="shared" si="91"/>
        <v>10</v>
      </c>
      <c r="X215" s="289">
        <v>12</v>
      </c>
      <c r="Y215" s="199">
        <f t="shared" si="92"/>
        <v>120</v>
      </c>
      <c r="Z215" s="149"/>
      <c r="AA215" s="150"/>
      <c r="AB215" s="101">
        <f t="shared" si="90"/>
        <v>0</v>
      </c>
      <c r="AC215" s="226"/>
      <c r="AD215" s="302">
        <f t="shared" si="93"/>
        <v>-7</v>
      </c>
      <c r="AE215" s="202">
        <f t="shared" si="94"/>
        <v>-71</v>
      </c>
    </row>
    <row r="216" spans="1:32" ht="19.5" hidden="1" customHeight="1" outlineLevel="2" x14ac:dyDescent="0.3">
      <c r="A216" s="140"/>
      <c r="B216" s="334" t="s">
        <v>376</v>
      </c>
      <c r="C216" s="78" t="s">
        <v>28</v>
      </c>
      <c r="D216" s="255">
        <v>4.9000000000000002E-2</v>
      </c>
      <c r="E216" s="64" t="s">
        <v>887</v>
      </c>
      <c r="F216" s="265">
        <f t="shared" si="84"/>
        <v>5547</v>
      </c>
      <c r="G216" s="215">
        <v>271.81</v>
      </c>
      <c r="H216" s="272"/>
      <c r="I216" s="236"/>
      <c r="J216" s="265"/>
      <c r="K216" s="193"/>
      <c r="L216" s="272"/>
      <c r="M216" s="236"/>
      <c r="N216" s="265"/>
      <c r="O216" s="193"/>
      <c r="P216" s="282">
        <v>6.18</v>
      </c>
      <c r="Q216" s="236">
        <f t="shared" si="85"/>
        <v>4.9000000000000002E-2</v>
      </c>
      <c r="R216" s="265">
        <f t="shared" si="86"/>
        <v>27280</v>
      </c>
      <c r="S216" s="193">
        <f t="shared" si="87"/>
        <v>1337</v>
      </c>
      <c r="T216" s="230"/>
      <c r="U216" s="290"/>
      <c r="V216" s="200"/>
      <c r="W216" s="232">
        <f t="shared" si="91"/>
        <v>4.9000000000000002E-2</v>
      </c>
      <c r="X216" s="289">
        <v>39575</v>
      </c>
      <c r="Y216" s="199">
        <f t="shared" si="92"/>
        <v>1939.1750000000002</v>
      </c>
      <c r="Z216" s="149"/>
      <c r="AA216" s="150"/>
      <c r="AB216" s="101">
        <f t="shared" si="90"/>
        <v>0</v>
      </c>
      <c r="AC216" s="226"/>
      <c r="AD216" s="302">
        <f t="shared" si="93"/>
        <v>-12295</v>
      </c>
      <c r="AE216" s="202">
        <f t="shared" si="94"/>
        <v>-602.17500000000018</v>
      </c>
    </row>
    <row r="217" spans="1:32" ht="19.5" hidden="1" customHeight="1" outlineLevel="2" x14ac:dyDescent="0.3">
      <c r="A217" s="140"/>
      <c r="B217" s="334" t="s">
        <v>377</v>
      </c>
      <c r="C217" s="78" t="s">
        <v>28</v>
      </c>
      <c r="D217" s="255">
        <v>0.157</v>
      </c>
      <c r="E217" s="64" t="s">
        <v>940</v>
      </c>
      <c r="F217" s="265">
        <f t="shared" si="84"/>
        <v>6344</v>
      </c>
      <c r="G217" s="215">
        <v>995.93</v>
      </c>
      <c r="H217" s="272"/>
      <c r="I217" s="236"/>
      <c r="J217" s="265"/>
      <c r="K217" s="193"/>
      <c r="L217" s="272"/>
      <c r="M217" s="236"/>
      <c r="N217" s="265"/>
      <c r="O217" s="193"/>
      <c r="P217" s="282">
        <v>6.18</v>
      </c>
      <c r="Q217" s="236">
        <f t="shared" si="85"/>
        <v>0.157</v>
      </c>
      <c r="R217" s="265">
        <f t="shared" si="86"/>
        <v>31200</v>
      </c>
      <c r="S217" s="193">
        <f t="shared" si="87"/>
        <v>4898</v>
      </c>
      <c r="T217" s="230"/>
      <c r="U217" s="290"/>
      <c r="V217" s="200"/>
      <c r="W217" s="232">
        <f t="shared" si="91"/>
        <v>0.157</v>
      </c>
      <c r="X217" s="289">
        <v>39575</v>
      </c>
      <c r="Y217" s="199">
        <f t="shared" si="92"/>
        <v>6213.2749999999996</v>
      </c>
      <c r="Z217" s="149"/>
      <c r="AA217" s="150"/>
      <c r="AB217" s="101">
        <f t="shared" si="90"/>
        <v>0</v>
      </c>
      <c r="AC217" s="226"/>
      <c r="AD217" s="302">
        <f t="shared" si="93"/>
        <v>-8375</v>
      </c>
      <c r="AE217" s="202">
        <f t="shared" si="94"/>
        <v>-1315.2749999999996</v>
      </c>
    </row>
    <row r="218" spans="1:32" ht="33.75" hidden="1" customHeight="1" outlineLevel="2" x14ac:dyDescent="0.3">
      <c r="A218" s="140"/>
      <c r="B218" s="334" t="s">
        <v>378</v>
      </c>
      <c r="C218" s="78" t="s">
        <v>5</v>
      </c>
      <c r="D218" s="255">
        <v>10</v>
      </c>
      <c r="E218" s="64"/>
      <c r="F218" s="265">
        <f t="shared" si="84"/>
        <v>9</v>
      </c>
      <c r="G218" s="215">
        <v>90.83</v>
      </c>
      <c r="H218" s="272"/>
      <c r="I218" s="236"/>
      <c r="J218" s="265"/>
      <c r="K218" s="193"/>
      <c r="L218" s="272"/>
      <c r="M218" s="236"/>
      <c r="N218" s="265"/>
      <c r="O218" s="193"/>
      <c r="P218" s="282">
        <v>6.18</v>
      </c>
      <c r="Q218" s="236">
        <f t="shared" si="85"/>
        <v>10</v>
      </c>
      <c r="R218" s="265">
        <f t="shared" si="86"/>
        <v>44</v>
      </c>
      <c r="S218" s="193">
        <f t="shared" si="87"/>
        <v>443</v>
      </c>
      <c r="T218" s="230"/>
      <c r="U218" s="290"/>
      <c r="V218" s="200"/>
      <c r="W218" s="232">
        <f t="shared" si="91"/>
        <v>10</v>
      </c>
      <c r="X218" s="289">
        <v>45</v>
      </c>
      <c r="Y218" s="199">
        <f t="shared" si="92"/>
        <v>450</v>
      </c>
      <c r="Z218" s="149"/>
      <c r="AA218" s="150"/>
      <c r="AB218" s="101">
        <f t="shared" si="90"/>
        <v>0</v>
      </c>
      <c r="AC218" s="226"/>
      <c r="AD218" s="302">
        <f t="shared" si="93"/>
        <v>-1</v>
      </c>
      <c r="AE218" s="202">
        <f t="shared" si="94"/>
        <v>-7</v>
      </c>
    </row>
    <row r="219" spans="1:32" ht="19.5" hidden="1" customHeight="1" outlineLevel="2" x14ac:dyDescent="0.3">
      <c r="A219" s="140"/>
      <c r="B219" s="334" t="s">
        <v>889</v>
      </c>
      <c r="C219" s="78" t="s">
        <v>16</v>
      </c>
      <c r="D219" s="255">
        <v>0.4</v>
      </c>
      <c r="E219" s="64"/>
      <c r="F219" s="265">
        <f t="shared" si="84"/>
        <v>42</v>
      </c>
      <c r="G219" s="215">
        <v>16.78</v>
      </c>
      <c r="H219" s="272"/>
      <c r="I219" s="236"/>
      <c r="J219" s="265"/>
      <c r="K219" s="193"/>
      <c r="L219" s="272"/>
      <c r="M219" s="236"/>
      <c r="N219" s="265"/>
      <c r="O219" s="193"/>
      <c r="P219" s="282">
        <v>6.18</v>
      </c>
      <c r="Q219" s="236">
        <f t="shared" si="85"/>
        <v>0.4</v>
      </c>
      <c r="R219" s="265">
        <f t="shared" si="86"/>
        <v>207</v>
      </c>
      <c r="S219" s="193">
        <f t="shared" si="87"/>
        <v>83</v>
      </c>
      <c r="T219" s="230"/>
      <c r="U219" s="290"/>
      <c r="V219" s="200"/>
      <c r="W219" s="232">
        <f t="shared" si="91"/>
        <v>0.4</v>
      </c>
      <c r="X219" s="289">
        <v>108</v>
      </c>
      <c r="Y219" s="199">
        <f t="shared" si="92"/>
        <v>43.2</v>
      </c>
      <c r="Z219" s="149"/>
      <c r="AA219" s="150"/>
      <c r="AB219" s="101">
        <f t="shared" si="90"/>
        <v>0</v>
      </c>
      <c r="AC219" s="226"/>
      <c r="AD219" s="304">
        <f t="shared" si="93"/>
        <v>99</v>
      </c>
      <c r="AE219" s="305">
        <f t="shared" si="94"/>
        <v>39.799999999999997</v>
      </c>
    </row>
    <row r="220" spans="1:32" ht="36.75" hidden="1" customHeight="1" outlineLevel="2" x14ac:dyDescent="0.3">
      <c r="A220" s="140"/>
      <c r="B220" s="334" t="s">
        <v>886</v>
      </c>
      <c r="C220" s="78" t="s">
        <v>534</v>
      </c>
      <c r="D220" s="255">
        <v>20</v>
      </c>
      <c r="E220" s="64"/>
      <c r="F220" s="265">
        <f t="shared" si="84"/>
        <v>8</v>
      </c>
      <c r="G220" s="215">
        <v>153.28</v>
      </c>
      <c r="H220" s="272"/>
      <c r="I220" s="236"/>
      <c r="J220" s="265"/>
      <c r="K220" s="193"/>
      <c r="L220" s="272"/>
      <c r="M220" s="236"/>
      <c r="N220" s="265"/>
      <c r="O220" s="193"/>
      <c r="P220" s="282">
        <v>6.18</v>
      </c>
      <c r="Q220" s="236">
        <f t="shared" si="85"/>
        <v>20</v>
      </c>
      <c r="R220" s="265">
        <f t="shared" si="86"/>
        <v>39</v>
      </c>
      <c r="S220" s="193">
        <f t="shared" si="87"/>
        <v>787</v>
      </c>
      <c r="T220" s="230"/>
      <c r="U220" s="290"/>
      <c r="V220" s="200"/>
      <c r="W220" s="232">
        <f t="shared" si="91"/>
        <v>20</v>
      </c>
      <c r="X220" s="289">
        <v>27</v>
      </c>
      <c r="Y220" s="199">
        <f t="shared" si="92"/>
        <v>540</v>
      </c>
      <c r="Z220" s="149"/>
      <c r="AA220" s="150"/>
      <c r="AB220" s="101">
        <f t="shared" si="90"/>
        <v>0</v>
      </c>
      <c r="AC220" s="226"/>
      <c r="AD220" s="304">
        <f t="shared" si="93"/>
        <v>12</v>
      </c>
      <c r="AE220" s="305">
        <f t="shared" si="94"/>
        <v>247</v>
      </c>
    </row>
    <row r="221" spans="1:32" ht="20.25" hidden="1" customHeight="1" outlineLevel="2" x14ac:dyDescent="0.3">
      <c r="A221" s="42"/>
      <c r="B221" s="334" t="s">
        <v>380</v>
      </c>
      <c r="C221" s="78" t="s">
        <v>5</v>
      </c>
      <c r="D221" s="255">
        <v>0.3</v>
      </c>
      <c r="E221" s="64"/>
      <c r="F221" s="265">
        <f t="shared" si="84"/>
        <v>2</v>
      </c>
      <c r="G221" s="215">
        <v>0.54</v>
      </c>
      <c r="H221" s="272"/>
      <c r="I221" s="236"/>
      <c r="J221" s="265"/>
      <c r="K221" s="193"/>
      <c r="L221" s="272"/>
      <c r="M221" s="236"/>
      <c r="N221" s="265"/>
      <c r="O221" s="193"/>
      <c r="P221" s="282">
        <v>6.18</v>
      </c>
      <c r="Q221" s="236">
        <f t="shared" si="85"/>
        <v>0.3</v>
      </c>
      <c r="R221" s="265">
        <f t="shared" si="86"/>
        <v>10</v>
      </c>
      <c r="S221" s="193">
        <f t="shared" si="87"/>
        <v>3</v>
      </c>
      <c r="T221" s="230"/>
      <c r="U221" s="290"/>
      <c r="V221" s="200"/>
      <c r="W221" s="232">
        <f t="shared" si="91"/>
        <v>0.3</v>
      </c>
      <c r="X221" s="289">
        <v>60</v>
      </c>
      <c r="Y221" s="199">
        <f t="shared" si="92"/>
        <v>18</v>
      </c>
      <c r="Z221" s="149"/>
      <c r="AA221" s="150"/>
      <c r="AB221" s="101">
        <f t="shared" si="90"/>
        <v>0</v>
      </c>
      <c r="AC221" s="226"/>
      <c r="AD221" s="302">
        <f t="shared" si="93"/>
        <v>-50</v>
      </c>
      <c r="AE221" s="202">
        <f t="shared" si="94"/>
        <v>-15</v>
      </c>
    </row>
    <row r="222" spans="1:32" ht="19.5" hidden="1" customHeight="1" outlineLevel="2" x14ac:dyDescent="0.3">
      <c r="A222" s="42"/>
      <c r="B222" s="334" t="s">
        <v>379</v>
      </c>
      <c r="C222" s="78" t="s">
        <v>28</v>
      </c>
      <c r="D222" s="255">
        <v>3.6999999999999998E-2</v>
      </c>
      <c r="E222" s="64"/>
      <c r="F222" s="265">
        <f t="shared" si="84"/>
        <v>73945</v>
      </c>
      <c r="G222" s="215">
        <v>2735.95</v>
      </c>
      <c r="H222" s="272"/>
      <c r="I222" s="236"/>
      <c r="J222" s="265"/>
      <c r="K222" s="193"/>
      <c r="L222" s="272"/>
      <c r="M222" s="236"/>
      <c r="N222" s="265"/>
      <c r="O222" s="193"/>
      <c r="P222" s="282">
        <v>6.18</v>
      </c>
      <c r="Q222" s="236">
        <f t="shared" si="85"/>
        <v>3.6999999999999998E-2</v>
      </c>
      <c r="R222" s="265">
        <f t="shared" si="86"/>
        <v>363665</v>
      </c>
      <c r="S222" s="193">
        <f t="shared" si="87"/>
        <v>13456</v>
      </c>
      <c r="T222" s="230"/>
      <c r="U222" s="290"/>
      <c r="V222" s="200"/>
      <c r="W222" s="232">
        <f t="shared" si="91"/>
        <v>3.6999999999999998E-2</v>
      </c>
      <c r="X222" s="289">
        <v>198400</v>
      </c>
      <c r="Y222" s="199">
        <f t="shared" si="92"/>
        <v>7340.7999999999993</v>
      </c>
      <c r="Z222" s="149"/>
      <c r="AA222" s="150"/>
      <c r="AB222" s="101">
        <f t="shared" si="90"/>
        <v>0</v>
      </c>
      <c r="AC222" s="226"/>
      <c r="AD222" s="304">
        <f t="shared" si="93"/>
        <v>165265</v>
      </c>
      <c r="AE222" s="305">
        <f t="shared" si="94"/>
        <v>6115.2000000000007</v>
      </c>
    </row>
    <row r="223" spans="1:32" s="95" customFormat="1" hidden="1" outlineLevel="1" x14ac:dyDescent="0.3">
      <c r="A223" s="98"/>
      <c r="B223" s="160"/>
      <c r="C223" s="107"/>
      <c r="D223" s="253"/>
      <c r="E223" s="98"/>
      <c r="F223" s="154"/>
      <c r="G223" s="214"/>
      <c r="H223" s="154"/>
      <c r="I223" s="231"/>
      <c r="J223" s="154"/>
      <c r="K223" s="194"/>
      <c r="L223" s="154"/>
      <c r="M223" s="231"/>
      <c r="N223" s="154"/>
      <c r="O223" s="194"/>
      <c r="P223" s="154"/>
      <c r="Q223" s="231"/>
      <c r="R223" s="286"/>
      <c r="S223" s="194"/>
      <c r="T223" s="231"/>
      <c r="U223" s="155"/>
      <c r="V223" s="194"/>
      <c r="W223" s="231"/>
      <c r="X223" s="155"/>
      <c r="Y223" s="194"/>
      <c r="Z223" s="157"/>
      <c r="AA223" s="156"/>
      <c r="AB223" s="156"/>
      <c r="AC223" s="194"/>
      <c r="AD223" s="155"/>
      <c r="AE223" s="194"/>
    </row>
    <row r="224" spans="1:32" ht="26.25" hidden="1" customHeight="1" outlineLevel="1" x14ac:dyDescent="0.3">
      <c r="A224" s="399"/>
      <c r="B224" s="1082" t="s">
        <v>382</v>
      </c>
      <c r="C224" s="1083"/>
      <c r="D224" s="1083"/>
      <c r="E224" s="1083"/>
      <c r="F224" s="1084"/>
      <c r="G224" s="333">
        <f>SUM(G225:G252)</f>
        <v>19348.109999999997</v>
      </c>
      <c r="H224" s="320"/>
      <c r="I224" s="320"/>
      <c r="J224" s="320"/>
      <c r="K224" s="336">
        <f>SUM(K225:K252)</f>
        <v>0</v>
      </c>
      <c r="L224" s="337"/>
      <c r="M224" s="337"/>
      <c r="N224" s="337"/>
      <c r="O224" s="336">
        <f>SUM(O225:O252)</f>
        <v>0</v>
      </c>
      <c r="P224" s="337"/>
      <c r="Q224" s="337"/>
      <c r="R224" s="337"/>
      <c r="S224" s="336">
        <f>SUM(S225:S252)</f>
        <v>95774</v>
      </c>
      <c r="T224" s="320"/>
      <c r="U224" s="322"/>
      <c r="V224" s="336">
        <f>SUM(V225:V252)</f>
        <v>0</v>
      </c>
      <c r="W224" s="320"/>
      <c r="X224" s="322"/>
      <c r="Y224" s="336">
        <f>SUM(Y225:Y252)</f>
        <v>132155.92000000001</v>
      </c>
      <c r="Z224" s="322"/>
      <c r="AA224" s="322"/>
      <c r="AB224" s="322"/>
      <c r="AC224" s="322"/>
      <c r="AD224" s="322"/>
      <c r="AE224" s="338">
        <f>SUM(AE225:AE252)</f>
        <v>-36381.919999999998</v>
      </c>
      <c r="AF224" s="324">
        <f>AE224/S224</f>
        <v>-0.37987261678534884</v>
      </c>
    </row>
    <row r="225" spans="1:31" hidden="1" outlineLevel="2" x14ac:dyDescent="0.3">
      <c r="B225" s="334" t="s">
        <v>383</v>
      </c>
      <c r="C225" s="78" t="s">
        <v>16</v>
      </c>
      <c r="D225" s="255">
        <v>4.1000000000000002E-2</v>
      </c>
      <c r="E225" s="64"/>
      <c r="F225" s="265">
        <f t="shared" ref="F225:F246" si="95">ROUND(G225/D225,0)</f>
        <v>2669</v>
      </c>
      <c r="G225" s="215">
        <v>109.43</v>
      </c>
      <c r="H225" s="272"/>
      <c r="I225" s="236"/>
      <c r="J225" s="265"/>
      <c r="K225" s="193"/>
      <c r="L225" s="272"/>
      <c r="M225" s="236"/>
      <c r="N225" s="265"/>
      <c r="O225" s="193"/>
      <c r="P225" s="282">
        <v>6.18</v>
      </c>
      <c r="Q225" s="236">
        <f t="shared" ref="Q225:Q246" si="96">D225-I225-M225</f>
        <v>4.1000000000000002E-2</v>
      </c>
      <c r="R225" s="265">
        <f t="shared" ref="R225:R246" si="97">ROUND(F225*P225*0.7958,0)</f>
        <v>13126</v>
      </c>
      <c r="S225" s="193">
        <f t="shared" ref="S225:S246" si="98">ROUND(Q225*P225*F225*0.7958,0)</f>
        <v>538</v>
      </c>
      <c r="T225" s="230"/>
      <c r="U225" s="290"/>
      <c r="V225" s="200"/>
      <c r="W225" s="232">
        <f t="shared" ref="W225" si="99">D225</f>
        <v>4.1000000000000002E-2</v>
      </c>
      <c r="X225" s="289">
        <v>110</v>
      </c>
      <c r="Y225" s="199">
        <f t="shared" ref="Y225" si="100">W225*X225</f>
        <v>4.51</v>
      </c>
      <c r="Z225" s="153"/>
      <c r="AA225" s="147"/>
      <c r="AB225" s="101">
        <f t="shared" ref="AB225:AB246" si="101">ROUND(Z225*AA225,0)</f>
        <v>0</v>
      </c>
      <c r="AC225" s="226"/>
      <c r="AD225" s="304">
        <f>R225-X225</f>
        <v>13016</v>
      </c>
      <c r="AE225" s="305">
        <f>S225-Y225</f>
        <v>533.49</v>
      </c>
    </row>
    <row r="226" spans="1:31" hidden="1" outlineLevel="2" x14ac:dyDescent="0.3">
      <c r="B226" s="334" t="s">
        <v>384</v>
      </c>
      <c r="C226" s="78" t="s">
        <v>40</v>
      </c>
      <c r="D226" s="255">
        <v>33</v>
      </c>
      <c r="E226" s="64"/>
      <c r="F226" s="265">
        <f t="shared" si="95"/>
        <v>4</v>
      </c>
      <c r="G226" s="215">
        <v>132</v>
      </c>
      <c r="H226" s="272"/>
      <c r="I226" s="236"/>
      <c r="J226" s="265"/>
      <c r="K226" s="193"/>
      <c r="L226" s="272"/>
      <c r="M226" s="236"/>
      <c r="N226" s="265"/>
      <c r="O226" s="193"/>
      <c r="P226" s="282">
        <v>6.18</v>
      </c>
      <c r="Q226" s="236">
        <f t="shared" si="96"/>
        <v>33</v>
      </c>
      <c r="R226" s="265">
        <f t="shared" si="97"/>
        <v>20</v>
      </c>
      <c r="S226" s="193">
        <f t="shared" si="98"/>
        <v>649</v>
      </c>
      <c r="T226" s="230"/>
      <c r="U226" s="290"/>
      <c r="V226" s="200"/>
      <c r="W226" s="232">
        <f t="shared" ref="W226:W241" si="102">D226</f>
        <v>33</v>
      </c>
      <c r="X226" s="289">
        <v>6.5</v>
      </c>
      <c r="Y226" s="199">
        <f t="shared" ref="Y226:Y240" si="103">W226*X226</f>
        <v>214.5</v>
      </c>
      <c r="Z226" s="153"/>
      <c r="AA226" s="147"/>
      <c r="AB226" s="101">
        <f t="shared" si="101"/>
        <v>0</v>
      </c>
      <c r="AC226" s="226"/>
      <c r="AD226" s="304">
        <f t="shared" ref="AD226:AD252" si="104">R226-X226</f>
        <v>13.5</v>
      </c>
      <c r="AE226" s="305">
        <f t="shared" ref="AE226:AE252" si="105">S226-Y226</f>
        <v>434.5</v>
      </c>
    </row>
    <row r="227" spans="1:31" ht="32.25" hidden="1" customHeight="1" outlineLevel="2" x14ac:dyDescent="0.3">
      <c r="B227" s="334" t="s">
        <v>385</v>
      </c>
      <c r="C227" s="78" t="s">
        <v>5</v>
      </c>
      <c r="D227" s="255">
        <v>15</v>
      </c>
      <c r="E227" s="64"/>
      <c r="F227" s="265">
        <f t="shared" si="95"/>
        <v>13</v>
      </c>
      <c r="G227" s="215">
        <v>190.7</v>
      </c>
      <c r="H227" s="272"/>
      <c r="I227" s="236"/>
      <c r="J227" s="265"/>
      <c r="K227" s="193"/>
      <c r="L227" s="272"/>
      <c r="M227" s="236"/>
      <c r="N227" s="265"/>
      <c r="O227" s="193"/>
      <c r="P227" s="282">
        <v>6.18</v>
      </c>
      <c r="Q227" s="236">
        <f t="shared" si="96"/>
        <v>15</v>
      </c>
      <c r="R227" s="265">
        <f t="shared" si="97"/>
        <v>64</v>
      </c>
      <c r="S227" s="193">
        <f t="shared" si="98"/>
        <v>959</v>
      </c>
      <c r="T227" s="230"/>
      <c r="U227" s="290"/>
      <c r="V227" s="200"/>
      <c r="W227" s="232">
        <f t="shared" si="102"/>
        <v>15</v>
      </c>
      <c r="X227" s="289">
        <v>58.4</v>
      </c>
      <c r="Y227" s="199">
        <f t="shared" si="103"/>
        <v>876</v>
      </c>
      <c r="Z227" s="153"/>
      <c r="AA227" s="147"/>
      <c r="AB227" s="101">
        <f t="shared" si="101"/>
        <v>0</v>
      </c>
      <c r="AC227" s="226"/>
      <c r="AD227" s="304">
        <f t="shared" si="104"/>
        <v>5.6000000000000014</v>
      </c>
      <c r="AE227" s="305">
        <f t="shared" si="105"/>
        <v>83</v>
      </c>
    </row>
    <row r="228" spans="1:31" ht="32.25" hidden="1" customHeight="1" outlineLevel="2" x14ac:dyDescent="0.3">
      <c r="B228" s="334" t="s">
        <v>386</v>
      </c>
      <c r="C228" s="78" t="s">
        <v>5</v>
      </c>
      <c r="D228" s="255">
        <v>50</v>
      </c>
      <c r="E228" s="64"/>
      <c r="F228" s="265">
        <f t="shared" si="95"/>
        <v>8</v>
      </c>
      <c r="G228" s="215">
        <v>393.45</v>
      </c>
      <c r="H228" s="272"/>
      <c r="I228" s="236"/>
      <c r="J228" s="265"/>
      <c r="K228" s="193"/>
      <c r="L228" s="272"/>
      <c r="M228" s="236"/>
      <c r="N228" s="265"/>
      <c r="O228" s="193"/>
      <c r="P228" s="282">
        <v>6.18</v>
      </c>
      <c r="Q228" s="236">
        <f>D228-I228-M228</f>
        <v>50</v>
      </c>
      <c r="R228" s="265">
        <f t="shared" si="97"/>
        <v>39</v>
      </c>
      <c r="S228" s="193">
        <f t="shared" si="98"/>
        <v>1967</v>
      </c>
      <c r="T228" s="230"/>
      <c r="U228" s="290"/>
      <c r="V228" s="200"/>
      <c r="W228" s="232">
        <f t="shared" si="102"/>
        <v>50</v>
      </c>
      <c r="X228" s="289">
        <v>34.6</v>
      </c>
      <c r="Y228" s="199">
        <f t="shared" si="103"/>
        <v>1730</v>
      </c>
      <c r="Z228" s="153"/>
      <c r="AA228" s="147"/>
      <c r="AB228" s="101">
        <f t="shared" si="101"/>
        <v>0</v>
      </c>
      <c r="AC228" s="226"/>
      <c r="AD228" s="304">
        <f t="shared" si="104"/>
        <v>4.3999999999999986</v>
      </c>
      <c r="AE228" s="305">
        <f t="shared" si="105"/>
        <v>237</v>
      </c>
    </row>
    <row r="229" spans="1:31" ht="32.25" hidden="1" customHeight="1" outlineLevel="2" x14ac:dyDescent="0.3">
      <c r="B229" s="334" t="s">
        <v>387</v>
      </c>
      <c r="C229" s="78" t="s">
        <v>5</v>
      </c>
      <c r="D229" s="255">
        <v>220</v>
      </c>
      <c r="E229" s="64"/>
      <c r="F229" s="265">
        <f t="shared" si="95"/>
        <v>12</v>
      </c>
      <c r="G229" s="215">
        <v>2538.4899999999998</v>
      </c>
      <c r="H229" s="272"/>
      <c r="I229" s="236"/>
      <c r="J229" s="265"/>
      <c r="K229" s="193"/>
      <c r="L229" s="272"/>
      <c r="M229" s="236"/>
      <c r="N229" s="265"/>
      <c r="O229" s="193"/>
      <c r="P229" s="282">
        <v>6.18</v>
      </c>
      <c r="Q229" s="236">
        <f t="shared" si="96"/>
        <v>220</v>
      </c>
      <c r="R229" s="265">
        <f t="shared" si="97"/>
        <v>59</v>
      </c>
      <c r="S229" s="193">
        <f t="shared" si="98"/>
        <v>12984</v>
      </c>
      <c r="T229" s="230"/>
      <c r="U229" s="290"/>
      <c r="V229" s="200"/>
      <c r="W229" s="232">
        <f t="shared" si="102"/>
        <v>220</v>
      </c>
      <c r="X229" s="289">
        <v>53.28</v>
      </c>
      <c r="Y229" s="199">
        <f t="shared" si="103"/>
        <v>11721.6</v>
      </c>
      <c r="Z229" s="153"/>
      <c r="AA229" s="147"/>
      <c r="AB229" s="101">
        <f t="shared" si="101"/>
        <v>0</v>
      </c>
      <c r="AC229" s="226"/>
      <c r="AD229" s="304">
        <f t="shared" si="104"/>
        <v>5.7199999999999989</v>
      </c>
      <c r="AE229" s="305">
        <f t="shared" si="105"/>
        <v>1262.3999999999996</v>
      </c>
    </row>
    <row r="230" spans="1:31" ht="32.25" hidden="1" customHeight="1" outlineLevel="2" x14ac:dyDescent="0.3">
      <c r="B230" s="334" t="s">
        <v>388</v>
      </c>
      <c r="C230" s="78" t="s">
        <v>5</v>
      </c>
      <c r="D230" s="255">
        <v>35</v>
      </c>
      <c r="E230" s="64"/>
      <c r="F230" s="265">
        <f t="shared" si="95"/>
        <v>16</v>
      </c>
      <c r="G230" s="215">
        <v>564.63</v>
      </c>
      <c r="H230" s="272"/>
      <c r="I230" s="236"/>
      <c r="J230" s="265"/>
      <c r="K230" s="193"/>
      <c r="L230" s="272"/>
      <c r="M230" s="236"/>
      <c r="N230" s="265"/>
      <c r="O230" s="193"/>
      <c r="P230" s="282">
        <v>6.18</v>
      </c>
      <c r="Q230" s="236">
        <f t="shared" si="96"/>
        <v>35</v>
      </c>
      <c r="R230" s="265">
        <f t="shared" si="97"/>
        <v>79</v>
      </c>
      <c r="S230" s="193">
        <f t="shared" si="98"/>
        <v>2754</v>
      </c>
      <c r="T230" s="230"/>
      <c r="U230" s="290"/>
      <c r="V230" s="200"/>
      <c r="W230" s="232">
        <f t="shared" si="102"/>
        <v>35</v>
      </c>
      <c r="X230" s="289">
        <v>81.53</v>
      </c>
      <c r="Y230" s="199">
        <f t="shared" si="103"/>
        <v>2853.55</v>
      </c>
      <c r="Z230" s="153"/>
      <c r="AA230" s="147"/>
      <c r="AB230" s="101">
        <f t="shared" si="101"/>
        <v>0</v>
      </c>
      <c r="AC230" s="226"/>
      <c r="AD230" s="302">
        <f t="shared" si="104"/>
        <v>-2.5300000000000011</v>
      </c>
      <c r="AE230" s="202">
        <f t="shared" si="105"/>
        <v>-99.550000000000182</v>
      </c>
    </row>
    <row r="231" spans="1:31" ht="32.25" hidden="1" customHeight="1" outlineLevel="2" x14ac:dyDescent="0.3">
      <c r="B231" s="334" t="s">
        <v>389</v>
      </c>
      <c r="C231" s="78" t="s">
        <v>5</v>
      </c>
      <c r="D231" s="255">
        <v>20</v>
      </c>
      <c r="E231" s="64"/>
      <c r="F231" s="265">
        <f t="shared" si="95"/>
        <v>12</v>
      </c>
      <c r="G231" s="215">
        <v>248.17</v>
      </c>
      <c r="H231" s="272"/>
      <c r="I231" s="236"/>
      <c r="J231" s="265"/>
      <c r="K231" s="193"/>
      <c r="L231" s="272"/>
      <c r="M231" s="236"/>
      <c r="N231" s="265"/>
      <c r="O231" s="193"/>
      <c r="P231" s="282">
        <v>6.18</v>
      </c>
      <c r="Q231" s="236">
        <f t="shared" si="96"/>
        <v>20</v>
      </c>
      <c r="R231" s="265">
        <f t="shared" si="97"/>
        <v>59</v>
      </c>
      <c r="S231" s="193">
        <f t="shared" si="98"/>
        <v>1180</v>
      </c>
      <c r="T231" s="230"/>
      <c r="U231" s="290"/>
      <c r="V231" s="200"/>
      <c r="W231" s="232">
        <f t="shared" si="102"/>
        <v>20</v>
      </c>
      <c r="X231" s="289">
        <v>53.82</v>
      </c>
      <c r="Y231" s="199">
        <f t="shared" si="103"/>
        <v>1076.4000000000001</v>
      </c>
      <c r="Z231" s="153"/>
      <c r="AA231" s="147"/>
      <c r="AB231" s="101">
        <f t="shared" si="101"/>
        <v>0</v>
      </c>
      <c r="AC231" s="226"/>
      <c r="AD231" s="304">
        <f t="shared" si="104"/>
        <v>5.18</v>
      </c>
      <c r="AE231" s="305">
        <f t="shared" si="105"/>
        <v>103.59999999999991</v>
      </c>
    </row>
    <row r="232" spans="1:31" ht="32.25" hidden="1" customHeight="1" outlineLevel="2" x14ac:dyDescent="0.3">
      <c r="B232" s="334" t="s">
        <v>390</v>
      </c>
      <c r="C232" s="78" t="s">
        <v>5</v>
      </c>
      <c r="D232" s="255">
        <v>35</v>
      </c>
      <c r="E232" s="64"/>
      <c r="F232" s="265">
        <f t="shared" si="95"/>
        <v>79</v>
      </c>
      <c r="G232" s="215">
        <v>2775.06</v>
      </c>
      <c r="H232" s="272"/>
      <c r="I232" s="236"/>
      <c r="J232" s="265"/>
      <c r="K232" s="193"/>
      <c r="L232" s="272"/>
      <c r="M232" s="236"/>
      <c r="N232" s="265"/>
      <c r="O232" s="193"/>
      <c r="P232" s="282">
        <v>6.18</v>
      </c>
      <c r="Q232" s="236">
        <f t="shared" si="96"/>
        <v>35</v>
      </c>
      <c r="R232" s="265">
        <f t="shared" si="97"/>
        <v>389</v>
      </c>
      <c r="S232" s="193">
        <f t="shared" si="98"/>
        <v>13598</v>
      </c>
      <c r="T232" s="230"/>
      <c r="U232" s="290"/>
      <c r="V232" s="200"/>
      <c r="W232" s="232">
        <f t="shared" si="102"/>
        <v>35</v>
      </c>
      <c r="X232" s="289">
        <v>491.84</v>
      </c>
      <c r="Y232" s="199">
        <f t="shared" si="103"/>
        <v>17214.399999999998</v>
      </c>
      <c r="Z232" s="153"/>
      <c r="AA232" s="147"/>
      <c r="AB232" s="101">
        <f t="shared" si="101"/>
        <v>0</v>
      </c>
      <c r="AC232" s="226"/>
      <c r="AD232" s="302">
        <f t="shared" si="104"/>
        <v>-102.83999999999997</v>
      </c>
      <c r="AE232" s="202">
        <f t="shared" si="105"/>
        <v>-3616.3999999999978</v>
      </c>
    </row>
    <row r="233" spans="1:31" ht="32.25" hidden="1" customHeight="1" outlineLevel="2" x14ac:dyDescent="0.3">
      <c r="B233" s="334" t="s">
        <v>391</v>
      </c>
      <c r="C233" s="78" t="s">
        <v>5</v>
      </c>
      <c r="D233" s="255">
        <v>180</v>
      </c>
      <c r="E233" s="64"/>
      <c r="F233" s="265">
        <f t="shared" si="95"/>
        <v>17</v>
      </c>
      <c r="G233" s="215">
        <v>2977.18</v>
      </c>
      <c r="H233" s="272"/>
      <c r="I233" s="236"/>
      <c r="J233" s="265"/>
      <c r="K233" s="193"/>
      <c r="L233" s="272"/>
      <c r="M233" s="236"/>
      <c r="N233" s="265"/>
      <c r="O233" s="193"/>
      <c r="P233" s="282">
        <v>6.18</v>
      </c>
      <c r="Q233" s="236">
        <f t="shared" si="96"/>
        <v>180</v>
      </c>
      <c r="R233" s="265">
        <f t="shared" si="97"/>
        <v>84</v>
      </c>
      <c r="S233" s="193">
        <f t="shared" si="98"/>
        <v>15049</v>
      </c>
      <c r="T233" s="230"/>
      <c r="U233" s="290"/>
      <c r="V233" s="200"/>
      <c r="W233" s="232">
        <f t="shared" si="102"/>
        <v>180</v>
      </c>
      <c r="X233" s="289">
        <v>84.32</v>
      </c>
      <c r="Y233" s="199">
        <f t="shared" si="103"/>
        <v>15177.599999999999</v>
      </c>
      <c r="Z233" s="153"/>
      <c r="AA233" s="147"/>
      <c r="AB233" s="101">
        <f t="shared" si="101"/>
        <v>0</v>
      </c>
      <c r="AC233" s="226"/>
      <c r="AD233" s="340">
        <f>R233-X233</f>
        <v>-0.31999999999999318</v>
      </c>
      <c r="AE233" s="202">
        <f t="shared" si="105"/>
        <v>-128.59999999999854</v>
      </c>
    </row>
    <row r="234" spans="1:31" ht="32.25" hidden="1" customHeight="1" outlineLevel="2" x14ac:dyDescent="0.3">
      <c r="B234" s="334" t="s">
        <v>392</v>
      </c>
      <c r="C234" s="78" t="s">
        <v>5</v>
      </c>
      <c r="D234" s="255">
        <v>40</v>
      </c>
      <c r="E234" s="64"/>
      <c r="F234" s="265">
        <f t="shared" si="95"/>
        <v>23</v>
      </c>
      <c r="G234" s="215">
        <v>909.15</v>
      </c>
      <c r="H234" s="272"/>
      <c r="I234" s="236"/>
      <c r="J234" s="265"/>
      <c r="K234" s="193"/>
      <c r="L234" s="272"/>
      <c r="M234" s="236"/>
      <c r="N234" s="265"/>
      <c r="O234" s="193"/>
      <c r="P234" s="282">
        <v>6.18</v>
      </c>
      <c r="Q234" s="236">
        <f t="shared" si="96"/>
        <v>40</v>
      </c>
      <c r="R234" s="265">
        <f t="shared" si="97"/>
        <v>113</v>
      </c>
      <c r="S234" s="193">
        <f t="shared" si="98"/>
        <v>4525</v>
      </c>
      <c r="T234" s="230"/>
      <c r="U234" s="290"/>
      <c r="V234" s="200"/>
      <c r="W234" s="232">
        <f t="shared" si="102"/>
        <v>40</v>
      </c>
      <c r="X234" s="289">
        <v>130.97999999999999</v>
      </c>
      <c r="Y234" s="199">
        <f t="shared" si="103"/>
        <v>5239.2</v>
      </c>
      <c r="Z234" s="153"/>
      <c r="AA234" s="147"/>
      <c r="AB234" s="101">
        <f t="shared" si="101"/>
        <v>0</v>
      </c>
      <c r="AC234" s="226"/>
      <c r="AD234" s="302">
        <f t="shared" si="104"/>
        <v>-17.97999999999999</v>
      </c>
      <c r="AE234" s="202">
        <f t="shared" si="105"/>
        <v>-714.19999999999982</v>
      </c>
    </row>
    <row r="235" spans="1:31" hidden="1" outlineLevel="2" x14ac:dyDescent="0.3">
      <c r="B235" s="334" t="s">
        <v>393</v>
      </c>
      <c r="C235" s="78" t="s">
        <v>5</v>
      </c>
      <c r="D235" s="255">
        <v>96</v>
      </c>
      <c r="E235" s="64"/>
      <c r="F235" s="265">
        <f t="shared" si="95"/>
        <v>14</v>
      </c>
      <c r="G235" s="215">
        <v>1381.44</v>
      </c>
      <c r="H235" s="272"/>
      <c r="I235" s="236"/>
      <c r="J235" s="265"/>
      <c r="K235" s="193"/>
      <c r="L235" s="272"/>
      <c r="M235" s="236"/>
      <c r="N235" s="265"/>
      <c r="O235" s="193"/>
      <c r="P235" s="282">
        <v>6.18</v>
      </c>
      <c r="Q235" s="236">
        <f t="shared" si="96"/>
        <v>96</v>
      </c>
      <c r="R235" s="265">
        <f t="shared" si="97"/>
        <v>69</v>
      </c>
      <c r="S235" s="193">
        <f t="shared" si="98"/>
        <v>6610</v>
      </c>
      <c r="T235" s="230"/>
      <c r="U235" s="290"/>
      <c r="V235" s="200"/>
      <c r="W235" s="232">
        <f t="shared" si="102"/>
        <v>96</v>
      </c>
      <c r="X235" s="289">
        <v>108</v>
      </c>
      <c r="Y235" s="199">
        <f t="shared" si="103"/>
        <v>10368</v>
      </c>
      <c r="Z235" s="153"/>
      <c r="AA235" s="147"/>
      <c r="AB235" s="101">
        <f t="shared" si="101"/>
        <v>0</v>
      </c>
      <c r="AC235" s="226"/>
      <c r="AD235" s="302">
        <f t="shared" si="104"/>
        <v>-39</v>
      </c>
      <c r="AE235" s="202">
        <f t="shared" si="105"/>
        <v>-3758</v>
      </c>
    </row>
    <row r="236" spans="1:31" hidden="1" outlineLevel="2" x14ac:dyDescent="0.3">
      <c r="B236" s="334" t="s">
        <v>394</v>
      </c>
      <c r="C236" s="78" t="s">
        <v>5</v>
      </c>
      <c r="D236" s="255">
        <v>14</v>
      </c>
      <c r="E236" s="64"/>
      <c r="F236" s="265">
        <f t="shared" si="95"/>
        <v>29</v>
      </c>
      <c r="G236" s="215">
        <v>402.92</v>
      </c>
      <c r="H236" s="272"/>
      <c r="I236" s="236"/>
      <c r="J236" s="265"/>
      <c r="K236" s="193"/>
      <c r="L236" s="272"/>
      <c r="M236" s="236"/>
      <c r="N236" s="265"/>
      <c r="O236" s="193"/>
      <c r="P236" s="282">
        <v>6.18</v>
      </c>
      <c r="Q236" s="236">
        <f t="shared" si="96"/>
        <v>14</v>
      </c>
      <c r="R236" s="265">
        <f t="shared" si="97"/>
        <v>143</v>
      </c>
      <c r="S236" s="193">
        <f t="shared" si="98"/>
        <v>1997</v>
      </c>
      <c r="T236" s="230"/>
      <c r="U236" s="290"/>
      <c r="V236" s="200"/>
      <c r="W236" s="232">
        <f t="shared" si="102"/>
        <v>14</v>
      </c>
      <c r="X236" s="289">
        <v>227</v>
      </c>
      <c r="Y236" s="199">
        <f t="shared" si="103"/>
        <v>3178</v>
      </c>
      <c r="Z236" s="153"/>
      <c r="AA236" s="147"/>
      <c r="AB236" s="101">
        <f t="shared" si="101"/>
        <v>0</v>
      </c>
      <c r="AC236" s="226"/>
      <c r="AD236" s="302">
        <f t="shared" si="104"/>
        <v>-84</v>
      </c>
      <c r="AE236" s="202">
        <f t="shared" si="105"/>
        <v>-1181</v>
      </c>
    </row>
    <row r="237" spans="1:31" hidden="1" outlineLevel="2" x14ac:dyDescent="0.3">
      <c r="B237" s="334" t="s">
        <v>395</v>
      </c>
      <c r="C237" s="78" t="s">
        <v>5</v>
      </c>
      <c r="D237" s="255">
        <v>10</v>
      </c>
      <c r="E237" s="64"/>
      <c r="F237" s="265">
        <f t="shared" si="95"/>
        <v>20</v>
      </c>
      <c r="G237" s="215">
        <v>201.6</v>
      </c>
      <c r="H237" s="272"/>
      <c r="I237" s="236"/>
      <c r="J237" s="265"/>
      <c r="K237" s="193"/>
      <c r="L237" s="272"/>
      <c r="M237" s="236"/>
      <c r="N237" s="265"/>
      <c r="O237" s="193"/>
      <c r="P237" s="282">
        <v>6.18</v>
      </c>
      <c r="Q237" s="236">
        <f t="shared" si="96"/>
        <v>10</v>
      </c>
      <c r="R237" s="265">
        <f t="shared" si="97"/>
        <v>98</v>
      </c>
      <c r="S237" s="193">
        <f t="shared" si="98"/>
        <v>984</v>
      </c>
      <c r="T237" s="230"/>
      <c r="U237" s="290"/>
      <c r="V237" s="200"/>
      <c r="W237" s="232">
        <f t="shared" si="102"/>
        <v>10</v>
      </c>
      <c r="X237" s="289">
        <v>55.08</v>
      </c>
      <c r="Y237" s="199">
        <f t="shared" si="103"/>
        <v>550.79999999999995</v>
      </c>
      <c r="Z237" s="153"/>
      <c r="AA237" s="147"/>
      <c r="AB237" s="101">
        <f t="shared" si="101"/>
        <v>0</v>
      </c>
      <c r="AC237" s="226"/>
      <c r="AD237" s="304">
        <f t="shared" si="104"/>
        <v>42.92</v>
      </c>
      <c r="AE237" s="305">
        <f t="shared" si="105"/>
        <v>433.20000000000005</v>
      </c>
    </row>
    <row r="238" spans="1:31" hidden="1" outlineLevel="2" x14ac:dyDescent="0.3">
      <c r="B238" s="334" t="s">
        <v>396</v>
      </c>
      <c r="C238" s="78" t="s">
        <v>5</v>
      </c>
      <c r="D238" s="255">
        <v>40</v>
      </c>
      <c r="E238" s="64"/>
      <c r="F238" s="265">
        <f t="shared" si="95"/>
        <v>72</v>
      </c>
      <c r="G238" s="215">
        <v>2878.4</v>
      </c>
      <c r="H238" s="272"/>
      <c r="I238" s="236"/>
      <c r="J238" s="265"/>
      <c r="K238" s="193"/>
      <c r="L238" s="272"/>
      <c r="M238" s="236"/>
      <c r="N238" s="265"/>
      <c r="O238" s="193"/>
      <c r="P238" s="282">
        <v>6.18</v>
      </c>
      <c r="Q238" s="236">
        <f t="shared" si="96"/>
        <v>40</v>
      </c>
      <c r="R238" s="265">
        <f t="shared" si="97"/>
        <v>354</v>
      </c>
      <c r="S238" s="193">
        <f t="shared" si="98"/>
        <v>14164</v>
      </c>
      <c r="T238" s="230"/>
      <c r="U238" s="290"/>
      <c r="V238" s="200"/>
      <c r="W238" s="232">
        <f t="shared" si="102"/>
        <v>40</v>
      </c>
      <c r="X238" s="289">
        <v>210</v>
      </c>
      <c r="Y238" s="199">
        <f t="shared" si="103"/>
        <v>8400</v>
      </c>
      <c r="Z238" s="153"/>
      <c r="AA238" s="147"/>
      <c r="AB238" s="101">
        <f t="shared" si="101"/>
        <v>0</v>
      </c>
      <c r="AC238" s="226"/>
      <c r="AD238" s="304">
        <f t="shared" si="104"/>
        <v>144</v>
      </c>
      <c r="AE238" s="305">
        <f t="shared" si="105"/>
        <v>5764</v>
      </c>
    </row>
    <row r="239" spans="1:31" hidden="1" outlineLevel="2" x14ac:dyDescent="0.3">
      <c r="A239" s="142"/>
      <c r="B239" s="334" t="s">
        <v>397</v>
      </c>
      <c r="C239" s="78" t="s">
        <v>40</v>
      </c>
      <c r="D239" s="255">
        <v>10</v>
      </c>
      <c r="E239" s="64"/>
      <c r="F239" s="265">
        <f t="shared" si="95"/>
        <v>13</v>
      </c>
      <c r="G239" s="215">
        <v>131.69999999999999</v>
      </c>
      <c r="H239" s="272"/>
      <c r="I239" s="236"/>
      <c r="J239" s="265"/>
      <c r="K239" s="193"/>
      <c r="L239" s="272"/>
      <c r="M239" s="236"/>
      <c r="N239" s="265"/>
      <c r="O239" s="193"/>
      <c r="P239" s="282">
        <v>6.18</v>
      </c>
      <c r="Q239" s="236">
        <f t="shared" si="96"/>
        <v>10</v>
      </c>
      <c r="R239" s="265">
        <f t="shared" si="97"/>
        <v>64</v>
      </c>
      <c r="S239" s="193">
        <f t="shared" si="98"/>
        <v>639</v>
      </c>
      <c r="T239" s="230"/>
      <c r="U239" s="290"/>
      <c r="V239" s="200"/>
      <c r="W239" s="232">
        <f t="shared" si="102"/>
        <v>10</v>
      </c>
      <c r="X239" s="289">
        <v>66</v>
      </c>
      <c r="Y239" s="199">
        <f t="shared" si="103"/>
        <v>660</v>
      </c>
      <c r="Z239" s="153"/>
      <c r="AA239" s="147"/>
      <c r="AB239" s="101">
        <f t="shared" si="101"/>
        <v>0</v>
      </c>
      <c r="AC239" s="226"/>
      <c r="AD239" s="302">
        <f t="shared" si="104"/>
        <v>-2</v>
      </c>
      <c r="AE239" s="202">
        <f t="shared" si="105"/>
        <v>-21</v>
      </c>
    </row>
    <row r="240" spans="1:31" ht="33" hidden="1" customHeight="1" outlineLevel="2" x14ac:dyDescent="0.3">
      <c r="B240" s="334" t="s">
        <v>398</v>
      </c>
      <c r="C240" s="78" t="s">
        <v>40</v>
      </c>
      <c r="D240" s="255">
        <v>27</v>
      </c>
      <c r="E240" s="64"/>
      <c r="F240" s="265">
        <f t="shared" si="95"/>
        <v>43</v>
      </c>
      <c r="G240" s="215">
        <v>1160.73</v>
      </c>
      <c r="H240" s="272"/>
      <c r="I240" s="236"/>
      <c r="J240" s="265"/>
      <c r="K240" s="193"/>
      <c r="L240" s="272"/>
      <c r="M240" s="236"/>
      <c r="N240" s="265"/>
      <c r="O240" s="193"/>
      <c r="P240" s="282">
        <v>6.18</v>
      </c>
      <c r="Q240" s="236">
        <f t="shared" si="96"/>
        <v>27</v>
      </c>
      <c r="R240" s="265">
        <f t="shared" si="97"/>
        <v>211</v>
      </c>
      <c r="S240" s="193">
        <f t="shared" si="98"/>
        <v>5710</v>
      </c>
      <c r="T240" s="230"/>
      <c r="U240" s="290"/>
      <c r="V240" s="200"/>
      <c r="W240" s="232">
        <f t="shared" si="102"/>
        <v>27</v>
      </c>
      <c r="X240" s="289">
        <v>837.8</v>
      </c>
      <c r="Y240" s="199">
        <f t="shared" si="103"/>
        <v>22620.6</v>
      </c>
      <c r="Z240" s="153"/>
      <c r="AA240" s="147"/>
      <c r="AB240" s="101">
        <f t="shared" si="101"/>
        <v>0</v>
      </c>
      <c r="AC240" s="226"/>
      <c r="AD240" s="302">
        <f t="shared" si="104"/>
        <v>-626.79999999999995</v>
      </c>
      <c r="AE240" s="202">
        <f t="shared" si="105"/>
        <v>-16910.599999999999</v>
      </c>
    </row>
    <row r="241" spans="1:32" hidden="1" outlineLevel="2" x14ac:dyDescent="0.3">
      <c r="B241" s="334" t="s">
        <v>399</v>
      </c>
      <c r="C241" s="78" t="s">
        <v>28</v>
      </c>
      <c r="D241" s="255">
        <v>1.3900000000000001E-2</v>
      </c>
      <c r="E241" s="64"/>
      <c r="F241" s="265">
        <f t="shared" si="95"/>
        <v>7105</v>
      </c>
      <c r="G241" s="215">
        <v>98.759999999999991</v>
      </c>
      <c r="H241" s="272"/>
      <c r="I241" s="236"/>
      <c r="J241" s="265"/>
      <c r="K241" s="193"/>
      <c r="L241" s="272"/>
      <c r="M241" s="236"/>
      <c r="N241" s="265"/>
      <c r="O241" s="193"/>
      <c r="P241" s="282">
        <v>6.18</v>
      </c>
      <c r="Q241" s="236">
        <f t="shared" si="96"/>
        <v>1.3900000000000001E-2</v>
      </c>
      <c r="R241" s="265">
        <f t="shared" si="97"/>
        <v>34943</v>
      </c>
      <c r="S241" s="193">
        <f t="shared" si="98"/>
        <v>486</v>
      </c>
      <c r="T241" s="230"/>
      <c r="U241" s="290"/>
      <c r="V241" s="200"/>
      <c r="W241" s="232">
        <f t="shared" si="102"/>
        <v>1.3900000000000001E-2</v>
      </c>
      <c r="X241" s="289">
        <v>164100</v>
      </c>
      <c r="Y241" s="200">
        <f>X241*D241</f>
        <v>2280.9900000000002</v>
      </c>
      <c r="Z241" s="153"/>
      <c r="AA241" s="147"/>
      <c r="AB241" s="101">
        <f t="shared" si="101"/>
        <v>0</v>
      </c>
      <c r="AC241" s="226"/>
      <c r="AD241" s="302">
        <f t="shared" si="104"/>
        <v>-129157</v>
      </c>
      <c r="AE241" s="202">
        <f t="shared" si="105"/>
        <v>-1794.9900000000002</v>
      </c>
    </row>
    <row r="242" spans="1:32" hidden="1" outlineLevel="2" x14ac:dyDescent="0.3">
      <c r="B242" s="334" t="s">
        <v>400</v>
      </c>
      <c r="C242" s="78" t="s">
        <v>5</v>
      </c>
      <c r="D242" s="255">
        <v>70</v>
      </c>
      <c r="E242" s="64"/>
      <c r="F242" s="265">
        <f t="shared" si="95"/>
        <v>3</v>
      </c>
      <c r="G242" s="215">
        <v>237.41</v>
      </c>
      <c r="H242" s="272"/>
      <c r="I242" s="236"/>
      <c r="J242" s="265"/>
      <c r="K242" s="193"/>
      <c r="L242" s="272"/>
      <c r="M242" s="236"/>
      <c r="N242" s="265"/>
      <c r="O242" s="193"/>
      <c r="P242" s="282">
        <v>6.18</v>
      </c>
      <c r="Q242" s="236">
        <f t="shared" si="96"/>
        <v>70</v>
      </c>
      <c r="R242" s="265">
        <f t="shared" si="97"/>
        <v>15</v>
      </c>
      <c r="S242" s="193">
        <f t="shared" si="98"/>
        <v>1033</v>
      </c>
      <c r="T242" s="230"/>
      <c r="U242" s="290"/>
      <c r="V242" s="200"/>
      <c r="W242" s="232">
        <f t="shared" ref="W242" si="106">D242</f>
        <v>70</v>
      </c>
      <c r="X242" s="289">
        <v>33.92</v>
      </c>
      <c r="Y242" s="199">
        <f t="shared" ref="Y242" si="107">W242*X242</f>
        <v>2374.4</v>
      </c>
      <c r="Z242" s="153"/>
      <c r="AA242" s="147"/>
      <c r="AB242" s="101">
        <f t="shared" si="101"/>
        <v>0</v>
      </c>
      <c r="AC242" s="226"/>
      <c r="AD242" s="302">
        <f t="shared" si="104"/>
        <v>-18.920000000000002</v>
      </c>
      <c r="AE242" s="202">
        <f t="shared" si="105"/>
        <v>-1341.4</v>
      </c>
    </row>
    <row r="243" spans="1:32" hidden="1" outlineLevel="2" x14ac:dyDescent="0.3">
      <c r="B243" s="334" t="s">
        <v>401</v>
      </c>
      <c r="C243" s="78" t="s">
        <v>40</v>
      </c>
      <c r="D243" s="255">
        <v>6</v>
      </c>
      <c r="E243" s="64"/>
      <c r="F243" s="265">
        <f t="shared" si="95"/>
        <v>22</v>
      </c>
      <c r="G243" s="215">
        <v>134.46</v>
      </c>
      <c r="H243" s="272"/>
      <c r="I243" s="236"/>
      <c r="J243" s="265"/>
      <c r="K243" s="193"/>
      <c r="L243" s="272"/>
      <c r="M243" s="236"/>
      <c r="N243" s="265"/>
      <c r="O243" s="193"/>
      <c r="P243" s="282">
        <v>6.18</v>
      </c>
      <c r="Q243" s="236">
        <f t="shared" si="96"/>
        <v>6</v>
      </c>
      <c r="R243" s="265">
        <f t="shared" si="97"/>
        <v>108</v>
      </c>
      <c r="S243" s="193">
        <f t="shared" si="98"/>
        <v>649</v>
      </c>
      <c r="T243" s="230"/>
      <c r="U243" s="290"/>
      <c r="V243" s="200"/>
      <c r="W243" s="232">
        <f t="shared" ref="W243:W252" si="108">D243</f>
        <v>6</v>
      </c>
      <c r="X243" s="289">
        <v>108.8</v>
      </c>
      <c r="Y243" s="199">
        <f t="shared" ref="Y243:Y252" si="109">W243*X243</f>
        <v>652.79999999999995</v>
      </c>
      <c r="Z243" s="153"/>
      <c r="AA243" s="147"/>
      <c r="AB243" s="101">
        <f t="shared" si="101"/>
        <v>0</v>
      </c>
      <c r="AC243" s="226"/>
      <c r="AD243" s="302">
        <f t="shared" si="104"/>
        <v>-0.79999999999999716</v>
      </c>
      <c r="AE243" s="202">
        <f t="shared" si="105"/>
        <v>-3.7999999999999545</v>
      </c>
    </row>
    <row r="244" spans="1:32" hidden="1" outlineLevel="2" x14ac:dyDescent="0.3">
      <c r="B244" s="334" t="s">
        <v>402</v>
      </c>
      <c r="C244" s="78" t="s">
        <v>5</v>
      </c>
      <c r="D244" s="255">
        <v>38</v>
      </c>
      <c r="E244" s="64"/>
      <c r="F244" s="265">
        <f t="shared" si="95"/>
        <v>11</v>
      </c>
      <c r="G244" s="215">
        <v>403.94</v>
      </c>
      <c r="H244" s="272"/>
      <c r="I244" s="236"/>
      <c r="J244" s="265"/>
      <c r="K244" s="193"/>
      <c r="L244" s="272"/>
      <c r="M244" s="236"/>
      <c r="N244" s="265"/>
      <c r="O244" s="193"/>
      <c r="P244" s="282">
        <v>6.18</v>
      </c>
      <c r="Q244" s="236">
        <f t="shared" si="96"/>
        <v>38</v>
      </c>
      <c r="R244" s="265">
        <f t="shared" si="97"/>
        <v>54</v>
      </c>
      <c r="S244" s="193">
        <f t="shared" si="98"/>
        <v>2056</v>
      </c>
      <c r="T244" s="230"/>
      <c r="U244" s="290"/>
      <c r="V244" s="200"/>
      <c r="W244" s="232">
        <f t="shared" si="108"/>
        <v>38</v>
      </c>
      <c r="X244" s="289">
        <v>36.799999999999997</v>
      </c>
      <c r="Y244" s="199">
        <f t="shared" si="109"/>
        <v>1398.3999999999999</v>
      </c>
      <c r="Z244" s="153"/>
      <c r="AA244" s="147"/>
      <c r="AB244" s="101">
        <f t="shared" si="101"/>
        <v>0</v>
      </c>
      <c r="AC244" s="226"/>
      <c r="AD244" s="304">
        <f t="shared" si="104"/>
        <v>17.200000000000003</v>
      </c>
      <c r="AE244" s="305">
        <f t="shared" si="105"/>
        <v>657.60000000000014</v>
      </c>
    </row>
    <row r="245" spans="1:32" hidden="1" outlineLevel="2" x14ac:dyDescent="0.3">
      <c r="B245" s="334" t="s">
        <v>403</v>
      </c>
      <c r="C245" s="78" t="s">
        <v>28</v>
      </c>
      <c r="D245" s="255">
        <v>1.9599999999999999E-2</v>
      </c>
      <c r="E245" s="64"/>
      <c r="F245" s="265">
        <f t="shared" si="95"/>
        <v>4797</v>
      </c>
      <c r="G245" s="215">
        <v>94.02</v>
      </c>
      <c r="H245" s="272"/>
      <c r="I245" s="236"/>
      <c r="J245" s="265"/>
      <c r="K245" s="193"/>
      <c r="L245" s="272"/>
      <c r="M245" s="236"/>
      <c r="N245" s="265"/>
      <c r="O245" s="193"/>
      <c r="P245" s="282">
        <v>6.18</v>
      </c>
      <c r="Q245" s="236">
        <f t="shared" si="96"/>
        <v>1.9599999999999999E-2</v>
      </c>
      <c r="R245" s="265">
        <f t="shared" si="97"/>
        <v>23592</v>
      </c>
      <c r="S245" s="193">
        <f t="shared" si="98"/>
        <v>462</v>
      </c>
      <c r="T245" s="230"/>
      <c r="U245" s="290"/>
      <c r="V245" s="200"/>
      <c r="W245" s="232">
        <f t="shared" si="108"/>
        <v>1.9599999999999999E-2</v>
      </c>
      <c r="X245" s="289">
        <v>39575</v>
      </c>
      <c r="Y245" s="199">
        <f t="shared" si="109"/>
        <v>775.67</v>
      </c>
      <c r="Z245" s="153"/>
      <c r="AA245" s="147"/>
      <c r="AB245" s="101">
        <f t="shared" si="101"/>
        <v>0</v>
      </c>
      <c r="AC245" s="226"/>
      <c r="AD245" s="302">
        <f t="shared" si="104"/>
        <v>-15983</v>
      </c>
      <c r="AE245" s="202">
        <f t="shared" si="105"/>
        <v>-313.66999999999996</v>
      </c>
    </row>
    <row r="246" spans="1:32" hidden="1" outlineLevel="2" x14ac:dyDescent="0.3">
      <c r="A246" s="142"/>
      <c r="B246" s="334" t="s">
        <v>404</v>
      </c>
      <c r="C246" s="78" t="s">
        <v>40</v>
      </c>
      <c r="D246" s="255">
        <v>7</v>
      </c>
      <c r="E246" s="64"/>
      <c r="F246" s="265">
        <f t="shared" si="95"/>
        <v>11</v>
      </c>
      <c r="G246" s="215">
        <v>79.56</v>
      </c>
      <c r="H246" s="272"/>
      <c r="I246" s="236"/>
      <c r="J246" s="265"/>
      <c r="K246" s="193"/>
      <c r="L246" s="272"/>
      <c r="M246" s="236"/>
      <c r="N246" s="265"/>
      <c r="O246" s="193"/>
      <c r="P246" s="282">
        <v>6.18</v>
      </c>
      <c r="Q246" s="236">
        <f t="shared" si="96"/>
        <v>7</v>
      </c>
      <c r="R246" s="265">
        <f t="shared" si="97"/>
        <v>54</v>
      </c>
      <c r="S246" s="193">
        <f t="shared" si="98"/>
        <v>379</v>
      </c>
      <c r="T246" s="230"/>
      <c r="U246" s="290"/>
      <c r="V246" s="200"/>
      <c r="W246" s="232">
        <f t="shared" si="108"/>
        <v>7</v>
      </c>
      <c r="X246" s="289">
        <v>90</v>
      </c>
      <c r="Y246" s="199">
        <f t="shared" si="109"/>
        <v>630</v>
      </c>
      <c r="Z246" s="153"/>
      <c r="AA246" s="147"/>
      <c r="AB246" s="101">
        <f t="shared" si="101"/>
        <v>0</v>
      </c>
      <c r="AC246" s="226"/>
      <c r="AD246" s="302">
        <f t="shared" si="104"/>
        <v>-36</v>
      </c>
      <c r="AE246" s="202">
        <f t="shared" si="105"/>
        <v>-251</v>
      </c>
    </row>
    <row r="247" spans="1:32" hidden="1" outlineLevel="2" x14ac:dyDescent="0.3">
      <c r="B247" s="334" t="s">
        <v>405</v>
      </c>
      <c r="C247" s="78" t="s">
        <v>5</v>
      </c>
      <c r="D247" s="255">
        <v>1150</v>
      </c>
      <c r="E247" s="64"/>
      <c r="F247" s="266">
        <f>ROUND(G247/D247,2)</f>
        <v>0.36</v>
      </c>
      <c r="G247" s="215">
        <v>417.91</v>
      </c>
      <c r="H247" s="272"/>
      <c r="I247" s="236"/>
      <c r="J247" s="265"/>
      <c r="K247" s="193"/>
      <c r="L247" s="272"/>
      <c r="M247" s="236"/>
      <c r="N247" s="265"/>
      <c r="O247" s="193"/>
      <c r="P247" s="282">
        <v>6.18</v>
      </c>
      <c r="Q247" s="236">
        <f t="shared" ref="Q247:Q249" si="110">D247-I247-M247</f>
        <v>1150</v>
      </c>
      <c r="R247" s="265">
        <f t="shared" ref="R247:R249" si="111">ROUND(F247*P247*0.7958,0)</f>
        <v>2</v>
      </c>
      <c r="S247" s="193">
        <f t="shared" ref="S247:S249" si="112">ROUND(Q247*P247*F247*0.7958,0)</f>
        <v>2036</v>
      </c>
      <c r="T247" s="230"/>
      <c r="U247" s="290"/>
      <c r="V247" s="200"/>
      <c r="W247" s="232">
        <f t="shared" si="108"/>
        <v>1150</v>
      </c>
      <c r="X247" s="289">
        <v>11.33</v>
      </c>
      <c r="Y247" s="199">
        <f t="shared" si="109"/>
        <v>13029.5</v>
      </c>
      <c r="Z247" s="153"/>
      <c r="AA247" s="147"/>
      <c r="AB247" s="101">
        <f t="shared" ref="AB247:AB249" si="113">ROUND(Z247*AA247,0)</f>
        <v>0</v>
      </c>
      <c r="AC247" s="226"/>
      <c r="AD247" s="302">
        <f t="shared" si="104"/>
        <v>-9.33</v>
      </c>
      <c r="AE247" s="202">
        <f t="shared" si="105"/>
        <v>-10993.5</v>
      </c>
    </row>
    <row r="248" spans="1:32" hidden="1" outlineLevel="2" x14ac:dyDescent="0.3">
      <c r="B248" s="334" t="s">
        <v>406</v>
      </c>
      <c r="C248" s="78" t="s">
        <v>5</v>
      </c>
      <c r="D248" s="255">
        <v>1</v>
      </c>
      <c r="E248" s="64"/>
      <c r="F248" s="265">
        <f t="shared" ref="F248:F249" si="114">ROUND(G248/D248,0)</f>
        <v>17</v>
      </c>
      <c r="G248" s="215">
        <v>16.850000000000001</v>
      </c>
      <c r="H248" s="272"/>
      <c r="I248" s="236"/>
      <c r="J248" s="265"/>
      <c r="K248" s="193"/>
      <c r="L248" s="272"/>
      <c r="M248" s="236"/>
      <c r="N248" s="265"/>
      <c r="O248" s="193"/>
      <c r="P248" s="282">
        <v>6.18</v>
      </c>
      <c r="Q248" s="236">
        <f t="shared" si="110"/>
        <v>1</v>
      </c>
      <c r="R248" s="265">
        <f t="shared" si="111"/>
        <v>84</v>
      </c>
      <c r="S248" s="193">
        <f t="shared" si="112"/>
        <v>84</v>
      </c>
      <c r="T248" s="230"/>
      <c r="U248" s="290"/>
      <c r="V248" s="200"/>
      <c r="W248" s="232">
        <f t="shared" si="108"/>
        <v>1</v>
      </c>
      <c r="X248" s="289">
        <v>105</v>
      </c>
      <c r="Y248" s="199">
        <f t="shared" si="109"/>
        <v>105</v>
      </c>
      <c r="Z248" s="153"/>
      <c r="AA248" s="147"/>
      <c r="AB248" s="101">
        <f t="shared" si="113"/>
        <v>0</v>
      </c>
      <c r="AC248" s="226"/>
      <c r="AD248" s="302">
        <f t="shared" si="104"/>
        <v>-21</v>
      </c>
      <c r="AE248" s="202">
        <f t="shared" si="105"/>
        <v>-21</v>
      </c>
    </row>
    <row r="249" spans="1:32" hidden="1" outlineLevel="2" x14ac:dyDescent="0.3">
      <c r="A249" s="142"/>
      <c r="B249" s="334" t="s">
        <v>407</v>
      </c>
      <c r="C249" s="78" t="s">
        <v>40</v>
      </c>
      <c r="D249" s="255">
        <v>5</v>
      </c>
      <c r="E249" s="64"/>
      <c r="F249" s="265">
        <f t="shared" si="114"/>
        <v>25</v>
      </c>
      <c r="G249" s="215">
        <v>124</v>
      </c>
      <c r="H249" s="272"/>
      <c r="I249" s="236"/>
      <c r="J249" s="265"/>
      <c r="K249" s="193"/>
      <c r="L249" s="272"/>
      <c r="M249" s="236"/>
      <c r="N249" s="265"/>
      <c r="O249" s="193"/>
      <c r="P249" s="282">
        <v>6.18</v>
      </c>
      <c r="Q249" s="236">
        <f t="shared" si="110"/>
        <v>5</v>
      </c>
      <c r="R249" s="265">
        <f t="shared" si="111"/>
        <v>123</v>
      </c>
      <c r="S249" s="193">
        <f t="shared" si="112"/>
        <v>615</v>
      </c>
      <c r="T249" s="230"/>
      <c r="U249" s="290"/>
      <c r="V249" s="200"/>
      <c r="W249" s="232">
        <f t="shared" si="108"/>
        <v>5</v>
      </c>
      <c r="X249" s="289">
        <v>150</v>
      </c>
      <c r="Y249" s="199">
        <f t="shared" si="109"/>
        <v>750</v>
      </c>
      <c r="Z249" s="153"/>
      <c r="AA249" s="147"/>
      <c r="AB249" s="101">
        <f t="shared" si="113"/>
        <v>0</v>
      </c>
      <c r="AC249" s="226"/>
      <c r="AD249" s="302">
        <f t="shared" si="104"/>
        <v>-27</v>
      </c>
      <c r="AE249" s="202">
        <f t="shared" si="105"/>
        <v>-135</v>
      </c>
    </row>
    <row r="250" spans="1:32" hidden="1" outlineLevel="2" x14ac:dyDescent="0.3">
      <c r="A250" s="142"/>
      <c r="B250" s="334" t="s">
        <v>408</v>
      </c>
      <c r="C250" s="78" t="s">
        <v>40</v>
      </c>
      <c r="D250" s="255">
        <v>13</v>
      </c>
      <c r="E250" s="64"/>
      <c r="F250" s="265">
        <f t="shared" ref="F250:F862" si="115">ROUND(G250/D250,0)</f>
        <v>22</v>
      </c>
      <c r="G250" s="215">
        <v>281.23</v>
      </c>
      <c r="H250" s="272"/>
      <c r="I250" s="236"/>
      <c r="J250" s="265"/>
      <c r="K250" s="193"/>
      <c r="L250" s="272"/>
      <c r="M250" s="236"/>
      <c r="N250" s="265"/>
      <c r="O250" s="193"/>
      <c r="P250" s="282">
        <v>6.18</v>
      </c>
      <c r="Q250" s="236">
        <f t="shared" ref="Q250:Q252" si="116">D250-I250-M250</f>
        <v>13</v>
      </c>
      <c r="R250" s="265">
        <f t="shared" ref="R250:R862" si="117">ROUND(F250*P250*0.7958,0)</f>
        <v>108</v>
      </c>
      <c r="S250" s="193">
        <f t="shared" ref="S250:S862" si="118">ROUND(Q250*P250*F250*0.7958,0)</f>
        <v>1407</v>
      </c>
      <c r="T250" s="230"/>
      <c r="U250" s="290"/>
      <c r="V250" s="200"/>
      <c r="W250" s="232">
        <f t="shared" si="108"/>
        <v>13</v>
      </c>
      <c r="X250" s="289">
        <v>150</v>
      </c>
      <c r="Y250" s="199">
        <f t="shared" si="109"/>
        <v>1950</v>
      </c>
      <c r="Z250" s="153"/>
      <c r="AA250" s="147"/>
      <c r="AB250" s="101">
        <f t="shared" ref="AB250:AB862" si="119">ROUND(Z250*AA250,0)</f>
        <v>0</v>
      </c>
      <c r="AC250" s="226"/>
      <c r="AD250" s="302">
        <f t="shared" si="104"/>
        <v>-42</v>
      </c>
      <c r="AE250" s="202">
        <f t="shared" si="105"/>
        <v>-543</v>
      </c>
    </row>
    <row r="251" spans="1:32" hidden="1" outlineLevel="2" x14ac:dyDescent="0.3">
      <c r="A251" s="142"/>
      <c r="B251" s="334" t="s">
        <v>409</v>
      </c>
      <c r="C251" s="78" t="s">
        <v>40</v>
      </c>
      <c r="D251" s="255">
        <v>23</v>
      </c>
      <c r="E251" s="64"/>
      <c r="F251" s="265">
        <f t="shared" si="115"/>
        <v>12</v>
      </c>
      <c r="G251" s="215">
        <v>283.37</v>
      </c>
      <c r="H251" s="272"/>
      <c r="I251" s="236"/>
      <c r="J251" s="265"/>
      <c r="K251" s="193"/>
      <c r="L251" s="272"/>
      <c r="M251" s="236"/>
      <c r="N251" s="265"/>
      <c r="O251" s="193"/>
      <c r="P251" s="282">
        <v>6.18</v>
      </c>
      <c r="Q251" s="236">
        <f t="shared" si="116"/>
        <v>23</v>
      </c>
      <c r="R251" s="265">
        <f t="shared" si="117"/>
        <v>59</v>
      </c>
      <c r="S251" s="193">
        <f t="shared" si="118"/>
        <v>1357</v>
      </c>
      <c r="T251" s="230"/>
      <c r="U251" s="290"/>
      <c r="V251" s="200"/>
      <c r="W251" s="232">
        <f t="shared" si="108"/>
        <v>23</v>
      </c>
      <c r="X251" s="289">
        <v>120</v>
      </c>
      <c r="Y251" s="199">
        <f t="shared" si="109"/>
        <v>2760</v>
      </c>
      <c r="Z251" s="153"/>
      <c r="AA251" s="147"/>
      <c r="AB251" s="101">
        <f t="shared" si="119"/>
        <v>0</v>
      </c>
      <c r="AC251" s="226"/>
      <c r="AD251" s="302">
        <f t="shared" si="104"/>
        <v>-61</v>
      </c>
      <c r="AE251" s="202">
        <f t="shared" si="105"/>
        <v>-1403</v>
      </c>
    </row>
    <row r="252" spans="1:32" hidden="1" outlineLevel="2" x14ac:dyDescent="0.3">
      <c r="A252" s="142"/>
      <c r="B252" s="334" t="s">
        <v>410</v>
      </c>
      <c r="C252" s="78" t="s">
        <v>16</v>
      </c>
      <c r="D252" s="255">
        <v>10.8</v>
      </c>
      <c r="E252" s="64"/>
      <c r="F252" s="265">
        <f t="shared" si="115"/>
        <v>17</v>
      </c>
      <c r="G252" s="215">
        <v>181.55</v>
      </c>
      <c r="H252" s="272"/>
      <c r="I252" s="236"/>
      <c r="J252" s="265"/>
      <c r="K252" s="193"/>
      <c r="L252" s="272"/>
      <c r="M252" s="236"/>
      <c r="N252" s="265"/>
      <c r="O252" s="193"/>
      <c r="P252" s="282">
        <v>6.18</v>
      </c>
      <c r="Q252" s="236">
        <f t="shared" si="116"/>
        <v>10.8</v>
      </c>
      <c r="R252" s="265">
        <f t="shared" si="117"/>
        <v>84</v>
      </c>
      <c r="S252" s="193">
        <f t="shared" si="118"/>
        <v>903</v>
      </c>
      <c r="T252" s="230"/>
      <c r="U252" s="290"/>
      <c r="V252" s="200"/>
      <c r="W252" s="232">
        <f t="shared" si="108"/>
        <v>10.8</v>
      </c>
      <c r="X252" s="289">
        <v>330</v>
      </c>
      <c r="Y252" s="199">
        <f t="shared" si="109"/>
        <v>3564.0000000000005</v>
      </c>
      <c r="Z252" s="153"/>
      <c r="AA252" s="147"/>
      <c r="AB252" s="101">
        <f t="shared" si="119"/>
        <v>0</v>
      </c>
      <c r="AC252" s="226"/>
      <c r="AD252" s="302">
        <f t="shared" si="104"/>
        <v>-246</v>
      </c>
      <c r="AE252" s="202">
        <f t="shared" si="105"/>
        <v>-2661.0000000000005</v>
      </c>
    </row>
    <row r="253" spans="1:32" hidden="1" outlineLevel="2" x14ac:dyDescent="0.3">
      <c r="A253" s="142"/>
      <c r="B253" s="334"/>
      <c r="C253" s="78"/>
      <c r="D253" s="255"/>
      <c r="E253" s="64"/>
      <c r="F253" s="265"/>
      <c r="G253" s="215"/>
      <c r="H253" s="272"/>
      <c r="I253" s="236"/>
      <c r="J253" s="265"/>
      <c r="K253" s="193"/>
      <c r="L253" s="272"/>
      <c r="M253" s="236"/>
      <c r="N253" s="265"/>
      <c r="O253" s="193"/>
      <c r="P253" s="282"/>
      <c r="Q253" s="236"/>
      <c r="R253" s="265"/>
      <c r="S253" s="193"/>
      <c r="T253" s="230"/>
      <c r="U253" s="290"/>
      <c r="V253" s="200"/>
      <c r="W253" s="232"/>
      <c r="X253" s="289"/>
      <c r="Y253" s="199"/>
      <c r="Z253" s="153"/>
      <c r="AA253" s="147"/>
      <c r="AB253" s="101"/>
      <c r="AC253" s="226"/>
      <c r="AD253" s="302"/>
      <c r="AE253" s="202"/>
    </row>
    <row r="254" spans="1:32" s="95" customFormat="1" hidden="1" outlineLevel="1" x14ac:dyDescent="0.3">
      <c r="A254" s="98"/>
      <c r="B254" s="160"/>
      <c r="C254" s="107"/>
      <c r="D254" s="253"/>
      <c r="E254" s="98"/>
      <c r="F254" s="154"/>
      <c r="G254" s="214"/>
      <c r="H254" s="154"/>
      <c r="I254" s="231"/>
      <c r="J254" s="154"/>
      <c r="K254" s="194"/>
      <c r="L254" s="154"/>
      <c r="M254" s="231"/>
      <c r="N254" s="154"/>
      <c r="O254" s="194"/>
      <c r="P254" s="154"/>
      <c r="Q254" s="231"/>
      <c r="R254" s="286"/>
      <c r="S254" s="194"/>
      <c r="T254" s="231"/>
      <c r="U254" s="155"/>
      <c r="V254" s="194"/>
      <c r="W254" s="231"/>
      <c r="X254" s="155"/>
      <c r="Y254" s="194"/>
      <c r="Z254" s="157"/>
      <c r="AA254" s="156"/>
      <c r="AB254" s="156"/>
      <c r="AC254" s="194"/>
      <c r="AD254" s="155"/>
      <c r="AE254" s="194"/>
    </row>
    <row r="255" spans="1:32" ht="27.75" hidden="1" customHeight="1" outlineLevel="1" x14ac:dyDescent="0.3">
      <c r="A255" s="399"/>
      <c r="B255" s="1082" t="s">
        <v>1183</v>
      </c>
      <c r="C255" s="1083"/>
      <c r="D255" s="1083"/>
      <c r="E255" s="1083"/>
      <c r="F255" s="1084"/>
      <c r="G255" s="333">
        <f>SUM(G256:G306)</f>
        <v>61123.460000000014</v>
      </c>
      <c r="H255" s="320"/>
      <c r="I255" s="320"/>
      <c r="J255" s="320"/>
      <c r="K255" s="321"/>
      <c r="L255" s="320"/>
      <c r="M255" s="320"/>
      <c r="N255" s="320"/>
      <c r="O255" s="321"/>
      <c r="P255" s="320"/>
      <c r="Q255" s="320"/>
      <c r="R255" s="320"/>
      <c r="S255" s="321">
        <f>SUM(S256:S306)</f>
        <v>262680</v>
      </c>
      <c r="T255" s="320"/>
      <c r="U255" s="322"/>
      <c r="V255" s="321"/>
      <c r="W255" s="320"/>
      <c r="X255" s="322"/>
      <c r="Y255" s="321">
        <f>SUM(Y256:Y306)</f>
        <v>267427.18503999995</v>
      </c>
      <c r="Z255" s="322"/>
      <c r="AA255" s="322"/>
      <c r="AB255" s="322"/>
      <c r="AC255" s="322"/>
      <c r="AD255" s="322"/>
      <c r="AE255" s="323">
        <f>SUM(AE256:AE306)</f>
        <v>-4747.1850400000094</v>
      </c>
      <c r="AF255" s="324">
        <f>AE255/S255</f>
        <v>-1.8072122125780452E-2</v>
      </c>
    </row>
    <row r="256" spans="1:32" hidden="1" outlineLevel="2" x14ac:dyDescent="0.35">
      <c r="A256" s="38"/>
      <c r="B256" s="327" t="s">
        <v>501</v>
      </c>
      <c r="C256" s="126" t="s">
        <v>16</v>
      </c>
      <c r="D256" s="259">
        <f>1.7128+15.6</f>
        <v>17.312799999999999</v>
      </c>
      <c r="E256" s="38"/>
      <c r="F256" s="270">
        <f t="shared" ref="F256:F305" si="120">ROUND(G256/D256,0)</f>
        <v>20</v>
      </c>
      <c r="G256" s="224">
        <f>16.44+333</f>
        <v>349.44</v>
      </c>
      <c r="H256" s="280"/>
      <c r="I256" s="228"/>
      <c r="J256" s="280"/>
      <c r="K256" s="203"/>
      <c r="L256" s="280"/>
      <c r="M256" s="228"/>
      <c r="N256" s="280"/>
      <c r="O256" s="203"/>
      <c r="P256" s="280">
        <v>5.4</v>
      </c>
      <c r="Q256" s="241">
        <f t="shared" ref="Q256:Q305" si="121">D256-I256-M256</f>
        <v>17.312799999999999</v>
      </c>
      <c r="R256" s="288">
        <f t="shared" ref="R256:R305" si="122">ROUND(F256*P256*0.7958,0)</f>
        <v>86</v>
      </c>
      <c r="S256" s="206">
        <f t="shared" ref="S256:S305" si="123">ROUND(Q256*P256*F256*0.7958,0)</f>
        <v>1488</v>
      </c>
      <c r="T256" s="228"/>
      <c r="U256" s="298"/>
      <c r="V256" s="208"/>
      <c r="W256" s="228">
        <v>17.312799999999999</v>
      </c>
      <c r="X256" s="301">
        <v>110</v>
      </c>
      <c r="Y256" s="315">
        <f t="shared" ref="Y256:Y269" si="124">W256*X256</f>
        <v>1904.4079999999999</v>
      </c>
      <c r="Z256" s="176"/>
      <c r="AA256" s="137"/>
      <c r="AB256" s="175"/>
      <c r="AC256" s="228"/>
      <c r="AD256" s="314">
        <f t="shared" ref="AD256" si="125">R256-X256</f>
        <v>-24</v>
      </c>
      <c r="AE256" s="317">
        <f t="shared" ref="AE256" si="126">S256-Y256</f>
        <v>-416.4079999999999</v>
      </c>
    </row>
    <row r="257" spans="1:31" hidden="1" outlineLevel="2" x14ac:dyDescent="0.35">
      <c r="A257" s="38"/>
      <c r="B257" s="327" t="s">
        <v>1186</v>
      </c>
      <c r="C257" s="126" t="s">
        <v>28</v>
      </c>
      <c r="D257" s="259">
        <v>5.1999999999999998E-3</v>
      </c>
      <c r="E257" s="38"/>
      <c r="F257" s="270">
        <f t="shared" ref="F257" si="127">ROUND(G257/D257,0)</f>
        <v>12790</v>
      </c>
      <c r="G257" s="224">
        <v>66.510000000000005</v>
      </c>
      <c r="H257" s="280"/>
      <c r="I257" s="228"/>
      <c r="J257" s="280"/>
      <c r="K257" s="203"/>
      <c r="L257" s="280"/>
      <c r="M257" s="228"/>
      <c r="N257" s="280"/>
      <c r="O257" s="203"/>
      <c r="P257" s="280">
        <v>5.4</v>
      </c>
      <c r="Q257" s="241">
        <f t="shared" ref="Q257" si="128">D257-I257-M257</f>
        <v>5.1999999999999998E-3</v>
      </c>
      <c r="R257" s="288">
        <f t="shared" ref="R257" si="129">ROUND(F257*P257*0.7958,0)</f>
        <v>54963</v>
      </c>
      <c r="S257" s="206">
        <f>ROUND(Q257*P257*F257*0.7958,0)</f>
        <v>286</v>
      </c>
      <c r="T257" s="228"/>
      <c r="U257" s="298"/>
      <c r="V257" s="208"/>
      <c r="W257" s="228">
        <v>5.1999999999999998E-3</v>
      </c>
      <c r="X257" s="301">
        <v>24100</v>
      </c>
      <c r="Y257" s="315">
        <f t="shared" si="124"/>
        <v>125.32</v>
      </c>
      <c r="Z257" s="176"/>
      <c r="AA257" s="137"/>
      <c r="AB257" s="175"/>
      <c r="AC257" s="228"/>
      <c r="AD257" s="312">
        <f t="shared" ref="AD257:AD306" si="130">R257-X257</f>
        <v>30863</v>
      </c>
      <c r="AE257" s="316">
        <f t="shared" ref="AE257:AE306" si="131">S257-Y257</f>
        <v>160.68</v>
      </c>
    </row>
    <row r="258" spans="1:31" hidden="1" outlineLevel="2" x14ac:dyDescent="0.35">
      <c r="A258" s="177"/>
      <c r="B258" s="327" t="s">
        <v>1279</v>
      </c>
      <c r="C258" s="126" t="s">
        <v>40</v>
      </c>
      <c r="D258" s="259">
        <v>3</v>
      </c>
      <c r="E258" s="38"/>
      <c r="F258" s="270">
        <f t="shared" si="120"/>
        <v>5</v>
      </c>
      <c r="G258" s="224">
        <v>15.87</v>
      </c>
      <c r="H258" s="280"/>
      <c r="I258" s="228"/>
      <c r="J258" s="280"/>
      <c r="K258" s="203"/>
      <c r="L258" s="280"/>
      <c r="M258" s="228"/>
      <c r="N258" s="280"/>
      <c r="O258" s="203"/>
      <c r="P258" s="280">
        <v>5.4</v>
      </c>
      <c r="Q258" s="241">
        <f t="shared" si="121"/>
        <v>3</v>
      </c>
      <c r="R258" s="288">
        <f t="shared" si="122"/>
        <v>21</v>
      </c>
      <c r="S258" s="206">
        <f t="shared" si="123"/>
        <v>64</v>
      </c>
      <c r="T258" s="228"/>
      <c r="U258" s="298"/>
      <c r="V258" s="208"/>
      <c r="W258" s="228">
        <v>3</v>
      </c>
      <c r="X258" s="301">
        <v>175</v>
      </c>
      <c r="Y258" s="315">
        <f t="shared" si="124"/>
        <v>525</v>
      </c>
      <c r="Z258" s="176"/>
      <c r="AA258" s="137"/>
      <c r="AB258" s="175"/>
      <c r="AC258" s="228"/>
      <c r="AD258" s="314">
        <f t="shared" si="130"/>
        <v>-154</v>
      </c>
      <c r="AE258" s="317">
        <f t="shared" si="131"/>
        <v>-461</v>
      </c>
    </row>
    <row r="259" spans="1:31" hidden="1" outlineLevel="2" x14ac:dyDescent="0.35">
      <c r="A259" s="177"/>
      <c r="B259" s="327" t="s">
        <v>1184</v>
      </c>
      <c r="C259" s="126" t="s">
        <v>40</v>
      </c>
      <c r="D259" s="259">
        <v>5</v>
      </c>
      <c r="E259" s="38"/>
      <c r="F259" s="270">
        <f t="shared" si="120"/>
        <v>7</v>
      </c>
      <c r="G259" s="224">
        <v>33.5</v>
      </c>
      <c r="H259" s="280"/>
      <c r="I259" s="228"/>
      <c r="J259" s="280"/>
      <c r="K259" s="203"/>
      <c r="L259" s="280"/>
      <c r="M259" s="228"/>
      <c r="N259" s="280"/>
      <c r="O259" s="203"/>
      <c r="P259" s="280">
        <v>5.4</v>
      </c>
      <c r="Q259" s="241">
        <f t="shared" si="121"/>
        <v>5</v>
      </c>
      <c r="R259" s="288">
        <f t="shared" si="122"/>
        <v>30</v>
      </c>
      <c r="S259" s="206">
        <f t="shared" si="123"/>
        <v>150</v>
      </c>
      <c r="T259" s="228"/>
      <c r="U259" s="298"/>
      <c r="V259" s="208"/>
      <c r="W259" s="228">
        <v>5</v>
      </c>
      <c r="X259" s="301">
        <v>41.6</v>
      </c>
      <c r="Y259" s="315">
        <f t="shared" si="124"/>
        <v>208</v>
      </c>
      <c r="Z259" s="176"/>
      <c r="AA259" s="137"/>
      <c r="AB259" s="175"/>
      <c r="AC259" s="228"/>
      <c r="AD259" s="314">
        <f t="shared" si="130"/>
        <v>-11.600000000000001</v>
      </c>
      <c r="AE259" s="317">
        <f t="shared" si="131"/>
        <v>-58</v>
      </c>
    </row>
    <row r="260" spans="1:31" hidden="1" outlineLevel="2" x14ac:dyDescent="0.35">
      <c r="A260" s="177"/>
      <c r="B260" s="327" t="s">
        <v>1185</v>
      </c>
      <c r="C260" s="126" t="s">
        <v>40</v>
      </c>
      <c r="D260" s="259">
        <v>8</v>
      </c>
      <c r="E260" s="38"/>
      <c r="F260" s="270">
        <f t="shared" si="120"/>
        <v>7</v>
      </c>
      <c r="G260" s="224">
        <v>55.84</v>
      </c>
      <c r="H260" s="280"/>
      <c r="I260" s="228"/>
      <c r="J260" s="280"/>
      <c r="K260" s="203"/>
      <c r="L260" s="280"/>
      <c r="M260" s="228"/>
      <c r="N260" s="280"/>
      <c r="O260" s="203"/>
      <c r="P260" s="280">
        <v>5.4</v>
      </c>
      <c r="Q260" s="241">
        <f t="shared" si="121"/>
        <v>8</v>
      </c>
      <c r="R260" s="288">
        <f t="shared" si="122"/>
        <v>30</v>
      </c>
      <c r="S260" s="206">
        <f t="shared" si="123"/>
        <v>241</v>
      </c>
      <c r="T260" s="228"/>
      <c r="U260" s="298"/>
      <c r="V260" s="208"/>
      <c r="W260" s="228">
        <v>8</v>
      </c>
      <c r="X260" s="301">
        <v>105</v>
      </c>
      <c r="Y260" s="315">
        <f t="shared" si="124"/>
        <v>840</v>
      </c>
      <c r="Z260" s="176"/>
      <c r="AA260" s="137"/>
      <c r="AB260" s="175"/>
      <c r="AC260" s="228"/>
      <c r="AD260" s="314">
        <f t="shared" si="130"/>
        <v>-75</v>
      </c>
      <c r="AE260" s="317">
        <f t="shared" si="131"/>
        <v>-599</v>
      </c>
    </row>
    <row r="261" spans="1:31" hidden="1" outlineLevel="2" x14ac:dyDescent="0.35">
      <c r="A261" s="177"/>
      <c r="B261" s="327" t="s">
        <v>1277</v>
      </c>
      <c r="C261" s="126" t="s">
        <v>40</v>
      </c>
      <c r="D261" s="259">
        <v>8</v>
      </c>
      <c r="E261" s="1010"/>
      <c r="F261" s="1012">
        <f>ROUND(G261/12,0)</f>
        <v>10</v>
      </c>
      <c r="G261" s="1014">
        <v>117</v>
      </c>
      <c r="H261" s="1016"/>
      <c r="I261" s="1018"/>
      <c r="J261" s="1016"/>
      <c r="K261" s="1020"/>
      <c r="L261" s="1016"/>
      <c r="M261" s="1018"/>
      <c r="N261" s="1016"/>
      <c r="O261" s="1020"/>
      <c r="P261" s="1075">
        <v>5.4</v>
      </c>
      <c r="Q261" s="1030">
        <v>12</v>
      </c>
      <c r="R261" s="1026">
        <f t="shared" ref="R261" si="132">ROUND(F261*P261*0.7958,0)</f>
        <v>43</v>
      </c>
      <c r="S261" s="1008">
        <f t="shared" ref="S261" si="133">ROUND(Q261*P261*F261*0.7958,0)</f>
        <v>516</v>
      </c>
      <c r="T261" s="228"/>
      <c r="U261" s="298"/>
      <c r="V261" s="208"/>
      <c r="W261" s="228">
        <v>8</v>
      </c>
      <c r="X261" s="301">
        <v>78.400000000000006</v>
      </c>
      <c r="Y261" s="315">
        <f t="shared" si="124"/>
        <v>627.20000000000005</v>
      </c>
      <c r="Z261" s="176"/>
      <c r="AA261" s="137"/>
      <c r="AB261" s="175"/>
      <c r="AC261" s="228"/>
      <c r="AD261" s="314">
        <f t="shared" si="130"/>
        <v>-35.400000000000006</v>
      </c>
      <c r="AE261" s="317">
        <f t="shared" si="131"/>
        <v>-111.20000000000005</v>
      </c>
    </row>
    <row r="262" spans="1:31" hidden="1" outlineLevel="2" x14ac:dyDescent="0.35">
      <c r="A262" s="177"/>
      <c r="B262" s="327" t="s">
        <v>1278</v>
      </c>
      <c r="C262" s="126" t="s">
        <v>40</v>
      </c>
      <c r="D262" s="259">
        <v>4</v>
      </c>
      <c r="E262" s="1011"/>
      <c r="F262" s="1013"/>
      <c r="G262" s="1015"/>
      <c r="H262" s="1017"/>
      <c r="I262" s="1019"/>
      <c r="J262" s="1017"/>
      <c r="K262" s="1021"/>
      <c r="L262" s="1017"/>
      <c r="M262" s="1019"/>
      <c r="N262" s="1017"/>
      <c r="O262" s="1021"/>
      <c r="P262" s="1076"/>
      <c r="Q262" s="1032"/>
      <c r="R262" s="1027"/>
      <c r="S262" s="1009"/>
      <c r="T262" s="228"/>
      <c r="U262" s="298"/>
      <c r="V262" s="208"/>
      <c r="W262" s="228">
        <v>4</v>
      </c>
      <c r="X262" s="301">
        <v>92</v>
      </c>
      <c r="Y262" s="315">
        <f t="shared" si="124"/>
        <v>368</v>
      </c>
      <c r="Z262" s="176"/>
      <c r="AA262" s="137"/>
      <c r="AB262" s="175"/>
      <c r="AC262" s="228"/>
      <c r="AD262" s="314">
        <f t="shared" si="130"/>
        <v>-92</v>
      </c>
      <c r="AE262" s="317">
        <f t="shared" si="131"/>
        <v>-368</v>
      </c>
    </row>
    <row r="263" spans="1:31" ht="33.75" hidden="1" customHeight="1" outlineLevel="2" x14ac:dyDescent="0.35">
      <c r="A263" s="177"/>
      <c r="B263" s="328" t="s">
        <v>1280</v>
      </c>
      <c r="C263" s="126" t="s">
        <v>40</v>
      </c>
      <c r="D263" s="259">
        <v>5</v>
      </c>
      <c r="E263" s="38"/>
      <c r="F263" s="270">
        <f t="shared" ref="F263:F264" si="134">ROUND(G263/D263,0)</f>
        <v>6</v>
      </c>
      <c r="G263" s="224">
        <v>28.85</v>
      </c>
      <c r="H263" s="280"/>
      <c r="I263" s="228"/>
      <c r="J263" s="280"/>
      <c r="K263" s="203"/>
      <c r="L263" s="280"/>
      <c r="M263" s="228"/>
      <c r="N263" s="280"/>
      <c r="O263" s="203"/>
      <c r="P263" s="280">
        <v>5.4</v>
      </c>
      <c r="Q263" s="241">
        <f t="shared" ref="Q263:Q264" si="135">D263-I263-M263</f>
        <v>5</v>
      </c>
      <c r="R263" s="288">
        <f t="shared" ref="R263:R265" si="136">ROUND(F263*P263*0.7958,0)</f>
        <v>26</v>
      </c>
      <c r="S263" s="206">
        <f t="shared" ref="S263:S265" si="137">ROUND(Q263*P263*F263*0.7958,0)</f>
        <v>129</v>
      </c>
      <c r="T263" s="228"/>
      <c r="U263" s="298"/>
      <c r="V263" s="208"/>
      <c r="W263" s="228">
        <v>5</v>
      </c>
      <c r="X263" s="301">
        <v>64</v>
      </c>
      <c r="Y263" s="315">
        <f t="shared" si="124"/>
        <v>320</v>
      </c>
      <c r="Z263" s="176"/>
      <c r="AA263" s="137"/>
      <c r="AB263" s="175"/>
      <c r="AC263" s="228"/>
      <c r="AD263" s="314">
        <f t="shared" si="130"/>
        <v>-38</v>
      </c>
      <c r="AE263" s="317">
        <f t="shared" si="131"/>
        <v>-191</v>
      </c>
    </row>
    <row r="264" spans="1:31" ht="31.2" hidden="1" outlineLevel="2" x14ac:dyDescent="0.35">
      <c r="A264" s="177"/>
      <c r="B264" s="327" t="s">
        <v>1281</v>
      </c>
      <c r="C264" s="126" t="s">
        <v>40</v>
      </c>
      <c r="D264" s="259">
        <v>8</v>
      </c>
      <c r="E264" s="38"/>
      <c r="F264" s="270">
        <f t="shared" si="134"/>
        <v>4</v>
      </c>
      <c r="G264" s="224">
        <v>33.6</v>
      </c>
      <c r="H264" s="280"/>
      <c r="I264" s="228"/>
      <c r="J264" s="280"/>
      <c r="K264" s="203"/>
      <c r="L264" s="280"/>
      <c r="M264" s="228"/>
      <c r="N264" s="280"/>
      <c r="O264" s="203"/>
      <c r="P264" s="280">
        <v>5.4</v>
      </c>
      <c r="Q264" s="241">
        <f t="shared" si="135"/>
        <v>8</v>
      </c>
      <c r="R264" s="288">
        <f t="shared" si="136"/>
        <v>17</v>
      </c>
      <c r="S264" s="206">
        <f t="shared" si="137"/>
        <v>138</v>
      </c>
      <c r="T264" s="228"/>
      <c r="U264" s="298"/>
      <c r="V264" s="208"/>
      <c r="W264" s="228">
        <v>8</v>
      </c>
      <c r="X264" s="301">
        <v>10.4</v>
      </c>
      <c r="Y264" s="315">
        <f t="shared" si="124"/>
        <v>83.2</v>
      </c>
      <c r="Z264" s="176"/>
      <c r="AA264" s="137"/>
      <c r="AB264" s="175"/>
      <c r="AC264" s="228"/>
      <c r="AD264" s="312">
        <f t="shared" si="130"/>
        <v>6.6</v>
      </c>
      <c r="AE264" s="316">
        <f t="shared" si="131"/>
        <v>54.8</v>
      </c>
    </row>
    <row r="265" spans="1:31" hidden="1" outlineLevel="2" x14ac:dyDescent="0.35">
      <c r="A265" s="177"/>
      <c r="B265" s="327" t="s">
        <v>1299</v>
      </c>
      <c r="C265" s="126" t="s">
        <v>40</v>
      </c>
      <c r="D265" s="259">
        <v>49</v>
      </c>
      <c r="E265" s="1010"/>
      <c r="F265" s="1026">
        <f>ROUND(G265/54,0)</f>
        <v>7</v>
      </c>
      <c r="G265" s="1014">
        <v>381.78</v>
      </c>
      <c r="H265" s="1016"/>
      <c r="I265" s="1018"/>
      <c r="J265" s="1016"/>
      <c r="K265" s="1020"/>
      <c r="L265" s="1016"/>
      <c r="M265" s="1018"/>
      <c r="N265" s="1016"/>
      <c r="O265" s="1020"/>
      <c r="P265" s="1075">
        <v>5.4</v>
      </c>
      <c r="Q265" s="1030">
        <v>54</v>
      </c>
      <c r="R265" s="1026">
        <f t="shared" si="136"/>
        <v>30</v>
      </c>
      <c r="S265" s="1008">
        <f t="shared" si="137"/>
        <v>1624</v>
      </c>
      <c r="T265" s="228"/>
      <c r="U265" s="298"/>
      <c r="V265" s="208"/>
      <c r="W265" s="228">
        <v>49</v>
      </c>
      <c r="X265" s="301">
        <v>38.5</v>
      </c>
      <c r="Y265" s="315">
        <f t="shared" si="124"/>
        <v>1886.5</v>
      </c>
      <c r="Z265" s="176"/>
      <c r="AA265" s="137"/>
      <c r="AB265" s="175"/>
      <c r="AC265" s="228"/>
      <c r="AD265" s="314">
        <f t="shared" si="130"/>
        <v>-8.5</v>
      </c>
      <c r="AE265" s="317">
        <f t="shared" si="131"/>
        <v>-262.5</v>
      </c>
    </row>
    <row r="266" spans="1:31" hidden="1" outlineLevel="2" x14ac:dyDescent="0.35">
      <c r="A266" s="177"/>
      <c r="B266" s="327" t="s">
        <v>1282</v>
      </c>
      <c r="C266" s="126" t="s">
        <v>40</v>
      </c>
      <c r="D266" s="259">
        <v>5</v>
      </c>
      <c r="E266" s="1011"/>
      <c r="F266" s="1027"/>
      <c r="G266" s="1015"/>
      <c r="H266" s="1017"/>
      <c r="I266" s="1019"/>
      <c r="J266" s="1017"/>
      <c r="K266" s="1021"/>
      <c r="L266" s="1017"/>
      <c r="M266" s="1019"/>
      <c r="N266" s="1017"/>
      <c r="O266" s="1021"/>
      <c r="P266" s="1076"/>
      <c r="Q266" s="1032"/>
      <c r="R266" s="1027"/>
      <c r="S266" s="1009"/>
      <c r="T266" s="228"/>
      <c r="U266" s="298"/>
      <c r="V266" s="208"/>
      <c r="W266" s="228">
        <v>5</v>
      </c>
      <c r="X266" s="301">
        <v>8</v>
      </c>
      <c r="Y266" s="315">
        <f t="shared" si="124"/>
        <v>40</v>
      </c>
      <c r="Z266" s="176"/>
      <c r="AA266" s="137"/>
      <c r="AB266" s="175"/>
      <c r="AC266" s="228"/>
      <c r="AD266" s="314">
        <f t="shared" si="130"/>
        <v>-8</v>
      </c>
      <c r="AE266" s="317">
        <f t="shared" si="131"/>
        <v>-40</v>
      </c>
    </row>
    <row r="267" spans="1:31" hidden="1" outlineLevel="2" x14ac:dyDescent="0.35">
      <c r="A267" s="177"/>
      <c r="B267" s="327" t="s">
        <v>1283</v>
      </c>
      <c r="C267" s="126" t="s">
        <v>5</v>
      </c>
      <c r="D267" s="259">
        <f>0.01*1000</f>
        <v>10</v>
      </c>
      <c r="E267" s="38"/>
      <c r="F267" s="270">
        <f t="shared" si="120"/>
        <v>12</v>
      </c>
      <c r="G267" s="224">
        <v>121.77</v>
      </c>
      <c r="H267" s="280"/>
      <c r="I267" s="228"/>
      <c r="J267" s="280"/>
      <c r="K267" s="203"/>
      <c r="L267" s="280"/>
      <c r="M267" s="228"/>
      <c r="N267" s="280"/>
      <c r="O267" s="203"/>
      <c r="P267" s="280">
        <v>5.4</v>
      </c>
      <c r="Q267" s="241">
        <f t="shared" si="121"/>
        <v>10</v>
      </c>
      <c r="R267" s="288">
        <f t="shared" si="122"/>
        <v>52</v>
      </c>
      <c r="S267" s="206">
        <f t="shared" si="123"/>
        <v>516</v>
      </c>
      <c r="T267" s="228"/>
      <c r="U267" s="298"/>
      <c r="V267" s="208"/>
      <c r="W267" s="228">
        <v>10</v>
      </c>
      <c r="X267" s="301">
        <v>31.55</v>
      </c>
      <c r="Y267" s="315">
        <f t="shared" si="124"/>
        <v>315.5</v>
      </c>
      <c r="Z267" s="176"/>
      <c r="AA267" s="137"/>
      <c r="AB267" s="175"/>
      <c r="AC267" s="228"/>
      <c r="AD267" s="312">
        <f t="shared" si="130"/>
        <v>20.45</v>
      </c>
      <c r="AE267" s="316">
        <f t="shared" si="131"/>
        <v>200.5</v>
      </c>
    </row>
    <row r="268" spans="1:31" hidden="1" outlineLevel="2" x14ac:dyDescent="0.35">
      <c r="A268" s="177"/>
      <c r="B268" s="327" t="s">
        <v>1284</v>
      </c>
      <c r="C268" s="126" t="s">
        <v>5</v>
      </c>
      <c r="D268" s="259">
        <f>0.08*1000</f>
        <v>80</v>
      </c>
      <c r="E268" s="38"/>
      <c r="F268" s="270">
        <f t="shared" si="120"/>
        <v>11</v>
      </c>
      <c r="G268" s="224">
        <v>875.72</v>
      </c>
      <c r="H268" s="280"/>
      <c r="I268" s="228"/>
      <c r="J268" s="280"/>
      <c r="K268" s="203"/>
      <c r="L268" s="280"/>
      <c r="M268" s="228"/>
      <c r="N268" s="280"/>
      <c r="O268" s="203"/>
      <c r="P268" s="280">
        <v>5.4</v>
      </c>
      <c r="Q268" s="241">
        <f t="shared" si="121"/>
        <v>80</v>
      </c>
      <c r="R268" s="288">
        <f t="shared" si="122"/>
        <v>47</v>
      </c>
      <c r="S268" s="206">
        <f t="shared" si="123"/>
        <v>3782</v>
      </c>
      <c r="T268" s="228"/>
      <c r="U268" s="298"/>
      <c r="V268" s="208"/>
      <c r="W268" s="228">
        <v>80</v>
      </c>
      <c r="X268" s="301">
        <v>41.6</v>
      </c>
      <c r="Y268" s="315">
        <f t="shared" si="124"/>
        <v>3328</v>
      </c>
      <c r="Z268" s="176"/>
      <c r="AA268" s="137"/>
      <c r="AB268" s="175"/>
      <c r="AC268" s="228"/>
      <c r="AD268" s="312">
        <f t="shared" si="130"/>
        <v>5.3999999999999986</v>
      </c>
      <c r="AE268" s="316">
        <f t="shared" si="131"/>
        <v>454</v>
      </c>
    </row>
    <row r="269" spans="1:31" hidden="1" outlineLevel="2" x14ac:dyDescent="0.35">
      <c r="A269" s="177"/>
      <c r="B269" s="327" t="s">
        <v>1285</v>
      </c>
      <c r="C269" s="126" t="s">
        <v>5</v>
      </c>
      <c r="D269" s="259">
        <f>0.205*1000</f>
        <v>205</v>
      </c>
      <c r="E269" s="38"/>
      <c r="F269" s="270">
        <f t="shared" si="120"/>
        <v>8</v>
      </c>
      <c r="G269" s="224">
        <v>1613.13</v>
      </c>
      <c r="H269" s="280"/>
      <c r="I269" s="228"/>
      <c r="J269" s="280"/>
      <c r="K269" s="203"/>
      <c r="L269" s="280"/>
      <c r="M269" s="228"/>
      <c r="N269" s="280"/>
      <c r="O269" s="203"/>
      <c r="P269" s="280">
        <v>5.4</v>
      </c>
      <c r="Q269" s="241">
        <f t="shared" si="121"/>
        <v>205</v>
      </c>
      <c r="R269" s="288">
        <f t="shared" si="122"/>
        <v>34</v>
      </c>
      <c r="S269" s="206">
        <f>ROUND(Q269*P269*F269*0.7958,0)</f>
        <v>7048</v>
      </c>
      <c r="T269" s="228"/>
      <c r="U269" s="298"/>
      <c r="V269" s="208"/>
      <c r="W269" s="228">
        <v>205</v>
      </c>
      <c r="X269" s="301">
        <v>34.6</v>
      </c>
      <c r="Y269" s="315">
        <f t="shared" si="124"/>
        <v>7093</v>
      </c>
      <c r="Z269" s="176"/>
      <c r="AA269" s="137"/>
      <c r="AB269" s="175"/>
      <c r="AC269" s="228"/>
      <c r="AD269" s="312">
        <f t="shared" si="130"/>
        <v>-0.60000000000000142</v>
      </c>
      <c r="AE269" s="316">
        <f t="shared" si="131"/>
        <v>-45</v>
      </c>
    </row>
    <row r="270" spans="1:31" hidden="1" outlineLevel="2" x14ac:dyDescent="0.35">
      <c r="A270" s="177"/>
      <c r="B270" s="327" t="s">
        <v>1286</v>
      </c>
      <c r="C270" s="126" t="s">
        <v>5</v>
      </c>
      <c r="D270" s="259">
        <v>20</v>
      </c>
      <c r="E270" s="38"/>
      <c r="F270" s="270">
        <f t="shared" si="120"/>
        <v>7</v>
      </c>
      <c r="G270" s="224">
        <f>6.67*20</f>
        <v>133.4</v>
      </c>
      <c r="H270" s="280"/>
      <c r="I270" s="228"/>
      <c r="J270" s="280"/>
      <c r="K270" s="203"/>
      <c r="L270" s="280"/>
      <c r="M270" s="228"/>
      <c r="N270" s="280"/>
      <c r="O270" s="203"/>
      <c r="P270" s="280">
        <v>5.4</v>
      </c>
      <c r="Q270" s="241">
        <f t="shared" ref="Q270:Q271" si="138">D270-I270-M270</f>
        <v>20</v>
      </c>
      <c r="R270" s="288">
        <f t="shared" ref="R270:R271" si="139">ROUND(F270*P270*0.7958,0)</f>
        <v>30</v>
      </c>
      <c r="S270" s="206">
        <f t="shared" ref="S270:S271" si="140">ROUND(Q270*P270*F270*0.7958,0)</f>
        <v>602</v>
      </c>
      <c r="T270" s="228"/>
      <c r="U270" s="298"/>
      <c r="V270" s="208"/>
      <c r="W270" s="228">
        <v>20</v>
      </c>
      <c r="X270" s="301">
        <v>25.6</v>
      </c>
      <c r="Y270" s="315">
        <f t="shared" ref="Y270:Y301" si="141">W270*X270</f>
        <v>512</v>
      </c>
      <c r="Z270" s="176"/>
      <c r="AA270" s="137"/>
      <c r="AB270" s="175"/>
      <c r="AC270" s="228"/>
      <c r="AD270" s="312">
        <f t="shared" si="130"/>
        <v>4.3999999999999986</v>
      </c>
      <c r="AE270" s="316">
        <f t="shared" si="131"/>
        <v>90</v>
      </c>
    </row>
    <row r="271" spans="1:31" hidden="1" outlineLevel="2" x14ac:dyDescent="0.35">
      <c r="A271" s="177"/>
      <c r="B271" s="327" t="s">
        <v>1287</v>
      </c>
      <c r="C271" s="126" t="s">
        <v>5</v>
      </c>
      <c r="D271" s="259">
        <v>35</v>
      </c>
      <c r="E271" s="38"/>
      <c r="F271" s="270">
        <f t="shared" si="120"/>
        <v>7</v>
      </c>
      <c r="G271" s="224">
        <f>6.67*35</f>
        <v>233.45</v>
      </c>
      <c r="H271" s="280"/>
      <c r="I271" s="228"/>
      <c r="J271" s="280"/>
      <c r="K271" s="203"/>
      <c r="L271" s="280"/>
      <c r="M271" s="228"/>
      <c r="N271" s="280"/>
      <c r="O271" s="203"/>
      <c r="P271" s="280">
        <v>5.4</v>
      </c>
      <c r="Q271" s="241">
        <f t="shared" si="138"/>
        <v>35</v>
      </c>
      <c r="R271" s="288">
        <f t="shared" si="139"/>
        <v>30</v>
      </c>
      <c r="S271" s="206">
        <f t="shared" si="140"/>
        <v>1053</v>
      </c>
      <c r="T271" s="228"/>
      <c r="U271" s="298"/>
      <c r="V271" s="208"/>
      <c r="W271" s="228">
        <v>35</v>
      </c>
      <c r="X271" s="301">
        <v>29.3</v>
      </c>
      <c r="Y271" s="315">
        <f t="shared" si="141"/>
        <v>1025.5</v>
      </c>
      <c r="Z271" s="176"/>
      <c r="AA271" s="137"/>
      <c r="AB271" s="175"/>
      <c r="AC271" s="228"/>
      <c r="AD271" s="312">
        <f t="shared" si="130"/>
        <v>0.69999999999999929</v>
      </c>
      <c r="AE271" s="316">
        <f t="shared" si="131"/>
        <v>27.5</v>
      </c>
    </row>
    <row r="272" spans="1:31" hidden="1" outlineLevel="2" x14ac:dyDescent="0.35">
      <c r="A272" s="177"/>
      <c r="B272" s="327" t="s">
        <v>1288</v>
      </c>
      <c r="C272" s="126" t="s">
        <v>5</v>
      </c>
      <c r="D272" s="259">
        <f>0.01*1000</f>
        <v>10</v>
      </c>
      <c r="E272" s="38"/>
      <c r="F272" s="270">
        <f t="shared" si="120"/>
        <v>11</v>
      </c>
      <c r="G272" s="224">
        <v>105.79</v>
      </c>
      <c r="H272" s="280"/>
      <c r="I272" s="228"/>
      <c r="J272" s="280"/>
      <c r="K272" s="203"/>
      <c r="L272" s="280"/>
      <c r="M272" s="228"/>
      <c r="N272" s="280"/>
      <c r="O272" s="203"/>
      <c r="P272" s="280">
        <v>5.4</v>
      </c>
      <c r="Q272" s="241">
        <f t="shared" si="121"/>
        <v>10</v>
      </c>
      <c r="R272" s="288">
        <f t="shared" si="122"/>
        <v>47</v>
      </c>
      <c r="S272" s="206">
        <f t="shared" si="123"/>
        <v>473</v>
      </c>
      <c r="T272" s="228"/>
      <c r="U272" s="298"/>
      <c r="V272" s="208"/>
      <c r="W272" s="228">
        <v>10</v>
      </c>
      <c r="X272" s="301">
        <v>38.799999999999997</v>
      </c>
      <c r="Y272" s="315">
        <f t="shared" si="141"/>
        <v>388</v>
      </c>
      <c r="Z272" s="176"/>
      <c r="AA272" s="137"/>
      <c r="AB272" s="175"/>
      <c r="AC272" s="228"/>
      <c r="AD272" s="312">
        <f t="shared" si="130"/>
        <v>8.2000000000000028</v>
      </c>
      <c r="AE272" s="316">
        <f t="shared" si="131"/>
        <v>85</v>
      </c>
    </row>
    <row r="273" spans="1:31" hidden="1" outlineLevel="2" x14ac:dyDescent="0.35">
      <c r="A273" s="177"/>
      <c r="B273" s="328" t="s">
        <v>1321</v>
      </c>
      <c r="C273" s="126" t="s">
        <v>28</v>
      </c>
      <c r="D273" s="259">
        <v>0.03</v>
      </c>
      <c r="E273" s="38"/>
      <c r="F273" s="270">
        <f t="shared" si="120"/>
        <v>11573</v>
      </c>
      <c r="G273" s="224">
        <v>347.18</v>
      </c>
      <c r="H273" s="280"/>
      <c r="I273" s="228"/>
      <c r="J273" s="280"/>
      <c r="K273" s="203"/>
      <c r="L273" s="280"/>
      <c r="M273" s="228"/>
      <c r="N273" s="280"/>
      <c r="O273" s="203"/>
      <c r="P273" s="280">
        <v>5.4</v>
      </c>
      <c r="Q273" s="241">
        <f t="shared" si="121"/>
        <v>0.03</v>
      </c>
      <c r="R273" s="288">
        <f t="shared" si="122"/>
        <v>49733</v>
      </c>
      <c r="S273" s="206">
        <f t="shared" si="123"/>
        <v>1492</v>
      </c>
      <c r="T273" s="228"/>
      <c r="U273" s="298"/>
      <c r="V273" s="208"/>
      <c r="W273" s="228">
        <v>0.03</v>
      </c>
      <c r="X273" s="301">
        <v>135525</v>
      </c>
      <c r="Y273" s="315">
        <f t="shared" si="141"/>
        <v>4065.75</v>
      </c>
      <c r="Z273" s="176"/>
      <c r="AA273" s="137"/>
      <c r="AB273" s="175"/>
      <c r="AC273" s="228"/>
      <c r="AD273" s="314">
        <f t="shared" si="130"/>
        <v>-85792</v>
      </c>
      <c r="AE273" s="317">
        <f t="shared" si="131"/>
        <v>-2573.75</v>
      </c>
    </row>
    <row r="274" spans="1:31" hidden="1" outlineLevel="2" x14ac:dyDescent="0.35">
      <c r="A274" s="177"/>
      <c r="B274" s="327" t="s">
        <v>1289</v>
      </c>
      <c r="C274" s="126" t="s">
        <v>40</v>
      </c>
      <c r="D274" s="259">
        <v>15</v>
      </c>
      <c r="E274" s="38"/>
      <c r="F274" s="270">
        <f t="shared" si="120"/>
        <v>43</v>
      </c>
      <c r="G274" s="224">
        <v>644.85</v>
      </c>
      <c r="H274" s="280"/>
      <c r="I274" s="228"/>
      <c r="J274" s="280"/>
      <c r="K274" s="203"/>
      <c r="L274" s="280"/>
      <c r="M274" s="228"/>
      <c r="N274" s="280"/>
      <c r="O274" s="203"/>
      <c r="P274" s="280">
        <v>5.4</v>
      </c>
      <c r="Q274" s="241">
        <f t="shared" si="121"/>
        <v>15</v>
      </c>
      <c r="R274" s="288">
        <f t="shared" si="122"/>
        <v>185</v>
      </c>
      <c r="S274" s="206">
        <f t="shared" si="123"/>
        <v>2772</v>
      </c>
      <c r="T274" s="228"/>
      <c r="U274" s="298"/>
      <c r="V274" s="208"/>
      <c r="W274" s="228">
        <v>15</v>
      </c>
      <c r="X274" s="301">
        <v>76</v>
      </c>
      <c r="Y274" s="315">
        <f t="shared" si="141"/>
        <v>1140</v>
      </c>
      <c r="Z274" s="176"/>
      <c r="AA274" s="137"/>
      <c r="AB274" s="175"/>
      <c r="AC274" s="228"/>
      <c r="AD274" s="312">
        <f t="shared" si="130"/>
        <v>109</v>
      </c>
      <c r="AE274" s="316">
        <f t="shared" si="131"/>
        <v>1632</v>
      </c>
    </row>
    <row r="275" spans="1:31" ht="31.2" hidden="1" outlineLevel="2" x14ac:dyDescent="0.35">
      <c r="A275" s="177"/>
      <c r="B275" s="327" t="s">
        <v>1281</v>
      </c>
      <c r="C275" s="126" t="s">
        <v>40</v>
      </c>
      <c r="D275" s="259">
        <v>8</v>
      </c>
      <c r="E275" s="38"/>
      <c r="F275" s="270">
        <f t="shared" si="120"/>
        <v>4</v>
      </c>
      <c r="G275" s="224">
        <v>33.6</v>
      </c>
      <c r="H275" s="280"/>
      <c r="I275" s="228"/>
      <c r="J275" s="280"/>
      <c r="K275" s="203"/>
      <c r="L275" s="280"/>
      <c r="M275" s="228"/>
      <c r="N275" s="280"/>
      <c r="O275" s="203"/>
      <c r="P275" s="280">
        <v>5.4</v>
      </c>
      <c r="Q275" s="241">
        <f t="shared" si="121"/>
        <v>8</v>
      </c>
      <c r="R275" s="288">
        <f t="shared" si="122"/>
        <v>17</v>
      </c>
      <c r="S275" s="206">
        <f t="shared" si="123"/>
        <v>138</v>
      </c>
      <c r="T275" s="228"/>
      <c r="U275" s="298"/>
      <c r="V275" s="208"/>
      <c r="W275" s="228">
        <v>8</v>
      </c>
      <c r="X275" s="301">
        <v>10.4</v>
      </c>
      <c r="Y275" s="315">
        <f t="shared" si="141"/>
        <v>83.2</v>
      </c>
      <c r="Z275" s="176"/>
      <c r="AA275" s="137"/>
      <c r="AB275" s="175"/>
      <c r="AC275" s="228"/>
      <c r="AD275" s="312">
        <f t="shared" si="130"/>
        <v>6.6</v>
      </c>
      <c r="AE275" s="316">
        <f t="shared" si="131"/>
        <v>54.8</v>
      </c>
    </row>
    <row r="276" spans="1:31" ht="31.2" hidden="1" outlineLevel="2" x14ac:dyDescent="0.35">
      <c r="A276" s="177"/>
      <c r="B276" s="327" t="s">
        <v>1333</v>
      </c>
      <c r="C276" s="126" t="s">
        <v>28</v>
      </c>
      <c r="D276" s="259">
        <v>2.5000000000000001E-2</v>
      </c>
      <c r="E276" s="180" t="s">
        <v>1290</v>
      </c>
      <c r="F276" s="270">
        <f t="shared" si="120"/>
        <v>6360</v>
      </c>
      <c r="G276" s="224">
        <v>159</v>
      </c>
      <c r="H276" s="280"/>
      <c r="I276" s="228"/>
      <c r="J276" s="280"/>
      <c r="K276" s="203"/>
      <c r="L276" s="280"/>
      <c r="M276" s="228"/>
      <c r="N276" s="280"/>
      <c r="O276" s="203"/>
      <c r="P276" s="280">
        <v>5.4</v>
      </c>
      <c r="Q276" s="241">
        <f t="shared" si="121"/>
        <v>2.5000000000000001E-2</v>
      </c>
      <c r="R276" s="288">
        <f t="shared" si="122"/>
        <v>27331</v>
      </c>
      <c r="S276" s="206">
        <f t="shared" si="123"/>
        <v>683</v>
      </c>
      <c r="T276" s="228"/>
      <c r="U276" s="298"/>
      <c r="V276" s="208"/>
      <c r="W276" s="228">
        <v>2.5000000000000001E-2</v>
      </c>
      <c r="X276" s="301">
        <v>135525</v>
      </c>
      <c r="Y276" s="315">
        <f t="shared" si="141"/>
        <v>3388.125</v>
      </c>
      <c r="Z276" s="176"/>
      <c r="AA276" s="137"/>
      <c r="AB276" s="175"/>
      <c r="AC276" s="228"/>
      <c r="AD276" s="314">
        <f t="shared" si="130"/>
        <v>-108194</v>
      </c>
      <c r="AE276" s="317">
        <f t="shared" si="131"/>
        <v>-2705.125</v>
      </c>
    </row>
    <row r="277" spans="1:31" ht="28.8" hidden="1" outlineLevel="2" x14ac:dyDescent="0.35">
      <c r="A277" s="177"/>
      <c r="B277" s="327" t="s">
        <v>1334</v>
      </c>
      <c r="C277" s="126" t="s">
        <v>40</v>
      </c>
      <c r="D277" s="259">
        <v>24</v>
      </c>
      <c r="E277" s="190" t="s">
        <v>1311</v>
      </c>
      <c r="F277" s="270">
        <f t="shared" si="120"/>
        <v>94</v>
      </c>
      <c r="G277" s="224">
        <v>2254.56</v>
      </c>
      <c r="H277" s="280"/>
      <c r="I277" s="228"/>
      <c r="J277" s="280"/>
      <c r="K277" s="203"/>
      <c r="L277" s="280"/>
      <c r="M277" s="228"/>
      <c r="N277" s="280"/>
      <c r="O277" s="203"/>
      <c r="P277" s="280">
        <v>5.4</v>
      </c>
      <c r="Q277" s="241">
        <f t="shared" si="121"/>
        <v>24</v>
      </c>
      <c r="R277" s="288">
        <f t="shared" si="122"/>
        <v>404</v>
      </c>
      <c r="S277" s="206">
        <f t="shared" si="123"/>
        <v>9695</v>
      </c>
      <c r="T277" s="228"/>
      <c r="U277" s="298"/>
      <c r="V277" s="208"/>
      <c r="W277" s="228">
        <v>24</v>
      </c>
      <c r="X277" s="301">
        <v>705.6</v>
      </c>
      <c r="Y277" s="315">
        <f t="shared" si="141"/>
        <v>16934.400000000001</v>
      </c>
      <c r="Z277" s="176"/>
      <c r="AA277" s="137"/>
      <c r="AB277" s="175"/>
      <c r="AC277" s="228"/>
      <c r="AD277" s="314">
        <f t="shared" si="130"/>
        <v>-301.60000000000002</v>
      </c>
      <c r="AE277" s="317">
        <f t="shared" si="131"/>
        <v>-7239.4000000000015</v>
      </c>
    </row>
    <row r="278" spans="1:31" hidden="1" outlineLevel="2" x14ac:dyDescent="0.35">
      <c r="A278" s="177"/>
      <c r="B278" s="327" t="s">
        <v>1298</v>
      </c>
      <c r="C278" s="126" t="s">
        <v>40</v>
      </c>
      <c r="D278" s="259">
        <v>40</v>
      </c>
      <c r="E278" s="38"/>
      <c r="F278" s="270">
        <f t="shared" si="120"/>
        <v>4</v>
      </c>
      <c r="G278" s="224">
        <v>147.19999999999999</v>
      </c>
      <c r="H278" s="280"/>
      <c r="I278" s="228"/>
      <c r="J278" s="280"/>
      <c r="K278" s="203"/>
      <c r="L278" s="280"/>
      <c r="M278" s="228"/>
      <c r="N278" s="280"/>
      <c r="O278" s="203"/>
      <c r="P278" s="280">
        <v>5.4</v>
      </c>
      <c r="Q278" s="241">
        <f t="shared" si="121"/>
        <v>40</v>
      </c>
      <c r="R278" s="288">
        <f t="shared" si="122"/>
        <v>17</v>
      </c>
      <c r="S278" s="206">
        <f t="shared" si="123"/>
        <v>688</v>
      </c>
      <c r="T278" s="228"/>
      <c r="U278" s="298"/>
      <c r="V278" s="208"/>
      <c r="W278" s="228">
        <v>40</v>
      </c>
      <c r="X278" s="301">
        <v>25.6</v>
      </c>
      <c r="Y278" s="315">
        <f t="shared" si="141"/>
        <v>1024</v>
      </c>
      <c r="Z278" s="176"/>
      <c r="AA278" s="137"/>
      <c r="AB278" s="175"/>
      <c r="AC278" s="228"/>
      <c r="AD278" s="314">
        <f t="shared" si="130"/>
        <v>-8.6000000000000014</v>
      </c>
      <c r="AE278" s="317">
        <f t="shared" si="131"/>
        <v>-336</v>
      </c>
    </row>
    <row r="279" spans="1:31" hidden="1" outlineLevel="2" x14ac:dyDescent="0.35">
      <c r="A279" s="177"/>
      <c r="B279" s="327" t="s">
        <v>427</v>
      </c>
      <c r="C279" s="126" t="s">
        <v>16</v>
      </c>
      <c r="D279" s="259">
        <f>1.6848+0.64</f>
        <v>2.3248000000000002</v>
      </c>
      <c r="E279" s="38"/>
      <c r="F279" s="270">
        <f t="shared" si="120"/>
        <v>72</v>
      </c>
      <c r="G279" s="224">
        <f>121.79+45</f>
        <v>166.79000000000002</v>
      </c>
      <c r="H279" s="280"/>
      <c r="I279" s="228"/>
      <c r="J279" s="280"/>
      <c r="K279" s="203"/>
      <c r="L279" s="280"/>
      <c r="M279" s="228"/>
      <c r="N279" s="280"/>
      <c r="O279" s="203"/>
      <c r="P279" s="280">
        <v>5.4</v>
      </c>
      <c r="Q279" s="241">
        <f t="shared" si="121"/>
        <v>2.3248000000000002</v>
      </c>
      <c r="R279" s="288">
        <f t="shared" si="122"/>
        <v>309</v>
      </c>
      <c r="S279" s="206">
        <f t="shared" si="123"/>
        <v>719</v>
      </c>
      <c r="T279" s="228"/>
      <c r="U279" s="298"/>
      <c r="V279" s="208"/>
      <c r="W279" s="228">
        <f>D279</f>
        <v>2.3248000000000002</v>
      </c>
      <c r="X279" s="301">
        <v>272</v>
      </c>
      <c r="Y279" s="315">
        <f t="shared" si="141"/>
        <v>632.3456000000001</v>
      </c>
      <c r="Z279" s="176"/>
      <c r="AA279" s="137"/>
      <c r="AB279" s="175"/>
      <c r="AC279" s="228"/>
      <c r="AD279" s="312">
        <f t="shared" si="130"/>
        <v>37</v>
      </c>
      <c r="AE279" s="316">
        <f t="shared" si="131"/>
        <v>86.654399999999896</v>
      </c>
    </row>
    <row r="280" spans="1:31" ht="31.2" hidden="1" outlineLevel="2" x14ac:dyDescent="0.35">
      <c r="A280" s="177"/>
      <c r="B280" s="327" t="s">
        <v>1276</v>
      </c>
      <c r="C280" s="126" t="s">
        <v>40</v>
      </c>
      <c r="D280" s="259">
        <v>1</v>
      </c>
      <c r="E280" s="38"/>
      <c r="F280" s="270">
        <f t="shared" si="120"/>
        <v>38</v>
      </c>
      <c r="G280" s="224">
        <v>38.29</v>
      </c>
      <c r="H280" s="280"/>
      <c r="I280" s="228"/>
      <c r="J280" s="280"/>
      <c r="K280" s="203"/>
      <c r="L280" s="280"/>
      <c r="M280" s="228"/>
      <c r="N280" s="280"/>
      <c r="O280" s="203"/>
      <c r="P280" s="280">
        <v>5.4</v>
      </c>
      <c r="Q280" s="241">
        <f t="shared" si="121"/>
        <v>1</v>
      </c>
      <c r="R280" s="288">
        <f t="shared" si="122"/>
        <v>163</v>
      </c>
      <c r="S280" s="206">
        <f t="shared" si="123"/>
        <v>163</v>
      </c>
      <c r="T280" s="228"/>
      <c r="U280" s="298"/>
      <c r="V280" s="208"/>
      <c r="W280" s="228">
        <f t="shared" ref="W280:W306" si="142">D280</f>
        <v>1</v>
      </c>
      <c r="X280" s="301">
        <v>630</v>
      </c>
      <c r="Y280" s="315">
        <f t="shared" si="141"/>
        <v>630</v>
      </c>
      <c r="Z280" s="176"/>
      <c r="AA280" s="137"/>
      <c r="AB280" s="175"/>
      <c r="AC280" s="228"/>
      <c r="AD280" s="314">
        <f t="shared" si="130"/>
        <v>-467</v>
      </c>
      <c r="AE280" s="317">
        <f t="shared" si="131"/>
        <v>-467</v>
      </c>
    </row>
    <row r="281" spans="1:31" ht="46.8" hidden="1" outlineLevel="2" x14ac:dyDescent="0.35">
      <c r="A281" s="177"/>
      <c r="B281" s="327" t="s">
        <v>1329</v>
      </c>
      <c r="C281" s="126" t="s">
        <v>40</v>
      </c>
      <c r="D281" s="259">
        <v>20</v>
      </c>
      <c r="E281" s="38"/>
      <c r="F281" s="270">
        <f>ROUND(G281/D281,0)</f>
        <v>1094</v>
      </c>
      <c r="G281" s="224">
        <f>1093.51*20</f>
        <v>21870.2</v>
      </c>
      <c r="H281" s="280"/>
      <c r="I281" s="228"/>
      <c r="J281" s="280"/>
      <c r="K281" s="203"/>
      <c r="L281" s="280"/>
      <c r="M281" s="228"/>
      <c r="N281" s="280"/>
      <c r="O281" s="203"/>
      <c r="P281" s="280">
        <v>5.4</v>
      </c>
      <c r="Q281" s="241">
        <f t="shared" si="121"/>
        <v>20</v>
      </c>
      <c r="R281" s="288">
        <f t="shared" ref="R281" si="143">ROUND(F281*P281*0.7958,0)</f>
        <v>4701</v>
      </c>
      <c r="S281" s="206">
        <f t="shared" ref="S281" si="144">ROUND(Q281*P281*F281*0.7958,0)</f>
        <v>94025</v>
      </c>
      <c r="T281" s="228"/>
      <c r="U281" s="298"/>
      <c r="V281" s="208"/>
      <c r="W281" s="228">
        <f t="shared" si="142"/>
        <v>20</v>
      </c>
      <c r="X281" s="301">
        <v>4194.58</v>
      </c>
      <c r="Y281" s="315">
        <f t="shared" si="141"/>
        <v>83891.6</v>
      </c>
      <c r="Z281" s="176"/>
      <c r="AA281" s="137"/>
      <c r="AB281" s="175"/>
      <c r="AC281" s="228"/>
      <c r="AD281" s="312">
        <f t="shared" si="130"/>
        <v>506.42000000000007</v>
      </c>
      <c r="AE281" s="316">
        <f t="shared" si="131"/>
        <v>10133.399999999994</v>
      </c>
    </row>
    <row r="282" spans="1:31" ht="46.8" hidden="1" outlineLevel="2" x14ac:dyDescent="0.35">
      <c r="A282" s="177"/>
      <c r="B282" s="327" t="s">
        <v>1330</v>
      </c>
      <c r="C282" s="126" t="s">
        <v>40</v>
      </c>
      <c r="D282" s="259">
        <v>8</v>
      </c>
      <c r="E282" s="38"/>
      <c r="F282" s="270">
        <f>ROUND(G282/D282,0)</f>
        <v>1094</v>
      </c>
      <c r="G282" s="224">
        <f>1093.51*8</f>
        <v>8748.08</v>
      </c>
      <c r="H282" s="280"/>
      <c r="I282" s="228"/>
      <c r="J282" s="280"/>
      <c r="K282" s="203"/>
      <c r="L282" s="280"/>
      <c r="M282" s="228"/>
      <c r="N282" s="280"/>
      <c r="O282" s="203"/>
      <c r="P282" s="280">
        <v>5.4</v>
      </c>
      <c r="Q282" s="241">
        <f t="shared" ref="Q282" si="145">D282-I282-M282</f>
        <v>8</v>
      </c>
      <c r="R282" s="288">
        <f t="shared" ref="R282" si="146">ROUND(F282*P282*0.7958,0)</f>
        <v>4701</v>
      </c>
      <c r="S282" s="206">
        <f t="shared" ref="S282" si="147">ROUND(Q282*P282*F282*0.7958,0)</f>
        <v>37610</v>
      </c>
      <c r="T282" s="228"/>
      <c r="U282" s="298"/>
      <c r="V282" s="208"/>
      <c r="W282" s="228">
        <f t="shared" si="142"/>
        <v>8</v>
      </c>
      <c r="X282" s="301">
        <v>3105.84</v>
      </c>
      <c r="Y282" s="315">
        <f t="shared" si="141"/>
        <v>24846.720000000001</v>
      </c>
      <c r="Z282" s="176"/>
      <c r="AA282" s="137"/>
      <c r="AB282" s="175"/>
      <c r="AC282" s="228"/>
      <c r="AD282" s="312">
        <f t="shared" si="130"/>
        <v>1595.1599999999999</v>
      </c>
      <c r="AE282" s="316">
        <f t="shared" si="131"/>
        <v>12763.279999999999</v>
      </c>
    </row>
    <row r="283" spans="1:31" ht="46.8" hidden="1" outlineLevel="2" x14ac:dyDescent="0.35">
      <c r="A283" s="177"/>
      <c r="B283" s="327" t="s">
        <v>1331</v>
      </c>
      <c r="C283" s="126" t="s">
        <v>40</v>
      </c>
      <c r="D283" s="259">
        <v>9</v>
      </c>
      <c r="E283" s="38"/>
      <c r="F283" s="270">
        <f>ROUND(G283/D283,0)</f>
        <v>1094</v>
      </c>
      <c r="G283" s="224">
        <f>1093.51*9</f>
        <v>9841.59</v>
      </c>
      <c r="H283" s="280"/>
      <c r="I283" s="228"/>
      <c r="J283" s="280"/>
      <c r="K283" s="203"/>
      <c r="L283" s="280"/>
      <c r="M283" s="228"/>
      <c r="N283" s="280"/>
      <c r="O283" s="203"/>
      <c r="P283" s="280">
        <v>5.4</v>
      </c>
      <c r="Q283" s="241">
        <f t="shared" ref="Q283" si="148">D283-I283-M283</f>
        <v>9</v>
      </c>
      <c r="R283" s="288">
        <f t="shared" ref="R283" si="149">ROUND(F283*P283*0.7958,0)</f>
        <v>4701</v>
      </c>
      <c r="S283" s="206">
        <f t="shared" ref="S283" si="150">ROUND(Q283*P283*F283*0.7958,0)</f>
        <v>42311</v>
      </c>
      <c r="T283" s="228"/>
      <c r="U283" s="298"/>
      <c r="V283" s="208"/>
      <c r="W283" s="228">
        <f t="shared" si="142"/>
        <v>9</v>
      </c>
      <c r="X283" s="301">
        <v>3126.4</v>
      </c>
      <c r="Y283" s="315">
        <f t="shared" si="141"/>
        <v>28137.600000000002</v>
      </c>
      <c r="Z283" s="176"/>
      <c r="AA283" s="137"/>
      <c r="AB283" s="175"/>
      <c r="AC283" s="228"/>
      <c r="AD283" s="312">
        <f t="shared" si="130"/>
        <v>1574.6</v>
      </c>
      <c r="AE283" s="316">
        <f t="shared" si="131"/>
        <v>14173.399999999998</v>
      </c>
    </row>
    <row r="284" spans="1:31" ht="46.8" hidden="1" outlineLevel="2" x14ac:dyDescent="0.35">
      <c r="A284" s="177"/>
      <c r="B284" s="327" t="s">
        <v>1332</v>
      </c>
      <c r="C284" s="126" t="s">
        <v>40</v>
      </c>
      <c r="D284" s="259">
        <v>7</v>
      </c>
      <c r="E284" s="38"/>
      <c r="F284" s="270">
        <f>ROUND(G284/D284,0)</f>
        <v>1094</v>
      </c>
      <c r="G284" s="224">
        <f>1093.51*7</f>
        <v>7654.57</v>
      </c>
      <c r="H284" s="280"/>
      <c r="I284" s="228"/>
      <c r="J284" s="280"/>
      <c r="K284" s="203"/>
      <c r="L284" s="280"/>
      <c r="M284" s="228"/>
      <c r="N284" s="280"/>
      <c r="O284" s="203"/>
      <c r="P284" s="280">
        <v>5.4</v>
      </c>
      <c r="Q284" s="241">
        <f t="shared" ref="Q284" si="151">D284-I284-M284</f>
        <v>7</v>
      </c>
      <c r="R284" s="288">
        <f t="shared" ref="R284" si="152">ROUND(F284*P284*0.7958,0)</f>
        <v>4701</v>
      </c>
      <c r="S284" s="206">
        <f t="shared" ref="S284" si="153">ROUND(Q284*P284*F284*0.7958,0)</f>
        <v>32909</v>
      </c>
      <c r="T284" s="228"/>
      <c r="U284" s="298"/>
      <c r="V284" s="208"/>
      <c r="W284" s="228">
        <f t="shared" si="142"/>
        <v>7</v>
      </c>
      <c r="X284" s="301">
        <v>7600</v>
      </c>
      <c r="Y284" s="315">
        <f t="shared" si="141"/>
        <v>53200</v>
      </c>
      <c r="Z284" s="176"/>
      <c r="AA284" s="137"/>
      <c r="AB284" s="175"/>
      <c r="AC284" s="228"/>
      <c r="AD284" s="314">
        <f t="shared" si="130"/>
        <v>-2899</v>
      </c>
      <c r="AE284" s="317">
        <f t="shared" si="131"/>
        <v>-20291</v>
      </c>
    </row>
    <row r="285" spans="1:31" hidden="1" outlineLevel="2" x14ac:dyDescent="0.35">
      <c r="A285" s="177"/>
      <c r="B285" s="327" t="s">
        <v>1190</v>
      </c>
      <c r="C285" s="126" t="s">
        <v>28</v>
      </c>
      <c r="D285" s="259">
        <v>1.0500000000000001E-2</v>
      </c>
      <c r="E285" s="38"/>
      <c r="F285" s="270">
        <f t="shared" si="120"/>
        <v>4797</v>
      </c>
      <c r="G285" s="224">
        <v>50.37</v>
      </c>
      <c r="H285" s="280"/>
      <c r="I285" s="228"/>
      <c r="J285" s="280"/>
      <c r="K285" s="203"/>
      <c r="L285" s="280"/>
      <c r="M285" s="228"/>
      <c r="N285" s="280"/>
      <c r="O285" s="203"/>
      <c r="P285" s="280">
        <v>5.4</v>
      </c>
      <c r="Q285" s="241">
        <f t="shared" si="121"/>
        <v>1.0500000000000001E-2</v>
      </c>
      <c r="R285" s="288">
        <f t="shared" si="122"/>
        <v>20614</v>
      </c>
      <c r="S285" s="206">
        <f t="shared" si="123"/>
        <v>216</v>
      </c>
      <c r="T285" s="228"/>
      <c r="U285" s="298"/>
      <c r="V285" s="208"/>
      <c r="W285" s="228">
        <f t="shared" si="142"/>
        <v>1.0500000000000001E-2</v>
      </c>
      <c r="X285" s="301">
        <v>39575</v>
      </c>
      <c r="Y285" s="315">
        <f t="shared" si="141"/>
        <v>415.53750000000002</v>
      </c>
      <c r="Z285" s="176"/>
      <c r="AA285" s="137"/>
      <c r="AB285" s="175"/>
      <c r="AC285" s="228"/>
      <c r="AD285" s="314">
        <f t="shared" si="130"/>
        <v>-18961</v>
      </c>
      <c r="AE285" s="317">
        <f t="shared" si="131"/>
        <v>-199.53750000000002</v>
      </c>
    </row>
    <row r="286" spans="1:31" hidden="1" outlineLevel="2" x14ac:dyDescent="0.35">
      <c r="A286" s="177"/>
      <c r="B286" s="327" t="s">
        <v>629</v>
      </c>
      <c r="C286" s="126" t="s">
        <v>28</v>
      </c>
      <c r="D286" s="259">
        <v>0.26</v>
      </c>
      <c r="E286" s="38"/>
      <c r="F286" s="270">
        <f t="shared" si="120"/>
        <v>5501</v>
      </c>
      <c r="G286" s="224">
        <v>1430.23</v>
      </c>
      <c r="H286" s="280"/>
      <c r="I286" s="228"/>
      <c r="J286" s="280"/>
      <c r="K286" s="203"/>
      <c r="L286" s="280"/>
      <c r="M286" s="228"/>
      <c r="N286" s="280"/>
      <c r="O286" s="203"/>
      <c r="P286" s="280">
        <v>5.4</v>
      </c>
      <c r="Q286" s="241">
        <f t="shared" si="121"/>
        <v>0.26</v>
      </c>
      <c r="R286" s="288">
        <f t="shared" si="122"/>
        <v>23640</v>
      </c>
      <c r="S286" s="206">
        <f t="shared" si="123"/>
        <v>6146</v>
      </c>
      <c r="T286" s="228"/>
      <c r="U286" s="298"/>
      <c r="V286" s="208"/>
      <c r="W286" s="228">
        <f t="shared" si="142"/>
        <v>0.26</v>
      </c>
      <c r="X286" s="301">
        <v>37400</v>
      </c>
      <c r="Y286" s="315">
        <f t="shared" si="141"/>
        <v>9724</v>
      </c>
      <c r="Z286" s="176"/>
      <c r="AA286" s="137"/>
      <c r="AB286" s="175"/>
      <c r="AC286" s="228"/>
      <c r="AD286" s="314">
        <f t="shared" si="130"/>
        <v>-13760</v>
      </c>
      <c r="AE286" s="317">
        <f t="shared" si="131"/>
        <v>-3578</v>
      </c>
    </row>
    <row r="287" spans="1:31" hidden="1" outlineLevel="2" x14ac:dyDescent="0.35">
      <c r="A287" s="177"/>
      <c r="B287" s="327" t="s">
        <v>1191</v>
      </c>
      <c r="C287" s="126" t="s">
        <v>5</v>
      </c>
      <c r="D287" s="259">
        <v>145</v>
      </c>
      <c r="E287" s="38"/>
      <c r="F287" s="270">
        <f t="shared" si="120"/>
        <v>10</v>
      </c>
      <c r="G287" s="224">
        <v>1513.8</v>
      </c>
      <c r="H287" s="280"/>
      <c r="I287" s="228"/>
      <c r="J287" s="280"/>
      <c r="K287" s="203"/>
      <c r="L287" s="280"/>
      <c r="M287" s="228"/>
      <c r="N287" s="280"/>
      <c r="O287" s="203"/>
      <c r="P287" s="280">
        <v>5.4</v>
      </c>
      <c r="Q287" s="241">
        <f t="shared" si="121"/>
        <v>145</v>
      </c>
      <c r="R287" s="288">
        <f t="shared" si="122"/>
        <v>43</v>
      </c>
      <c r="S287" s="206">
        <f t="shared" si="123"/>
        <v>6231</v>
      </c>
      <c r="T287" s="228"/>
      <c r="U287" s="298"/>
      <c r="V287" s="208"/>
      <c r="W287" s="228">
        <f t="shared" si="142"/>
        <v>145</v>
      </c>
      <c r="X287" s="301">
        <v>6.4</v>
      </c>
      <c r="Y287" s="315">
        <f t="shared" si="141"/>
        <v>928</v>
      </c>
      <c r="Z287" s="176"/>
      <c r="AA287" s="137"/>
      <c r="AB287" s="175"/>
      <c r="AC287" s="228"/>
      <c r="AD287" s="312">
        <f t="shared" si="130"/>
        <v>36.6</v>
      </c>
      <c r="AE287" s="316">
        <f t="shared" si="131"/>
        <v>5303</v>
      </c>
    </row>
    <row r="288" spans="1:31" hidden="1" outlineLevel="2" x14ac:dyDescent="0.35">
      <c r="A288" s="177"/>
      <c r="B288" s="327" t="s">
        <v>1192</v>
      </c>
      <c r="C288" s="126" t="s">
        <v>16</v>
      </c>
      <c r="D288" s="259">
        <v>0.86519999999999997</v>
      </c>
      <c r="E288" s="38"/>
      <c r="F288" s="270">
        <f t="shared" si="120"/>
        <v>36</v>
      </c>
      <c r="G288" s="224">
        <v>31.08</v>
      </c>
      <c r="H288" s="280"/>
      <c r="I288" s="228"/>
      <c r="J288" s="280"/>
      <c r="K288" s="203"/>
      <c r="L288" s="280"/>
      <c r="M288" s="228"/>
      <c r="N288" s="280"/>
      <c r="O288" s="203"/>
      <c r="P288" s="280">
        <v>5.4</v>
      </c>
      <c r="Q288" s="241">
        <f t="shared" si="121"/>
        <v>0.86519999999999997</v>
      </c>
      <c r="R288" s="288">
        <f t="shared" si="122"/>
        <v>155</v>
      </c>
      <c r="S288" s="206">
        <f t="shared" si="123"/>
        <v>134</v>
      </c>
      <c r="T288" s="228"/>
      <c r="U288" s="298"/>
      <c r="V288" s="208"/>
      <c r="W288" s="228">
        <f t="shared" si="142"/>
        <v>0.86519999999999997</v>
      </c>
      <c r="X288" s="301">
        <v>108</v>
      </c>
      <c r="Y288" s="315">
        <f t="shared" si="141"/>
        <v>93.441599999999994</v>
      </c>
      <c r="Z288" s="176"/>
      <c r="AA288" s="137"/>
      <c r="AB288" s="175"/>
      <c r="AC288" s="228"/>
      <c r="AD288" s="312">
        <f t="shared" si="130"/>
        <v>47</v>
      </c>
      <c r="AE288" s="316">
        <f t="shared" si="131"/>
        <v>40.558400000000006</v>
      </c>
    </row>
    <row r="289" spans="1:31" hidden="1" outlineLevel="2" x14ac:dyDescent="0.35">
      <c r="A289" s="177"/>
      <c r="B289" s="327" t="s">
        <v>1193</v>
      </c>
      <c r="C289" s="126" t="s">
        <v>5</v>
      </c>
      <c r="D289" s="259">
        <v>26</v>
      </c>
      <c r="E289" s="38"/>
      <c r="F289" s="270">
        <f t="shared" si="120"/>
        <v>2</v>
      </c>
      <c r="G289" s="224">
        <v>53.61</v>
      </c>
      <c r="H289" s="280"/>
      <c r="I289" s="228"/>
      <c r="J289" s="280"/>
      <c r="K289" s="203"/>
      <c r="L289" s="280"/>
      <c r="M289" s="228"/>
      <c r="N289" s="280"/>
      <c r="O289" s="203"/>
      <c r="P289" s="280">
        <v>5.4</v>
      </c>
      <c r="Q289" s="241">
        <f t="shared" si="121"/>
        <v>26</v>
      </c>
      <c r="R289" s="288">
        <f t="shared" si="122"/>
        <v>9</v>
      </c>
      <c r="S289" s="206">
        <f t="shared" si="123"/>
        <v>223</v>
      </c>
      <c r="T289" s="228"/>
      <c r="U289" s="298"/>
      <c r="V289" s="208"/>
      <c r="W289" s="228">
        <f t="shared" si="142"/>
        <v>26</v>
      </c>
      <c r="X289" s="301">
        <v>9.3000000000000007</v>
      </c>
      <c r="Y289" s="315">
        <f t="shared" si="141"/>
        <v>241.8</v>
      </c>
      <c r="Z289" s="176"/>
      <c r="AA289" s="137"/>
      <c r="AB289" s="175"/>
      <c r="AC289" s="228"/>
      <c r="AD289" s="311">
        <f>R289-X289</f>
        <v>-0.30000000000000071</v>
      </c>
      <c r="AE289" s="316">
        <f t="shared" si="131"/>
        <v>-18.800000000000011</v>
      </c>
    </row>
    <row r="290" spans="1:31" ht="31.2" hidden="1" outlineLevel="2" x14ac:dyDescent="0.35">
      <c r="A290" s="177"/>
      <c r="B290" s="327" t="s">
        <v>1335</v>
      </c>
      <c r="C290" s="126" t="s">
        <v>5</v>
      </c>
      <c r="D290" s="259">
        <v>2</v>
      </c>
      <c r="E290" s="38"/>
      <c r="F290" s="270">
        <f t="shared" si="120"/>
        <v>13</v>
      </c>
      <c r="G290" s="224">
        <v>25.28</v>
      </c>
      <c r="H290" s="280"/>
      <c r="I290" s="228"/>
      <c r="J290" s="280"/>
      <c r="K290" s="203"/>
      <c r="L290" s="280"/>
      <c r="M290" s="228"/>
      <c r="N290" s="280"/>
      <c r="O290" s="203"/>
      <c r="P290" s="280">
        <v>5.4</v>
      </c>
      <c r="Q290" s="241">
        <f t="shared" si="121"/>
        <v>2</v>
      </c>
      <c r="R290" s="288">
        <f t="shared" si="122"/>
        <v>56</v>
      </c>
      <c r="S290" s="206">
        <f t="shared" si="123"/>
        <v>112</v>
      </c>
      <c r="T290" s="228"/>
      <c r="U290" s="298"/>
      <c r="V290" s="208"/>
      <c r="W290" s="228">
        <f t="shared" si="142"/>
        <v>2</v>
      </c>
      <c r="X290" s="301">
        <v>105</v>
      </c>
      <c r="Y290" s="315">
        <f t="shared" si="141"/>
        <v>210</v>
      </c>
      <c r="Z290" s="176"/>
      <c r="AA290" s="137"/>
      <c r="AB290" s="175"/>
      <c r="AC290" s="228"/>
      <c r="AD290" s="314">
        <f t="shared" si="130"/>
        <v>-49</v>
      </c>
      <c r="AE290" s="317">
        <f t="shared" si="131"/>
        <v>-98</v>
      </c>
    </row>
    <row r="291" spans="1:31" hidden="1" outlineLevel="2" x14ac:dyDescent="0.35">
      <c r="A291" s="177"/>
      <c r="B291" s="327" t="s">
        <v>1188</v>
      </c>
      <c r="C291" s="126" t="s">
        <v>5</v>
      </c>
      <c r="D291" s="259">
        <v>94</v>
      </c>
      <c r="E291" s="38"/>
      <c r="F291" s="270">
        <f t="shared" ref="F291:F292" si="154">ROUND(G291/D291,0)</f>
        <v>11</v>
      </c>
      <c r="G291" s="224">
        <v>1050.92</v>
      </c>
      <c r="H291" s="280"/>
      <c r="I291" s="228"/>
      <c r="J291" s="280"/>
      <c r="K291" s="203"/>
      <c r="L291" s="280"/>
      <c r="M291" s="228"/>
      <c r="N291" s="280"/>
      <c r="O291" s="203"/>
      <c r="P291" s="280">
        <v>5.4</v>
      </c>
      <c r="Q291" s="241">
        <f t="shared" ref="Q291:Q292" si="155">D291-I291-M291</f>
        <v>94</v>
      </c>
      <c r="R291" s="288">
        <f t="shared" ref="R291:R292" si="156">ROUND(F291*P291*0.7958,0)</f>
        <v>47</v>
      </c>
      <c r="S291" s="206">
        <f t="shared" ref="S291:S292" si="157">ROUND(Q291*P291*F291*0.7958,0)</f>
        <v>4443</v>
      </c>
      <c r="T291" s="228"/>
      <c r="U291" s="298"/>
      <c r="V291" s="208"/>
      <c r="W291" s="228">
        <f t="shared" si="142"/>
        <v>94</v>
      </c>
      <c r="X291" s="301">
        <v>44</v>
      </c>
      <c r="Y291" s="315">
        <f t="shared" si="141"/>
        <v>4136</v>
      </c>
      <c r="Z291" s="176"/>
      <c r="AA291" s="137"/>
      <c r="AB291" s="175"/>
      <c r="AC291" s="228"/>
      <c r="AD291" s="312">
        <f t="shared" si="130"/>
        <v>3</v>
      </c>
      <c r="AE291" s="316">
        <f t="shared" si="131"/>
        <v>307</v>
      </c>
    </row>
    <row r="292" spans="1:31" hidden="1" outlineLevel="2" x14ac:dyDescent="0.35">
      <c r="A292" s="177"/>
      <c r="B292" s="327" t="s">
        <v>1187</v>
      </c>
      <c r="C292" s="126" t="s">
        <v>5</v>
      </c>
      <c r="D292" s="259">
        <v>16</v>
      </c>
      <c r="E292" s="38"/>
      <c r="F292" s="270">
        <f t="shared" si="154"/>
        <v>20</v>
      </c>
      <c r="G292" s="224">
        <v>322.56</v>
      </c>
      <c r="H292" s="280"/>
      <c r="I292" s="228"/>
      <c r="J292" s="280"/>
      <c r="K292" s="203"/>
      <c r="L292" s="280"/>
      <c r="M292" s="228"/>
      <c r="N292" s="280"/>
      <c r="O292" s="203"/>
      <c r="P292" s="280">
        <v>5.4</v>
      </c>
      <c r="Q292" s="241">
        <f t="shared" si="155"/>
        <v>16</v>
      </c>
      <c r="R292" s="288">
        <f t="shared" si="156"/>
        <v>86</v>
      </c>
      <c r="S292" s="206">
        <f t="shared" si="157"/>
        <v>1375</v>
      </c>
      <c r="T292" s="228"/>
      <c r="U292" s="298"/>
      <c r="V292" s="208"/>
      <c r="W292" s="228">
        <f t="shared" si="142"/>
        <v>16</v>
      </c>
      <c r="X292" s="301">
        <v>52</v>
      </c>
      <c r="Y292" s="315">
        <f t="shared" si="141"/>
        <v>832</v>
      </c>
      <c r="Z292" s="176"/>
      <c r="AA292" s="137"/>
      <c r="AB292" s="175"/>
      <c r="AC292" s="228"/>
      <c r="AD292" s="312">
        <f t="shared" si="130"/>
        <v>34</v>
      </c>
      <c r="AE292" s="316">
        <f t="shared" si="131"/>
        <v>543</v>
      </c>
    </row>
    <row r="293" spans="1:31" hidden="1" outlineLevel="2" x14ac:dyDescent="0.35">
      <c r="A293" s="177"/>
      <c r="B293" s="327" t="s">
        <v>1292</v>
      </c>
      <c r="C293" s="126" t="s">
        <v>40</v>
      </c>
      <c r="D293" s="259">
        <v>3</v>
      </c>
      <c r="E293" s="38"/>
      <c r="F293" s="270">
        <f t="shared" si="120"/>
        <v>3</v>
      </c>
      <c r="G293" s="224">
        <v>10.199999999999999</v>
      </c>
      <c r="H293" s="280"/>
      <c r="I293" s="228"/>
      <c r="J293" s="280"/>
      <c r="K293" s="203"/>
      <c r="L293" s="280"/>
      <c r="M293" s="228"/>
      <c r="N293" s="280"/>
      <c r="O293" s="203"/>
      <c r="P293" s="280">
        <v>5.4</v>
      </c>
      <c r="Q293" s="241">
        <f t="shared" si="121"/>
        <v>3</v>
      </c>
      <c r="R293" s="288">
        <f t="shared" si="122"/>
        <v>13</v>
      </c>
      <c r="S293" s="206">
        <f t="shared" si="123"/>
        <v>39</v>
      </c>
      <c r="T293" s="228"/>
      <c r="U293" s="298"/>
      <c r="V293" s="208"/>
      <c r="W293" s="228">
        <f t="shared" si="142"/>
        <v>3</v>
      </c>
      <c r="X293" s="301">
        <v>150</v>
      </c>
      <c r="Y293" s="315">
        <f t="shared" si="141"/>
        <v>450</v>
      </c>
      <c r="Z293" s="176"/>
      <c r="AA293" s="137"/>
      <c r="AB293" s="175"/>
      <c r="AC293" s="228"/>
      <c r="AD293" s="314">
        <f t="shared" si="130"/>
        <v>-137</v>
      </c>
      <c r="AE293" s="317">
        <f t="shared" si="131"/>
        <v>-411</v>
      </c>
    </row>
    <row r="294" spans="1:31" hidden="1" outlineLevel="2" x14ac:dyDescent="0.35">
      <c r="A294" s="177"/>
      <c r="B294" s="327" t="s">
        <v>407</v>
      </c>
      <c r="C294" s="126" t="s">
        <v>40</v>
      </c>
      <c r="D294" s="259">
        <v>1</v>
      </c>
      <c r="E294" s="38"/>
      <c r="F294" s="270">
        <f t="shared" si="120"/>
        <v>4</v>
      </c>
      <c r="G294" s="224">
        <v>3.87</v>
      </c>
      <c r="H294" s="280"/>
      <c r="I294" s="228"/>
      <c r="J294" s="280"/>
      <c r="K294" s="203"/>
      <c r="L294" s="280"/>
      <c r="M294" s="228"/>
      <c r="N294" s="280"/>
      <c r="O294" s="203"/>
      <c r="P294" s="280">
        <v>5.4</v>
      </c>
      <c r="Q294" s="241">
        <f t="shared" si="121"/>
        <v>1</v>
      </c>
      <c r="R294" s="288">
        <f t="shared" si="122"/>
        <v>17</v>
      </c>
      <c r="S294" s="206">
        <f t="shared" si="123"/>
        <v>17</v>
      </c>
      <c r="T294" s="228"/>
      <c r="U294" s="298"/>
      <c r="V294" s="208"/>
      <c r="W294" s="228">
        <f t="shared" si="142"/>
        <v>1</v>
      </c>
      <c r="X294" s="301">
        <v>110</v>
      </c>
      <c r="Y294" s="315">
        <f t="shared" si="141"/>
        <v>110</v>
      </c>
      <c r="Z294" s="176"/>
      <c r="AA294" s="137"/>
      <c r="AB294" s="175"/>
      <c r="AC294" s="228"/>
      <c r="AD294" s="314">
        <f t="shared" si="130"/>
        <v>-93</v>
      </c>
      <c r="AE294" s="317">
        <f t="shared" si="131"/>
        <v>-93</v>
      </c>
    </row>
    <row r="295" spans="1:31" hidden="1" outlineLevel="2" x14ac:dyDescent="0.35">
      <c r="A295" s="177"/>
      <c r="B295" s="327" t="s">
        <v>1293</v>
      </c>
      <c r="C295" s="126" t="s">
        <v>40</v>
      </c>
      <c r="D295" s="259">
        <v>3</v>
      </c>
      <c r="E295" s="38"/>
      <c r="F295" s="270">
        <f t="shared" si="120"/>
        <v>3</v>
      </c>
      <c r="G295" s="224">
        <v>10.199999999999999</v>
      </c>
      <c r="H295" s="280"/>
      <c r="I295" s="228"/>
      <c r="J295" s="280"/>
      <c r="K295" s="203"/>
      <c r="L295" s="280"/>
      <c r="M295" s="228"/>
      <c r="N295" s="280"/>
      <c r="O295" s="203"/>
      <c r="P295" s="280">
        <v>5.4</v>
      </c>
      <c r="Q295" s="241">
        <f t="shared" si="121"/>
        <v>3</v>
      </c>
      <c r="R295" s="288">
        <f t="shared" si="122"/>
        <v>13</v>
      </c>
      <c r="S295" s="206">
        <f t="shared" si="123"/>
        <v>39</v>
      </c>
      <c r="T295" s="228"/>
      <c r="U295" s="298"/>
      <c r="V295" s="208"/>
      <c r="W295" s="228">
        <f t="shared" si="142"/>
        <v>3</v>
      </c>
      <c r="X295" s="301">
        <v>99</v>
      </c>
      <c r="Y295" s="315">
        <f t="shared" si="141"/>
        <v>297</v>
      </c>
      <c r="Z295" s="176"/>
      <c r="AA295" s="137"/>
      <c r="AB295" s="175"/>
      <c r="AC295" s="228"/>
      <c r="AD295" s="314">
        <f t="shared" si="130"/>
        <v>-86</v>
      </c>
      <c r="AE295" s="317">
        <f t="shared" si="131"/>
        <v>-258</v>
      </c>
    </row>
    <row r="296" spans="1:31" hidden="1" outlineLevel="2" x14ac:dyDescent="0.35">
      <c r="A296" s="177"/>
      <c r="B296" s="327" t="s">
        <v>1294</v>
      </c>
      <c r="C296" s="126" t="s">
        <v>40</v>
      </c>
      <c r="D296" s="259">
        <v>1</v>
      </c>
      <c r="E296" s="38"/>
      <c r="F296" s="270">
        <f t="shared" si="120"/>
        <v>4</v>
      </c>
      <c r="G296" s="224">
        <v>3.87</v>
      </c>
      <c r="H296" s="280"/>
      <c r="I296" s="228"/>
      <c r="J296" s="280"/>
      <c r="K296" s="203"/>
      <c r="L296" s="280"/>
      <c r="M296" s="228"/>
      <c r="N296" s="280"/>
      <c r="O296" s="203"/>
      <c r="P296" s="280">
        <v>5.4</v>
      </c>
      <c r="Q296" s="241">
        <f t="shared" si="121"/>
        <v>1</v>
      </c>
      <c r="R296" s="288">
        <f t="shared" si="122"/>
        <v>17</v>
      </c>
      <c r="S296" s="206">
        <f t="shared" si="123"/>
        <v>17</v>
      </c>
      <c r="T296" s="228"/>
      <c r="U296" s="298"/>
      <c r="V296" s="208"/>
      <c r="W296" s="228">
        <f t="shared" si="142"/>
        <v>1</v>
      </c>
      <c r="X296" s="301">
        <v>57</v>
      </c>
      <c r="Y296" s="315">
        <f t="shared" si="141"/>
        <v>57</v>
      </c>
      <c r="Z296" s="176"/>
      <c r="AA296" s="137"/>
      <c r="AB296" s="175"/>
      <c r="AC296" s="228"/>
      <c r="AD296" s="314">
        <f t="shared" si="130"/>
        <v>-40</v>
      </c>
      <c r="AE296" s="317">
        <f t="shared" si="131"/>
        <v>-40</v>
      </c>
    </row>
    <row r="297" spans="1:31" hidden="1" outlineLevel="2" x14ac:dyDescent="0.35">
      <c r="A297" s="177"/>
      <c r="B297" s="327" t="s">
        <v>1295</v>
      </c>
      <c r="C297" s="126" t="s">
        <v>40</v>
      </c>
      <c r="D297" s="259">
        <v>5</v>
      </c>
      <c r="E297" s="38"/>
      <c r="F297" s="270">
        <f t="shared" si="120"/>
        <v>5</v>
      </c>
      <c r="G297" s="224">
        <v>23.25</v>
      </c>
      <c r="H297" s="280"/>
      <c r="I297" s="228"/>
      <c r="J297" s="280"/>
      <c r="K297" s="203"/>
      <c r="L297" s="280"/>
      <c r="M297" s="228"/>
      <c r="N297" s="280"/>
      <c r="O297" s="203"/>
      <c r="P297" s="280">
        <v>5.4</v>
      </c>
      <c r="Q297" s="241">
        <f t="shared" si="121"/>
        <v>5</v>
      </c>
      <c r="R297" s="288">
        <f t="shared" si="122"/>
        <v>21</v>
      </c>
      <c r="S297" s="206">
        <f t="shared" si="123"/>
        <v>107</v>
      </c>
      <c r="T297" s="228"/>
      <c r="U297" s="298"/>
      <c r="V297" s="208"/>
      <c r="W297" s="228">
        <f t="shared" si="142"/>
        <v>5</v>
      </c>
      <c r="X297" s="301">
        <v>60</v>
      </c>
      <c r="Y297" s="315">
        <f t="shared" si="141"/>
        <v>300</v>
      </c>
      <c r="Z297" s="176"/>
      <c r="AA297" s="137"/>
      <c r="AB297" s="175"/>
      <c r="AC297" s="228"/>
      <c r="AD297" s="314">
        <f t="shared" si="130"/>
        <v>-39</v>
      </c>
      <c r="AE297" s="317">
        <f t="shared" si="131"/>
        <v>-193</v>
      </c>
    </row>
    <row r="298" spans="1:31" hidden="1" outlineLevel="2" x14ac:dyDescent="0.35">
      <c r="A298" s="177"/>
      <c r="B298" s="327" t="s">
        <v>409</v>
      </c>
      <c r="C298" s="126" t="s">
        <v>40</v>
      </c>
      <c r="D298" s="259">
        <v>2</v>
      </c>
      <c r="E298" s="38"/>
      <c r="F298" s="270">
        <f t="shared" si="120"/>
        <v>5</v>
      </c>
      <c r="G298" s="224">
        <v>10.08</v>
      </c>
      <c r="H298" s="280"/>
      <c r="I298" s="228"/>
      <c r="J298" s="280"/>
      <c r="K298" s="203"/>
      <c r="L298" s="280"/>
      <c r="M298" s="228"/>
      <c r="N298" s="280"/>
      <c r="O298" s="203"/>
      <c r="P298" s="280">
        <v>5.4</v>
      </c>
      <c r="Q298" s="241">
        <f t="shared" si="121"/>
        <v>2</v>
      </c>
      <c r="R298" s="288">
        <f t="shared" si="122"/>
        <v>21</v>
      </c>
      <c r="S298" s="206">
        <f t="shared" si="123"/>
        <v>43</v>
      </c>
      <c r="T298" s="228"/>
      <c r="U298" s="298"/>
      <c r="V298" s="208"/>
      <c r="W298" s="228">
        <f t="shared" si="142"/>
        <v>2</v>
      </c>
      <c r="X298" s="301">
        <v>77</v>
      </c>
      <c r="Y298" s="315">
        <f t="shared" si="141"/>
        <v>154</v>
      </c>
      <c r="Z298" s="176"/>
      <c r="AA298" s="137"/>
      <c r="AB298" s="175"/>
      <c r="AC298" s="228"/>
      <c r="AD298" s="314">
        <f t="shared" si="130"/>
        <v>-56</v>
      </c>
      <c r="AE298" s="317">
        <f t="shared" si="131"/>
        <v>-111</v>
      </c>
    </row>
    <row r="299" spans="1:31" hidden="1" outlineLevel="2" x14ac:dyDescent="0.35">
      <c r="A299" s="177"/>
      <c r="B299" s="327" t="s">
        <v>1296</v>
      </c>
      <c r="C299" s="126" t="s">
        <v>40</v>
      </c>
      <c r="D299" s="259">
        <v>2</v>
      </c>
      <c r="E299" s="38"/>
      <c r="F299" s="270">
        <f t="shared" ref="F299:F303" si="158">ROUND(G299/D299,0)</f>
        <v>14</v>
      </c>
      <c r="G299" s="224">
        <v>27.72</v>
      </c>
      <c r="H299" s="280"/>
      <c r="I299" s="228"/>
      <c r="J299" s="280"/>
      <c r="K299" s="203"/>
      <c r="L299" s="280"/>
      <c r="M299" s="228"/>
      <c r="N299" s="280"/>
      <c r="O299" s="203"/>
      <c r="P299" s="280">
        <v>5.4</v>
      </c>
      <c r="Q299" s="241">
        <f t="shared" ref="Q299:Q303" si="159">D299-I299-M299</f>
        <v>2</v>
      </c>
      <c r="R299" s="288">
        <f t="shared" ref="R299:R303" si="160">ROUND(F299*P299*0.7958,0)</f>
        <v>60</v>
      </c>
      <c r="S299" s="206">
        <f t="shared" ref="S299:S303" si="161">ROUND(Q299*P299*F299*0.7958,0)</f>
        <v>120</v>
      </c>
      <c r="T299" s="228"/>
      <c r="U299" s="298"/>
      <c r="V299" s="208"/>
      <c r="W299" s="228">
        <f t="shared" si="142"/>
        <v>2</v>
      </c>
      <c r="X299" s="301">
        <v>170</v>
      </c>
      <c r="Y299" s="315">
        <f t="shared" si="141"/>
        <v>340</v>
      </c>
      <c r="Z299" s="176"/>
      <c r="AA299" s="137"/>
      <c r="AB299" s="175"/>
      <c r="AC299" s="228"/>
      <c r="AD299" s="314">
        <f t="shared" si="130"/>
        <v>-110</v>
      </c>
      <c r="AE299" s="317">
        <f t="shared" si="131"/>
        <v>-220</v>
      </c>
    </row>
    <row r="300" spans="1:31" hidden="1" outlineLevel="2" x14ac:dyDescent="0.35">
      <c r="A300" s="177"/>
      <c r="B300" s="327" t="s">
        <v>404</v>
      </c>
      <c r="C300" s="126" t="s">
        <v>40</v>
      </c>
      <c r="D300" s="259">
        <v>1</v>
      </c>
      <c r="E300" s="38"/>
      <c r="F300" s="270">
        <f t="shared" si="158"/>
        <v>14</v>
      </c>
      <c r="G300" s="224">
        <v>14.3</v>
      </c>
      <c r="H300" s="280"/>
      <c r="I300" s="228"/>
      <c r="J300" s="280"/>
      <c r="K300" s="203"/>
      <c r="L300" s="280"/>
      <c r="M300" s="228"/>
      <c r="N300" s="280"/>
      <c r="O300" s="203"/>
      <c r="P300" s="280">
        <v>5.4</v>
      </c>
      <c r="Q300" s="241">
        <f t="shared" si="159"/>
        <v>1</v>
      </c>
      <c r="R300" s="288">
        <f t="shared" si="160"/>
        <v>60</v>
      </c>
      <c r="S300" s="206">
        <f t="shared" si="161"/>
        <v>60</v>
      </c>
      <c r="T300" s="228"/>
      <c r="U300" s="298"/>
      <c r="V300" s="208"/>
      <c r="W300" s="228">
        <f t="shared" si="142"/>
        <v>1</v>
      </c>
      <c r="X300" s="301">
        <v>320</v>
      </c>
      <c r="Y300" s="315">
        <f t="shared" si="141"/>
        <v>320</v>
      </c>
      <c r="Z300" s="176"/>
      <c r="AA300" s="137"/>
      <c r="AB300" s="175"/>
      <c r="AC300" s="228"/>
      <c r="AD300" s="314">
        <f t="shared" si="130"/>
        <v>-260</v>
      </c>
      <c r="AE300" s="317">
        <f t="shared" si="131"/>
        <v>-260</v>
      </c>
    </row>
    <row r="301" spans="1:31" hidden="1" outlineLevel="2" x14ac:dyDescent="0.35">
      <c r="A301" s="177"/>
      <c r="B301" s="327" t="s">
        <v>1297</v>
      </c>
      <c r="C301" s="126" t="s">
        <v>40</v>
      </c>
      <c r="D301" s="259">
        <v>10</v>
      </c>
      <c r="E301" s="38"/>
      <c r="F301" s="270">
        <f t="shared" si="158"/>
        <v>1</v>
      </c>
      <c r="G301" s="224">
        <v>13.5</v>
      </c>
      <c r="H301" s="280"/>
      <c r="I301" s="228"/>
      <c r="J301" s="280"/>
      <c r="K301" s="203"/>
      <c r="L301" s="280"/>
      <c r="M301" s="228"/>
      <c r="N301" s="280"/>
      <c r="O301" s="203"/>
      <c r="P301" s="280">
        <v>5.4</v>
      </c>
      <c r="Q301" s="241">
        <f t="shared" si="159"/>
        <v>10</v>
      </c>
      <c r="R301" s="288">
        <f t="shared" si="160"/>
        <v>4</v>
      </c>
      <c r="S301" s="206">
        <f t="shared" si="161"/>
        <v>43</v>
      </c>
      <c r="T301" s="228"/>
      <c r="U301" s="298"/>
      <c r="V301" s="208"/>
      <c r="W301" s="228">
        <f t="shared" si="142"/>
        <v>10</v>
      </c>
      <c r="X301" s="301">
        <v>220</v>
      </c>
      <c r="Y301" s="315">
        <f t="shared" si="141"/>
        <v>2200</v>
      </c>
      <c r="Z301" s="176"/>
      <c r="AA301" s="137"/>
      <c r="AB301" s="175"/>
      <c r="AC301" s="228"/>
      <c r="AD301" s="314">
        <f t="shared" si="130"/>
        <v>-216</v>
      </c>
      <c r="AE301" s="317">
        <f t="shared" si="131"/>
        <v>-2157</v>
      </c>
    </row>
    <row r="302" spans="1:31" hidden="1" outlineLevel="2" x14ac:dyDescent="0.35">
      <c r="A302" s="177"/>
      <c r="B302" s="327" t="s">
        <v>384</v>
      </c>
      <c r="C302" s="126" t="s">
        <v>40</v>
      </c>
      <c r="D302" s="259">
        <v>2</v>
      </c>
      <c r="E302" s="38"/>
      <c r="F302" s="270">
        <f t="shared" si="158"/>
        <v>3</v>
      </c>
      <c r="G302" s="224">
        <v>5</v>
      </c>
      <c r="H302" s="280"/>
      <c r="I302" s="228"/>
      <c r="J302" s="280"/>
      <c r="K302" s="203"/>
      <c r="L302" s="280"/>
      <c r="M302" s="228"/>
      <c r="N302" s="280"/>
      <c r="O302" s="203"/>
      <c r="P302" s="280">
        <v>5.4</v>
      </c>
      <c r="Q302" s="241">
        <f t="shared" si="159"/>
        <v>2</v>
      </c>
      <c r="R302" s="288">
        <f t="shared" si="160"/>
        <v>13</v>
      </c>
      <c r="S302" s="206">
        <f t="shared" si="161"/>
        <v>26</v>
      </c>
      <c r="T302" s="228"/>
      <c r="U302" s="298"/>
      <c r="V302" s="208"/>
      <c r="W302" s="228">
        <f t="shared" si="142"/>
        <v>2</v>
      </c>
      <c r="X302" s="301">
        <v>6.5</v>
      </c>
      <c r="Y302" s="315">
        <f t="shared" ref="Y302:Y303" si="162">W302*X302</f>
        <v>13</v>
      </c>
      <c r="Z302" s="176"/>
      <c r="AA302" s="137"/>
      <c r="AB302" s="175"/>
      <c r="AC302" s="228"/>
      <c r="AD302" s="312">
        <f t="shared" si="130"/>
        <v>6.5</v>
      </c>
      <c r="AE302" s="316">
        <f t="shared" si="131"/>
        <v>13</v>
      </c>
    </row>
    <row r="303" spans="1:31" hidden="1" outlineLevel="2" x14ac:dyDescent="0.35">
      <c r="A303" s="177"/>
      <c r="B303" s="327" t="s">
        <v>1291</v>
      </c>
      <c r="C303" s="126" t="s">
        <v>40</v>
      </c>
      <c r="D303" s="259">
        <v>55</v>
      </c>
      <c r="E303" s="38"/>
      <c r="F303" s="270">
        <f t="shared" si="158"/>
        <v>3</v>
      </c>
      <c r="G303" s="224">
        <v>161.15</v>
      </c>
      <c r="H303" s="280"/>
      <c r="I303" s="228"/>
      <c r="J303" s="280"/>
      <c r="K303" s="203"/>
      <c r="L303" s="280"/>
      <c r="M303" s="228"/>
      <c r="N303" s="280"/>
      <c r="O303" s="203"/>
      <c r="P303" s="280">
        <v>5.4</v>
      </c>
      <c r="Q303" s="241">
        <f t="shared" si="159"/>
        <v>55</v>
      </c>
      <c r="R303" s="288">
        <f t="shared" si="160"/>
        <v>13</v>
      </c>
      <c r="S303" s="206">
        <f t="shared" si="161"/>
        <v>709</v>
      </c>
      <c r="T303" s="228"/>
      <c r="U303" s="298"/>
      <c r="V303" s="208"/>
      <c r="W303" s="228">
        <f t="shared" si="142"/>
        <v>55</v>
      </c>
      <c r="X303" s="301">
        <v>99</v>
      </c>
      <c r="Y303" s="315">
        <f t="shared" si="162"/>
        <v>5445</v>
      </c>
      <c r="Z303" s="176"/>
      <c r="AA303" s="137"/>
      <c r="AB303" s="175"/>
      <c r="AC303" s="228"/>
      <c r="AD303" s="314">
        <f t="shared" si="130"/>
        <v>-86</v>
      </c>
      <c r="AE303" s="317">
        <f t="shared" si="131"/>
        <v>-4736</v>
      </c>
    </row>
    <row r="304" spans="1:31" hidden="1" outlineLevel="2" x14ac:dyDescent="0.35">
      <c r="A304" s="179"/>
      <c r="B304" s="327" t="s">
        <v>410</v>
      </c>
      <c r="C304" s="126" t="s">
        <v>16</v>
      </c>
      <c r="D304" s="259">
        <v>9.36</v>
      </c>
      <c r="E304" s="38"/>
      <c r="F304" s="270">
        <f t="shared" si="120"/>
        <v>17</v>
      </c>
      <c r="G304" s="224">
        <v>157.34</v>
      </c>
      <c r="H304" s="280"/>
      <c r="I304" s="228"/>
      <c r="J304" s="280"/>
      <c r="K304" s="203"/>
      <c r="L304" s="280"/>
      <c r="M304" s="228"/>
      <c r="N304" s="280"/>
      <c r="O304" s="203"/>
      <c r="P304" s="280">
        <v>5.4</v>
      </c>
      <c r="Q304" s="241">
        <f t="shared" si="121"/>
        <v>9.36</v>
      </c>
      <c r="R304" s="288">
        <f t="shared" si="122"/>
        <v>73</v>
      </c>
      <c r="S304" s="206">
        <f t="shared" si="123"/>
        <v>684</v>
      </c>
      <c r="T304" s="228"/>
      <c r="U304" s="298"/>
      <c r="V304" s="208"/>
      <c r="W304" s="228">
        <f t="shared" si="142"/>
        <v>9.36</v>
      </c>
      <c r="X304" s="301">
        <v>330</v>
      </c>
      <c r="Y304" s="315">
        <f>W304*X304</f>
        <v>3088.7999999999997</v>
      </c>
      <c r="Z304" s="176"/>
      <c r="AA304" s="137"/>
      <c r="AB304" s="175"/>
      <c r="AC304" s="228"/>
      <c r="AD304" s="314">
        <f t="shared" si="130"/>
        <v>-257</v>
      </c>
      <c r="AE304" s="317">
        <f t="shared" si="131"/>
        <v>-2404.7999999999997</v>
      </c>
    </row>
    <row r="305" spans="1:32" hidden="1" outlineLevel="2" x14ac:dyDescent="0.35">
      <c r="A305" s="38"/>
      <c r="B305" s="327" t="s">
        <v>1194</v>
      </c>
      <c r="C305" s="126" t="s">
        <v>16</v>
      </c>
      <c r="D305" s="259">
        <v>2.6</v>
      </c>
      <c r="E305" s="38"/>
      <c r="F305" s="270">
        <f t="shared" si="120"/>
        <v>29</v>
      </c>
      <c r="G305" s="224">
        <v>75.56</v>
      </c>
      <c r="H305" s="280"/>
      <c r="I305" s="228"/>
      <c r="J305" s="280"/>
      <c r="K305" s="203"/>
      <c r="L305" s="280"/>
      <c r="M305" s="228"/>
      <c r="N305" s="280"/>
      <c r="O305" s="203"/>
      <c r="P305" s="280">
        <v>5.4</v>
      </c>
      <c r="Q305" s="241">
        <f t="shared" si="121"/>
        <v>2.6</v>
      </c>
      <c r="R305" s="288">
        <f t="shared" si="122"/>
        <v>125</v>
      </c>
      <c r="S305" s="206">
        <f t="shared" si="123"/>
        <v>324</v>
      </c>
      <c r="T305" s="228"/>
      <c r="U305" s="298"/>
      <c r="V305" s="208"/>
      <c r="W305" s="228">
        <f t="shared" si="142"/>
        <v>2.6</v>
      </c>
      <c r="X305" s="301">
        <v>110</v>
      </c>
      <c r="Y305" s="315">
        <f>W305*X305</f>
        <v>286</v>
      </c>
      <c r="Z305" s="176"/>
      <c r="AA305" s="137"/>
      <c r="AB305" s="175"/>
      <c r="AC305" s="228"/>
      <c r="AD305" s="312">
        <f t="shared" si="130"/>
        <v>15</v>
      </c>
      <c r="AE305" s="316">
        <f t="shared" si="131"/>
        <v>38</v>
      </c>
    </row>
    <row r="306" spans="1:32" hidden="1" outlineLevel="2" x14ac:dyDescent="0.35">
      <c r="A306" s="38"/>
      <c r="B306" s="327" t="s">
        <v>488</v>
      </c>
      <c r="C306" s="126" t="s">
        <v>16</v>
      </c>
      <c r="D306" s="259">
        <v>4.9828999999999999</v>
      </c>
      <c r="E306" s="38"/>
      <c r="F306" s="270">
        <f t="shared" ref="F306" si="163">ROUND(G306/D306,0)</f>
        <v>12</v>
      </c>
      <c r="G306" s="224">
        <v>58.01</v>
      </c>
      <c r="H306" s="280"/>
      <c r="I306" s="228"/>
      <c r="J306" s="280"/>
      <c r="K306" s="203"/>
      <c r="L306" s="280"/>
      <c r="M306" s="228"/>
      <c r="N306" s="280"/>
      <c r="O306" s="203"/>
      <c r="P306" s="280">
        <v>5.4</v>
      </c>
      <c r="Q306" s="241">
        <f t="shared" ref="Q306" si="164">D306-I306-M306</f>
        <v>4.9828999999999999</v>
      </c>
      <c r="R306" s="288">
        <f t="shared" ref="R306" si="165">ROUND(F306*P306*0.7958,0)</f>
        <v>52</v>
      </c>
      <c r="S306" s="206">
        <f t="shared" ref="S306" si="166">ROUND(Q306*P306*F306*0.7958,0)</f>
        <v>257</v>
      </c>
      <c r="T306" s="228"/>
      <c r="U306" s="298"/>
      <c r="V306" s="208"/>
      <c r="W306" s="228">
        <f t="shared" si="142"/>
        <v>4.9828999999999999</v>
      </c>
      <c r="X306" s="301">
        <v>44.6</v>
      </c>
      <c r="Y306" s="315">
        <f>W306*X306</f>
        <v>222.23733999999999</v>
      </c>
      <c r="Z306" s="176"/>
      <c r="AA306" s="137"/>
      <c r="AB306" s="175"/>
      <c r="AC306" s="228"/>
      <c r="AD306" s="312">
        <f t="shared" si="130"/>
        <v>7.3999999999999986</v>
      </c>
      <c r="AE306" s="316">
        <f t="shared" si="131"/>
        <v>34.762660000000011</v>
      </c>
    </row>
    <row r="307" spans="1:32" s="95" customFormat="1" hidden="1" outlineLevel="1" x14ac:dyDescent="0.3">
      <c r="A307" s="98"/>
      <c r="B307" s="160"/>
      <c r="C307" s="107"/>
      <c r="D307" s="253"/>
      <c r="E307" s="98"/>
      <c r="F307" s="154"/>
      <c r="G307" s="214"/>
      <c r="H307" s="154"/>
      <c r="I307" s="231"/>
      <c r="J307" s="154"/>
      <c r="K307" s="194"/>
      <c r="L307" s="154"/>
      <c r="M307" s="231"/>
      <c r="N307" s="154"/>
      <c r="O307" s="194"/>
      <c r="P307" s="154"/>
      <c r="Q307" s="231"/>
      <c r="R307" s="286"/>
      <c r="S307" s="194"/>
      <c r="T307" s="231"/>
      <c r="U307" s="155"/>
      <c r="V307" s="194"/>
      <c r="W307" s="231"/>
      <c r="X307" s="155"/>
      <c r="Y307" s="194"/>
      <c r="Z307" s="157"/>
      <c r="AA307" s="156"/>
      <c r="AB307" s="156"/>
      <c r="AC307" s="194"/>
      <c r="AD307" s="155"/>
      <c r="AE307" s="194"/>
    </row>
    <row r="308" spans="1:32" ht="33.75" hidden="1" customHeight="1" outlineLevel="1" x14ac:dyDescent="0.3">
      <c r="A308" s="399"/>
      <c r="B308" s="1082" t="s">
        <v>1195</v>
      </c>
      <c r="C308" s="1083"/>
      <c r="D308" s="1083"/>
      <c r="E308" s="1083"/>
      <c r="F308" s="1084"/>
      <c r="G308" s="333">
        <f>SUM(G309:G315)</f>
        <v>2705.0399999999995</v>
      </c>
      <c r="H308" s="320"/>
      <c r="I308" s="320"/>
      <c r="J308" s="320"/>
      <c r="K308" s="321"/>
      <c r="L308" s="320"/>
      <c r="M308" s="320"/>
      <c r="N308" s="320"/>
      <c r="O308" s="321"/>
      <c r="P308" s="320"/>
      <c r="Q308" s="320"/>
      <c r="R308" s="320"/>
      <c r="S308" s="321">
        <f>SUM(S309:S315)</f>
        <v>13473</v>
      </c>
      <c r="T308" s="320"/>
      <c r="U308" s="322"/>
      <c r="V308" s="321"/>
      <c r="W308" s="320"/>
      <c r="X308" s="322"/>
      <c r="Y308" s="321">
        <f>SUM(Y309:Y315)</f>
        <v>12429.761999999999</v>
      </c>
      <c r="Z308" s="322"/>
      <c r="AA308" s="322"/>
      <c r="AB308" s="322"/>
      <c r="AC308" s="322"/>
      <c r="AD308" s="322"/>
      <c r="AE308" s="325">
        <f>SUM(AE309:AE315)</f>
        <v>1043.2380000000003</v>
      </c>
      <c r="AF308" s="326">
        <f>AE308/S308</f>
        <v>7.7431752393676265E-2</v>
      </c>
    </row>
    <row r="309" spans="1:32" hidden="1" outlineLevel="2" x14ac:dyDescent="0.35">
      <c r="A309" s="38"/>
      <c r="B309" s="327" t="s">
        <v>1221</v>
      </c>
      <c r="C309" s="126" t="s">
        <v>5</v>
      </c>
      <c r="D309" s="259">
        <f>0.09*1000</f>
        <v>90</v>
      </c>
      <c r="E309" s="38"/>
      <c r="F309" s="270">
        <f t="shared" ref="F309:F315" si="167">ROUND(G309/D309,0)</f>
        <v>8</v>
      </c>
      <c r="G309" s="224">
        <v>761.81</v>
      </c>
      <c r="H309" s="280"/>
      <c r="I309" s="228"/>
      <c r="J309" s="280"/>
      <c r="K309" s="203"/>
      <c r="L309" s="280"/>
      <c r="M309" s="228"/>
      <c r="N309" s="280"/>
      <c r="O309" s="203"/>
      <c r="P309" s="280">
        <v>6.31</v>
      </c>
      <c r="Q309" s="241">
        <f t="shared" ref="Q309:Q315" si="168">D309-I309-M309</f>
        <v>90</v>
      </c>
      <c r="R309" s="288">
        <f t="shared" ref="R309:R315" si="169">ROUND(F309*P309*0.7958,0)</f>
        <v>40</v>
      </c>
      <c r="S309" s="206">
        <f t="shared" ref="S309:S315" si="170">ROUND(Q309*P309*F309*0.7958,0)</f>
        <v>3615</v>
      </c>
      <c r="T309" s="228"/>
      <c r="U309" s="298"/>
      <c r="V309" s="208"/>
      <c r="W309" s="228">
        <f>D309</f>
        <v>90</v>
      </c>
      <c r="X309" s="301">
        <v>33.6</v>
      </c>
      <c r="Y309" s="315">
        <f t="shared" ref="Y309:Y312" si="171">X309*D309</f>
        <v>3024</v>
      </c>
      <c r="Z309" s="176"/>
      <c r="AA309" s="137"/>
      <c r="AB309" s="175"/>
      <c r="AC309" s="228"/>
      <c r="AD309" s="312">
        <f t="shared" ref="AD309" si="172">R309-X309</f>
        <v>6.3999999999999986</v>
      </c>
      <c r="AE309" s="316">
        <f t="shared" ref="AE309" si="173">S309-Y309</f>
        <v>591</v>
      </c>
    </row>
    <row r="310" spans="1:32" hidden="1" outlineLevel="2" x14ac:dyDescent="0.35">
      <c r="A310" s="38"/>
      <c r="B310" s="327" t="s">
        <v>1222</v>
      </c>
      <c r="C310" s="126" t="s">
        <v>5</v>
      </c>
      <c r="D310" s="259">
        <f>0.065*1000</f>
        <v>65</v>
      </c>
      <c r="E310" s="38"/>
      <c r="F310" s="270">
        <f t="shared" si="167"/>
        <v>15</v>
      </c>
      <c r="G310" s="224">
        <v>958.05</v>
      </c>
      <c r="H310" s="280"/>
      <c r="I310" s="228"/>
      <c r="J310" s="280"/>
      <c r="K310" s="203"/>
      <c r="L310" s="280"/>
      <c r="M310" s="228"/>
      <c r="N310" s="280"/>
      <c r="O310" s="203"/>
      <c r="P310" s="280">
        <v>6.31</v>
      </c>
      <c r="Q310" s="241">
        <f t="shared" si="168"/>
        <v>65</v>
      </c>
      <c r="R310" s="288">
        <f t="shared" si="169"/>
        <v>75</v>
      </c>
      <c r="S310" s="206">
        <f t="shared" si="170"/>
        <v>4896</v>
      </c>
      <c r="T310" s="228"/>
      <c r="U310" s="298"/>
      <c r="V310" s="208"/>
      <c r="W310" s="228">
        <f t="shared" ref="W310:W315" si="174">D310</f>
        <v>65</v>
      </c>
      <c r="X310" s="301">
        <v>58.4</v>
      </c>
      <c r="Y310" s="315">
        <f t="shared" si="171"/>
        <v>3796</v>
      </c>
      <c r="Z310" s="176"/>
      <c r="AA310" s="137"/>
      <c r="AB310" s="175"/>
      <c r="AC310" s="228"/>
      <c r="AD310" s="312">
        <f t="shared" ref="AD310:AD315" si="175">R310-X310</f>
        <v>16.600000000000001</v>
      </c>
      <c r="AE310" s="316">
        <f t="shared" ref="AE310:AE315" si="176">S310-Y310</f>
        <v>1100</v>
      </c>
    </row>
    <row r="311" spans="1:32" hidden="1" outlineLevel="2" x14ac:dyDescent="0.35">
      <c r="A311" s="38"/>
      <c r="B311" s="327" t="s">
        <v>1223</v>
      </c>
      <c r="C311" s="126" t="s">
        <v>5</v>
      </c>
      <c r="D311" s="259">
        <f>0.025*1000</f>
        <v>25</v>
      </c>
      <c r="E311" s="38"/>
      <c r="F311" s="270">
        <f t="shared" si="167"/>
        <v>20</v>
      </c>
      <c r="G311" s="224">
        <v>488.92</v>
      </c>
      <c r="H311" s="280"/>
      <c r="I311" s="228"/>
      <c r="J311" s="280"/>
      <c r="K311" s="203"/>
      <c r="L311" s="280"/>
      <c r="M311" s="228"/>
      <c r="N311" s="280"/>
      <c r="O311" s="203"/>
      <c r="P311" s="280">
        <v>6.31</v>
      </c>
      <c r="Q311" s="241">
        <f t="shared" si="168"/>
        <v>25</v>
      </c>
      <c r="R311" s="288">
        <f t="shared" si="169"/>
        <v>100</v>
      </c>
      <c r="S311" s="206">
        <f t="shared" si="170"/>
        <v>2511</v>
      </c>
      <c r="T311" s="228"/>
      <c r="U311" s="298"/>
      <c r="V311" s="208"/>
      <c r="W311" s="228">
        <f t="shared" si="174"/>
        <v>25</v>
      </c>
      <c r="X311" s="301">
        <v>68.8</v>
      </c>
      <c r="Y311" s="315">
        <f t="shared" si="171"/>
        <v>1720</v>
      </c>
      <c r="Z311" s="176"/>
      <c r="AA311" s="137"/>
      <c r="AB311" s="175"/>
      <c r="AC311" s="228"/>
      <c r="AD311" s="312">
        <f t="shared" si="175"/>
        <v>31.200000000000003</v>
      </c>
      <c r="AE311" s="316">
        <f t="shared" si="176"/>
        <v>791</v>
      </c>
    </row>
    <row r="312" spans="1:32" hidden="1" outlineLevel="2" x14ac:dyDescent="0.35">
      <c r="A312" s="38"/>
      <c r="B312" s="327" t="s">
        <v>1224</v>
      </c>
      <c r="C312" s="126" t="s">
        <v>5</v>
      </c>
      <c r="D312" s="259">
        <f>0.02*1000</f>
        <v>20</v>
      </c>
      <c r="E312" s="38"/>
      <c r="F312" s="270">
        <f t="shared" si="167"/>
        <v>19</v>
      </c>
      <c r="G312" s="224">
        <v>388.14</v>
      </c>
      <c r="H312" s="280"/>
      <c r="I312" s="228"/>
      <c r="J312" s="280"/>
      <c r="K312" s="203"/>
      <c r="L312" s="280"/>
      <c r="M312" s="228"/>
      <c r="N312" s="280"/>
      <c r="O312" s="203"/>
      <c r="P312" s="280">
        <v>6.31</v>
      </c>
      <c r="Q312" s="241">
        <f t="shared" si="168"/>
        <v>20</v>
      </c>
      <c r="R312" s="288">
        <f t="shared" si="169"/>
        <v>95</v>
      </c>
      <c r="S312" s="206">
        <f t="shared" si="170"/>
        <v>1908</v>
      </c>
      <c r="T312" s="228"/>
      <c r="U312" s="298"/>
      <c r="V312" s="208"/>
      <c r="W312" s="228">
        <f t="shared" si="174"/>
        <v>20</v>
      </c>
      <c r="X312" s="301">
        <v>125.86</v>
      </c>
      <c r="Y312" s="315">
        <f t="shared" si="171"/>
        <v>2517.1999999999998</v>
      </c>
      <c r="Z312" s="176"/>
      <c r="AA312" s="137"/>
      <c r="AB312" s="175"/>
      <c r="AC312" s="228"/>
      <c r="AD312" s="314">
        <f t="shared" si="175"/>
        <v>-30.86</v>
      </c>
      <c r="AE312" s="317">
        <f t="shared" si="176"/>
        <v>-609.19999999999982</v>
      </c>
    </row>
    <row r="313" spans="1:32" hidden="1" outlineLevel="2" x14ac:dyDescent="0.35">
      <c r="A313" s="38"/>
      <c r="B313" s="327" t="s">
        <v>399</v>
      </c>
      <c r="C313" s="126" t="s">
        <v>28</v>
      </c>
      <c r="D313" s="259">
        <v>2.8999999999999998E-3</v>
      </c>
      <c r="E313" s="38"/>
      <c r="F313" s="270">
        <f t="shared" si="167"/>
        <v>7914</v>
      </c>
      <c r="G313" s="224">
        <v>22.95</v>
      </c>
      <c r="H313" s="280"/>
      <c r="I313" s="228"/>
      <c r="J313" s="280"/>
      <c r="K313" s="203"/>
      <c r="L313" s="280"/>
      <c r="M313" s="228"/>
      <c r="N313" s="280"/>
      <c r="O313" s="203"/>
      <c r="P313" s="280">
        <v>6.31</v>
      </c>
      <c r="Q313" s="241">
        <f t="shared" si="168"/>
        <v>2.8999999999999998E-3</v>
      </c>
      <c r="R313" s="288">
        <f t="shared" si="169"/>
        <v>39740</v>
      </c>
      <c r="S313" s="206">
        <f t="shared" si="170"/>
        <v>115</v>
      </c>
      <c r="T313" s="228"/>
      <c r="U313" s="298"/>
      <c r="V313" s="208"/>
      <c r="W313" s="228">
        <f t="shared" si="174"/>
        <v>2.8999999999999998E-3</v>
      </c>
      <c r="X313" s="301">
        <v>164100</v>
      </c>
      <c r="Y313" s="315">
        <f>X313*D313</f>
        <v>475.89</v>
      </c>
      <c r="Z313" s="176"/>
      <c r="AA313" s="137"/>
      <c r="AB313" s="175"/>
      <c r="AC313" s="228"/>
      <c r="AD313" s="314">
        <f t="shared" si="175"/>
        <v>-124360</v>
      </c>
      <c r="AE313" s="317">
        <f t="shared" si="176"/>
        <v>-360.89</v>
      </c>
    </row>
    <row r="314" spans="1:32" hidden="1" outlineLevel="2" x14ac:dyDescent="0.35">
      <c r="A314" s="38"/>
      <c r="B314" s="327" t="s">
        <v>427</v>
      </c>
      <c r="C314" s="126" t="s">
        <v>16</v>
      </c>
      <c r="D314" s="259">
        <v>0.67600000000000005</v>
      </c>
      <c r="E314" s="38"/>
      <c r="F314" s="270">
        <f t="shared" si="167"/>
        <v>72</v>
      </c>
      <c r="G314" s="224">
        <v>48.86</v>
      </c>
      <c r="H314" s="280"/>
      <c r="I314" s="228"/>
      <c r="J314" s="280"/>
      <c r="K314" s="203"/>
      <c r="L314" s="280"/>
      <c r="M314" s="228"/>
      <c r="N314" s="280"/>
      <c r="O314" s="203"/>
      <c r="P314" s="280">
        <v>6.31</v>
      </c>
      <c r="Q314" s="241">
        <f t="shared" si="168"/>
        <v>0.67600000000000005</v>
      </c>
      <c r="R314" s="288">
        <f t="shared" si="169"/>
        <v>362</v>
      </c>
      <c r="S314" s="206">
        <f t="shared" si="170"/>
        <v>244</v>
      </c>
      <c r="T314" s="228"/>
      <c r="U314" s="298"/>
      <c r="V314" s="208"/>
      <c r="W314" s="228">
        <f t="shared" si="174"/>
        <v>0.67600000000000005</v>
      </c>
      <c r="X314" s="301">
        <v>272</v>
      </c>
      <c r="Y314" s="315">
        <f t="shared" ref="Y314:Y315" si="177">X314*D314</f>
        <v>183.87200000000001</v>
      </c>
      <c r="Z314" s="176"/>
      <c r="AA314" s="137"/>
      <c r="AB314" s="175"/>
      <c r="AC314" s="228"/>
      <c r="AD314" s="312">
        <f t="shared" si="175"/>
        <v>90</v>
      </c>
      <c r="AE314" s="316">
        <f t="shared" si="176"/>
        <v>60.127999999999986</v>
      </c>
    </row>
    <row r="315" spans="1:32" hidden="1" outlineLevel="2" x14ac:dyDescent="0.35">
      <c r="A315" s="179"/>
      <c r="B315" s="327" t="s">
        <v>410</v>
      </c>
      <c r="C315" s="126" t="s">
        <v>16</v>
      </c>
      <c r="D315" s="259">
        <v>2.16</v>
      </c>
      <c r="E315" s="38"/>
      <c r="F315" s="270">
        <f t="shared" si="167"/>
        <v>17</v>
      </c>
      <c r="G315" s="224">
        <v>36.31</v>
      </c>
      <c r="H315" s="280"/>
      <c r="I315" s="228"/>
      <c r="J315" s="280"/>
      <c r="K315" s="203"/>
      <c r="L315" s="280"/>
      <c r="M315" s="228"/>
      <c r="N315" s="280"/>
      <c r="O315" s="203"/>
      <c r="P315" s="280">
        <v>6.31</v>
      </c>
      <c r="Q315" s="241">
        <f t="shared" si="168"/>
        <v>2.16</v>
      </c>
      <c r="R315" s="288">
        <f t="shared" si="169"/>
        <v>85</v>
      </c>
      <c r="S315" s="206">
        <f t="shared" si="170"/>
        <v>184</v>
      </c>
      <c r="T315" s="228"/>
      <c r="U315" s="298"/>
      <c r="V315" s="208"/>
      <c r="W315" s="228">
        <f t="shared" si="174"/>
        <v>2.16</v>
      </c>
      <c r="X315" s="301">
        <v>330</v>
      </c>
      <c r="Y315" s="315">
        <f t="shared" si="177"/>
        <v>712.80000000000007</v>
      </c>
      <c r="Z315" s="176"/>
      <c r="AA315" s="137"/>
      <c r="AB315" s="175"/>
      <c r="AC315" s="228"/>
      <c r="AD315" s="314">
        <f t="shared" si="175"/>
        <v>-245</v>
      </c>
      <c r="AE315" s="317">
        <f t="shared" si="176"/>
        <v>-528.80000000000007</v>
      </c>
    </row>
    <row r="316" spans="1:32" s="95" customFormat="1" hidden="1" outlineLevel="1" x14ac:dyDescent="0.3">
      <c r="A316" s="98"/>
      <c r="B316" s="160"/>
      <c r="C316" s="107"/>
      <c r="D316" s="253"/>
      <c r="E316" s="98"/>
      <c r="F316" s="154"/>
      <c r="G316" s="214"/>
      <c r="H316" s="154"/>
      <c r="I316" s="231"/>
      <c r="J316" s="154"/>
      <c r="K316" s="194"/>
      <c r="L316" s="154"/>
      <c r="M316" s="231"/>
      <c r="N316" s="154"/>
      <c r="O316" s="194"/>
      <c r="P316" s="154"/>
      <c r="Q316" s="231"/>
      <c r="R316" s="286"/>
      <c r="S316" s="194"/>
      <c r="T316" s="231"/>
      <c r="U316" s="155"/>
      <c r="V316" s="194"/>
      <c r="W316" s="231"/>
      <c r="X316" s="155"/>
      <c r="Y316" s="194"/>
      <c r="Z316" s="157"/>
      <c r="AA316" s="156"/>
      <c r="AB316" s="156"/>
      <c r="AC316" s="194"/>
      <c r="AD316" s="155"/>
      <c r="AE316" s="194"/>
    </row>
    <row r="317" spans="1:32" ht="33.75" hidden="1" customHeight="1" outlineLevel="1" x14ac:dyDescent="0.3">
      <c r="A317" s="399"/>
      <c r="B317" s="1082" t="s">
        <v>1196</v>
      </c>
      <c r="C317" s="1083"/>
      <c r="D317" s="1083"/>
      <c r="E317" s="1083"/>
      <c r="F317" s="1084"/>
      <c r="G317" s="333">
        <f>SUM(G318:G332)</f>
        <v>9075.5999999999985</v>
      </c>
      <c r="H317" s="320"/>
      <c r="I317" s="320"/>
      <c r="J317" s="320"/>
      <c r="K317" s="321"/>
      <c r="L317" s="320"/>
      <c r="M317" s="320"/>
      <c r="N317" s="320"/>
      <c r="O317" s="321"/>
      <c r="P317" s="320"/>
      <c r="Q317" s="320"/>
      <c r="R317" s="320"/>
      <c r="S317" s="321">
        <f>SUM(S318:S332)</f>
        <v>45635</v>
      </c>
      <c r="T317" s="320"/>
      <c r="U317" s="322"/>
      <c r="V317" s="321"/>
      <c r="W317" s="320"/>
      <c r="X317" s="322"/>
      <c r="Y317" s="321">
        <f>SUM(Y318:Y332)</f>
        <v>36999.152500000004</v>
      </c>
      <c r="Z317" s="322"/>
      <c r="AA317" s="322"/>
      <c r="AB317" s="322"/>
      <c r="AC317" s="322"/>
      <c r="AD317" s="322"/>
      <c r="AE317" s="325">
        <f>SUM(AE318:AE332)</f>
        <v>8635.8474999999999</v>
      </c>
      <c r="AF317" s="326">
        <f>AE317/S317</f>
        <v>0.18923737263065629</v>
      </c>
    </row>
    <row r="318" spans="1:32" hidden="1" outlineLevel="2" x14ac:dyDescent="0.35">
      <c r="A318" s="38"/>
      <c r="B318" s="327" t="s">
        <v>1197</v>
      </c>
      <c r="C318" s="126" t="s">
        <v>364</v>
      </c>
      <c r="D318" s="259">
        <v>2</v>
      </c>
      <c r="E318" s="38"/>
      <c r="F318" s="270">
        <f t="shared" ref="F318:F332" si="178">ROUND(G318/D318,0)</f>
        <v>1476</v>
      </c>
      <c r="G318" s="224">
        <v>2951.42</v>
      </c>
      <c r="H318" s="280"/>
      <c r="I318" s="228"/>
      <c r="J318" s="280"/>
      <c r="K318" s="203"/>
      <c r="L318" s="280"/>
      <c r="M318" s="228"/>
      <c r="N318" s="280"/>
      <c r="O318" s="203"/>
      <c r="P318" s="280">
        <v>6.31</v>
      </c>
      <c r="Q318" s="241">
        <f t="shared" ref="Q318:Q332" si="179">D318-I318-M318</f>
        <v>2</v>
      </c>
      <c r="R318" s="288">
        <f t="shared" ref="R318:R332" si="180">ROUND(F318*P318*0.7958,0)</f>
        <v>7412</v>
      </c>
      <c r="S318" s="206">
        <f t="shared" ref="S318:S332" si="181">ROUND(Q318*P318*F318*0.7958,0)</f>
        <v>14823</v>
      </c>
      <c r="T318" s="228"/>
      <c r="U318" s="298"/>
      <c r="V318" s="208"/>
      <c r="W318" s="228">
        <f>D318</f>
        <v>2</v>
      </c>
      <c r="X318" s="301">
        <v>4037</v>
      </c>
      <c r="Y318" s="315">
        <f>W318*X318</f>
        <v>8074</v>
      </c>
      <c r="Z318" s="176"/>
      <c r="AA318" s="137"/>
      <c r="AB318" s="175"/>
      <c r="AC318" s="228"/>
      <c r="AD318" s="312">
        <f t="shared" ref="AD318" si="182">R318-X318</f>
        <v>3375</v>
      </c>
      <c r="AE318" s="316">
        <f t="shared" ref="AE318" si="183">S318-Y318</f>
        <v>6749</v>
      </c>
    </row>
    <row r="319" spans="1:32" hidden="1" outlineLevel="2" x14ac:dyDescent="0.35">
      <c r="A319" s="38"/>
      <c r="B319" s="327" t="s">
        <v>1225</v>
      </c>
      <c r="C319" s="126" t="s">
        <v>5</v>
      </c>
      <c r="D319" s="259">
        <f>0.15*1000</f>
        <v>150</v>
      </c>
      <c r="E319" s="38"/>
      <c r="F319" s="270">
        <f t="shared" si="178"/>
        <v>20</v>
      </c>
      <c r="G319" s="224">
        <v>2933.54</v>
      </c>
      <c r="H319" s="280"/>
      <c r="I319" s="228"/>
      <c r="J319" s="280"/>
      <c r="K319" s="203"/>
      <c r="L319" s="280"/>
      <c r="M319" s="228"/>
      <c r="N319" s="280"/>
      <c r="O319" s="203"/>
      <c r="P319" s="280">
        <v>6.31</v>
      </c>
      <c r="Q319" s="241">
        <f t="shared" si="179"/>
        <v>150</v>
      </c>
      <c r="R319" s="288">
        <f t="shared" si="180"/>
        <v>100</v>
      </c>
      <c r="S319" s="206">
        <f t="shared" si="181"/>
        <v>15064</v>
      </c>
      <c r="T319" s="228"/>
      <c r="U319" s="298"/>
      <c r="V319" s="208"/>
      <c r="W319" s="228">
        <f t="shared" ref="W319:W332" si="184">D319</f>
        <v>150</v>
      </c>
      <c r="X319" s="301">
        <v>68.8</v>
      </c>
      <c r="Y319" s="315">
        <f t="shared" ref="Y319:Y332" si="185">W319*X319</f>
        <v>10320</v>
      </c>
      <c r="Z319" s="176"/>
      <c r="AA319" s="137"/>
      <c r="AB319" s="175"/>
      <c r="AC319" s="228"/>
      <c r="AD319" s="312">
        <f t="shared" ref="AD319:AD332" si="186">R319-X319</f>
        <v>31.200000000000003</v>
      </c>
      <c r="AE319" s="316">
        <f t="shared" ref="AE319:AE332" si="187">S319-Y319</f>
        <v>4744</v>
      </c>
    </row>
    <row r="320" spans="1:32" ht="20.25" hidden="1" customHeight="1" outlineLevel="2" x14ac:dyDescent="0.35">
      <c r="A320" s="38"/>
      <c r="B320" s="328" t="s">
        <v>1328</v>
      </c>
      <c r="C320" s="126" t="s">
        <v>5</v>
      </c>
      <c r="D320" s="259">
        <f>0.045*1000</f>
        <v>45</v>
      </c>
      <c r="E320" s="38"/>
      <c r="F320" s="270">
        <f t="shared" si="178"/>
        <v>11</v>
      </c>
      <c r="G320" s="224">
        <v>492.59</v>
      </c>
      <c r="H320" s="280"/>
      <c r="I320" s="228"/>
      <c r="J320" s="280"/>
      <c r="K320" s="203"/>
      <c r="L320" s="280"/>
      <c r="M320" s="228"/>
      <c r="N320" s="280"/>
      <c r="O320" s="203"/>
      <c r="P320" s="280">
        <v>6.31</v>
      </c>
      <c r="Q320" s="241">
        <f t="shared" si="179"/>
        <v>45</v>
      </c>
      <c r="R320" s="288">
        <f t="shared" si="180"/>
        <v>55</v>
      </c>
      <c r="S320" s="206">
        <f t="shared" si="181"/>
        <v>2486</v>
      </c>
      <c r="T320" s="228"/>
      <c r="U320" s="298"/>
      <c r="V320" s="208"/>
      <c r="W320" s="228">
        <f t="shared" si="184"/>
        <v>45</v>
      </c>
      <c r="X320" s="301">
        <v>41.6</v>
      </c>
      <c r="Y320" s="315">
        <f t="shared" si="185"/>
        <v>1872</v>
      </c>
      <c r="Z320" s="176"/>
      <c r="AA320" s="137"/>
      <c r="AB320" s="175"/>
      <c r="AC320" s="228"/>
      <c r="AD320" s="312">
        <f t="shared" si="186"/>
        <v>13.399999999999999</v>
      </c>
      <c r="AE320" s="316">
        <f t="shared" si="187"/>
        <v>614</v>
      </c>
    </row>
    <row r="321" spans="1:32" hidden="1" outlineLevel="2" x14ac:dyDescent="0.35">
      <c r="A321" s="38"/>
      <c r="B321" s="327" t="s">
        <v>1198</v>
      </c>
      <c r="C321" s="126" t="s">
        <v>40</v>
      </c>
      <c r="D321" s="259">
        <v>2</v>
      </c>
      <c r="E321" s="38"/>
      <c r="F321" s="270">
        <f t="shared" si="178"/>
        <v>260</v>
      </c>
      <c r="G321" s="224">
        <v>519.6</v>
      </c>
      <c r="H321" s="280"/>
      <c r="I321" s="228"/>
      <c r="J321" s="280"/>
      <c r="K321" s="203"/>
      <c r="L321" s="280"/>
      <c r="M321" s="228"/>
      <c r="N321" s="280"/>
      <c r="O321" s="203"/>
      <c r="P321" s="280">
        <v>6.31</v>
      </c>
      <c r="Q321" s="241">
        <f t="shared" si="179"/>
        <v>2</v>
      </c>
      <c r="R321" s="288">
        <f t="shared" si="180"/>
        <v>1306</v>
      </c>
      <c r="S321" s="206">
        <f t="shared" si="181"/>
        <v>2611</v>
      </c>
      <c r="T321" s="228"/>
      <c r="U321" s="298"/>
      <c r="V321" s="208"/>
      <c r="W321" s="228">
        <f t="shared" si="184"/>
        <v>2</v>
      </c>
      <c r="X321" s="301">
        <v>2369.6</v>
      </c>
      <c r="Y321" s="315">
        <f t="shared" si="185"/>
        <v>4739.2</v>
      </c>
      <c r="Z321" s="176"/>
      <c r="AA321" s="137"/>
      <c r="AB321" s="175"/>
      <c r="AC321" s="228"/>
      <c r="AD321" s="314">
        <f t="shared" si="186"/>
        <v>-1063.5999999999999</v>
      </c>
      <c r="AE321" s="317">
        <f t="shared" si="187"/>
        <v>-2128.1999999999998</v>
      </c>
    </row>
    <row r="322" spans="1:32" hidden="1" outlineLevel="2" x14ac:dyDescent="0.35">
      <c r="A322" s="38"/>
      <c r="B322" s="327" t="s">
        <v>1199</v>
      </c>
      <c r="C322" s="126" t="s">
        <v>5</v>
      </c>
      <c r="D322" s="259">
        <v>20</v>
      </c>
      <c r="E322" s="38"/>
      <c r="F322" s="270">
        <f t="shared" si="178"/>
        <v>8</v>
      </c>
      <c r="G322" s="224">
        <v>168.4</v>
      </c>
      <c r="H322" s="280"/>
      <c r="I322" s="228"/>
      <c r="J322" s="280"/>
      <c r="K322" s="203"/>
      <c r="L322" s="280"/>
      <c r="M322" s="228"/>
      <c r="N322" s="280"/>
      <c r="O322" s="203"/>
      <c r="P322" s="280">
        <v>6.31</v>
      </c>
      <c r="Q322" s="241">
        <f t="shared" si="179"/>
        <v>20</v>
      </c>
      <c r="R322" s="288">
        <f t="shared" si="180"/>
        <v>40</v>
      </c>
      <c r="S322" s="206">
        <f t="shared" si="181"/>
        <v>803</v>
      </c>
      <c r="T322" s="228"/>
      <c r="U322" s="298"/>
      <c r="V322" s="208"/>
      <c r="W322" s="228">
        <f t="shared" si="184"/>
        <v>20</v>
      </c>
      <c r="X322" s="301">
        <v>17.600000000000001</v>
      </c>
      <c r="Y322" s="315">
        <f t="shared" si="185"/>
        <v>352</v>
      </c>
      <c r="Z322" s="176"/>
      <c r="AA322" s="137"/>
      <c r="AB322" s="175"/>
      <c r="AC322" s="228"/>
      <c r="AD322" s="312">
        <f t="shared" si="186"/>
        <v>22.4</v>
      </c>
      <c r="AE322" s="316">
        <f t="shared" si="187"/>
        <v>451</v>
      </c>
    </row>
    <row r="323" spans="1:32" hidden="1" outlineLevel="2" x14ac:dyDescent="0.35">
      <c r="A323" s="38"/>
      <c r="B323" s="327" t="s">
        <v>755</v>
      </c>
      <c r="C323" s="126" t="s">
        <v>40</v>
      </c>
      <c r="D323" s="259">
        <v>2</v>
      </c>
      <c r="E323" s="38"/>
      <c r="F323" s="270">
        <f t="shared" si="178"/>
        <v>1</v>
      </c>
      <c r="G323" s="224">
        <v>1.36</v>
      </c>
      <c r="H323" s="280"/>
      <c r="I323" s="228"/>
      <c r="J323" s="280"/>
      <c r="K323" s="203"/>
      <c r="L323" s="280"/>
      <c r="M323" s="228"/>
      <c r="N323" s="280"/>
      <c r="O323" s="203"/>
      <c r="P323" s="280">
        <v>6.31</v>
      </c>
      <c r="Q323" s="241">
        <f t="shared" si="179"/>
        <v>2</v>
      </c>
      <c r="R323" s="288">
        <f t="shared" si="180"/>
        <v>5</v>
      </c>
      <c r="S323" s="206">
        <f t="shared" si="181"/>
        <v>10</v>
      </c>
      <c r="T323" s="228"/>
      <c r="U323" s="298"/>
      <c r="V323" s="208"/>
      <c r="W323" s="228">
        <f t="shared" si="184"/>
        <v>2</v>
      </c>
      <c r="X323" s="301">
        <v>33</v>
      </c>
      <c r="Y323" s="315">
        <f t="shared" si="185"/>
        <v>66</v>
      </c>
      <c r="Z323" s="176"/>
      <c r="AA323" s="137"/>
      <c r="AB323" s="175"/>
      <c r="AC323" s="228"/>
      <c r="AD323" s="314">
        <f t="shared" si="186"/>
        <v>-28</v>
      </c>
      <c r="AE323" s="317">
        <f t="shared" si="187"/>
        <v>-56</v>
      </c>
    </row>
    <row r="324" spans="1:32" hidden="1" outlineLevel="2" x14ac:dyDescent="0.35">
      <c r="A324" s="38"/>
      <c r="B324" s="327" t="s">
        <v>1200</v>
      </c>
      <c r="C324" s="126" t="s">
        <v>77</v>
      </c>
      <c r="D324" s="259">
        <v>2</v>
      </c>
      <c r="E324" s="38"/>
      <c r="F324" s="270">
        <f t="shared" si="178"/>
        <v>28</v>
      </c>
      <c r="G324" s="224">
        <v>55.85</v>
      </c>
      <c r="H324" s="280"/>
      <c r="I324" s="228"/>
      <c r="J324" s="280"/>
      <c r="K324" s="203"/>
      <c r="L324" s="280"/>
      <c r="M324" s="228"/>
      <c r="N324" s="280"/>
      <c r="O324" s="203"/>
      <c r="P324" s="280">
        <v>6.31</v>
      </c>
      <c r="Q324" s="241">
        <f t="shared" si="179"/>
        <v>2</v>
      </c>
      <c r="R324" s="288">
        <f t="shared" si="180"/>
        <v>141</v>
      </c>
      <c r="S324" s="206">
        <f t="shared" si="181"/>
        <v>281</v>
      </c>
      <c r="T324" s="228"/>
      <c r="U324" s="298"/>
      <c r="V324" s="208"/>
      <c r="W324" s="228">
        <f t="shared" si="184"/>
        <v>2</v>
      </c>
      <c r="X324" s="301">
        <v>210</v>
      </c>
      <c r="Y324" s="315">
        <f t="shared" si="185"/>
        <v>420</v>
      </c>
      <c r="Z324" s="176"/>
      <c r="AA324" s="137"/>
      <c r="AB324" s="175"/>
      <c r="AC324" s="228"/>
      <c r="AD324" s="314">
        <f t="shared" si="186"/>
        <v>-69</v>
      </c>
      <c r="AE324" s="317">
        <f t="shared" si="187"/>
        <v>-139</v>
      </c>
    </row>
    <row r="325" spans="1:32" hidden="1" outlineLevel="2" x14ac:dyDescent="0.35">
      <c r="A325" s="38"/>
      <c r="B325" s="327" t="s">
        <v>375</v>
      </c>
      <c r="C325" s="126" t="s">
        <v>40</v>
      </c>
      <c r="D325" s="259">
        <v>1</v>
      </c>
      <c r="E325" s="38"/>
      <c r="F325" s="270">
        <f t="shared" si="178"/>
        <v>4</v>
      </c>
      <c r="G325" s="224">
        <v>3.92</v>
      </c>
      <c r="H325" s="280"/>
      <c r="I325" s="228"/>
      <c r="J325" s="280"/>
      <c r="K325" s="203"/>
      <c r="L325" s="280"/>
      <c r="M325" s="228"/>
      <c r="N325" s="280"/>
      <c r="O325" s="203"/>
      <c r="P325" s="280">
        <v>6.31</v>
      </c>
      <c r="Q325" s="241">
        <f t="shared" si="179"/>
        <v>1</v>
      </c>
      <c r="R325" s="288">
        <f t="shared" si="180"/>
        <v>20</v>
      </c>
      <c r="S325" s="206">
        <f t="shared" si="181"/>
        <v>20</v>
      </c>
      <c r="T325" s="228"/>
      <c r="U325" s="298"/>
      <c r="V325" s="208"/>
      <c r="W325" s="228">
        <f t="shared" si="184"/>
        <v>1</v>
      </c>
      <c r="X325" s="301">
        <v>20</v>
      </c>
      <c r="Y325" s="315">
        <f t="shared" si="185"/>
        <v>20</v>
      </c>
      <c r="Z325" s="176"/>
      <c r="AA325" s="137"/>
      <c r="AB325" s="175"/>
      <c r="AC325" s="228"/>
      <c r="AD325" s="312">
        <f t="shared" si="186"/>
        <v>0</v>
      </c>
      <c r="AE325" s="316">
        <f t="shared" si="187"/>
        <v>0</v>
      </c>
    </row>
    <row r="326" spans="1:32" hidden="1" outlineLevel="2" x14ac:dyDescent="0.35">
      <c r="A326" s="38"/>
      <c r="B326" s="327" t="s">
        <v>1189</v>
      </c>
      <c r="C326" s="126" t="s">
        <v>16</v>
      </c>
      <c r="D326" s="259">
        <v>0.79</v>
      </c>
      <c r="E326" s="38"/>
      <c r="F326" s="270">
        <f t="shared" si="178"/>
        <v>72</v>
      </c>
      <c r="G326" s="224">
        <v>57.11</v>
      </c>
      <c r="H326" s="280"/>
      <c r="I326" s="228"/>
      <c r="J326" s="280"/>
      <c r="K326" s="203"/>
      <c r="L326" s="280"/>
      <c r="M326" s="228"/>
      <c r="N326" s="280"/>
      <c r="O326" s="203"/>
      <c r="P326" s="280">
        <v>6.31</v>
      </c>
      <c r="Q326" s="241">
        <f t="shared" si="179"/>
        <v>0.79</v>
      </c>
      <c r="R326" s="288">
        <f t="shared" si="180"/>
        <v>362</v>
      </c>
      <c r="S326" s="206">
        <f t="shared" si="181"/>
        <v>286</v>
      </c>
      <c r="T326" s="228"/>
      <c r="U326" s="298"/>
      <c r="V326" s="208"/>
      <c r="W326" s="228">
        <f t="shared" si="184"/>
        <v>0.79</v>
      </c>
      <c r="X326" s="301">
        <v>272</v>
      </c>
      <c r="Y326" s="315">
        <f t="shared" si="185"/>
        <v>214.88</v>
      </c>
      <c r="Z326" s="176"/>
      <c r="AA326" s="137"/>
      <c r="AB326" s="175"/>
      <c r="AC326" s="228"/>
      <c r="AD326" s="312">
        <f t="shared" si="186"/>
        <v>90</v>
      </c>
      <c r="AE326" s="316">
        <f t="shared" si="187"/>
        <v>71.12</v>
      </c>
    </row>
    <row r="327" spans="1:32" hidden="1" outlineLevel="2" x14ac:dyDescent="0.35">
      <c r="A327" s="38"/>
      <c r="B327" s="327" t="s">
        <v>1325</v>
      </c>
      <c r="C327" s="126" t="s">
        <v>5</v>
      </c>
      <c r="D327" s="259">
        <f>0.02*1000</f>
        <v>20</v>
      </c>
      <c r="E327" s="38"/>
      <c r="F327" s="270">
        <f t="shared" si="178"/>
        <v>1</v>
      </c>
      <c r="G327" s="224">
        <v>14.38</v>
      </c>
      <c r="H327" s="280"/>
      <c r="I327" s="228"/>
      <c r="J327" s="280"/>
      <c r="K327" s="203"/>
      <c r="L327" s="280"/>
      <c r="M327" s="228"/>
      <c r="N327" s="280"/>
      <c r="O327" s="203"/>
      <c r="P327" s="280">
        <v>6.31</v>
      </c>
      <c r="Q327" s="241">
        <f t="shared" si="179"/>
        <v>20</v>
      </c>
      <c r="R327" s="288">
        <f t="shared" si="180"/>
        <v>5</v>
      </c>
      <c r="S327" s="206">
        <f t="shared" si="181"/>
        <v>100</v>
      </c>
      <c r="T327" s="228"/>
      <c r="U327" s="298"/>
      <c r="V327" s="208"/>
      <c r="W327" s="228">
        <f t="shared" si="184"/>
        <v>20</v>
      </c>
      <c r="X327" s="301">
        <v>8.8000000000000007</v>
      </c>
      <c r="Y327" s="315">
        <f t="shared" si="185"/>
        <v>176</v>
      </c>
      <c r="Z327" s="176"/>
      <c r="AA327" s="137"/>
      <c r="AB327" s="175"/>
      <c r="AC327" s="228"/>
      <c r="AD327" s="314">
        <f t="shared" si="186"/>
        <v>-3.8000000000000007</v>
      </c>
      <c r="AE327" s="317">
        <f t="shared" si="187"/>
        <v>-76</v>
      </c>
    </row>
    <row r="328" spans="1:32" hidden="1" outlineLevel="2" x14ac:dyDescent="0.35">
      <c r="A328" s="38"/>
      <c r="B328" s="327" t="s">
        <v>1201</v>
      </c>
      <c r="C328" s="126" t="s">
        <v>28</v>
      </c>
      <c r="D328" s="259">
        <v>8.9999999999999993E-3</v>
      </c>
      <c r="E328" s="38"/>
      <c r="F328" s="270">
        <f t="shared" si="178"/>
        <v>11910</v>
      </c>
      <c r="G328" s="224">
        <v>107.19</v>
      </c>
      <c r="H328" s="280"/>
      <c r="I328" s="228"/>
      <c r="J328" s="280"/>
      <c r="K328" s="203"/>
      <c r="L328" s="280"/>
      <c r="M328" s="228"/>
      <c r="N328" s="280"/>
      <c r="O328" s="203"/>
      <c r="P328" s="280">
        <v>6.31</v>
      </c>
      <c r="Q328" s="241">
        <f t="shared" si="179"/>
        <v>8.9999999999999993E-3</v>
      </c>
      <c r="R328" s="288">
        <f t="shared" si="180"/>
        <v>59806</v>
      </c>
      <c r="S328" s="206">
        <f t="shared" si="181"/>
        <v>538</v>
      </c>
      <c r="T328" s="228"/>
      <c r="U328" s="298"/>
      <c r="V328" s="208"/>
      <c r="W328" s="228">
        <f t="shared" si="184"/>
        <v>8.9999999999999993E-3</v>
      </c>
      <c r="X328" s="301">
        <v>97300</v>
      </c>
      <c r="Y328" s="315">
        <f t="shared" si="185"/>
        <v>875.69999999999993</v>
      </c>
      <c r="Z328" s="176"/>
      <c r="AA328" s="137"/>
      <c r="AB328" s="175"/>
      <c r="AC328" s="228"/>
      <c r="AD328" s="314">
        <f t="shared" si="186"/>
        <v>-37494</v>
      </c>
      <c r="AE328" s="317">
        <f t="shared" si="187"/>
        <v>-337.69999999999993</v>
      </c>
    </row>
    <row r="329" spans="1:32" hidden="1" outlineLevel="2" x14ac:dyDescent="0.35">
      <c r="A329" s="38"/>
      <c r="B329" s="327" t="s">
        <v>1202</v>
      </c>
      <c r="C329" s="126" t="s">
        <v>16</v>
      </c>
      <c r="D329" s="259">
        <v>0.252</v>
      </c>
      <c r="E329" s="38"/>
      <c r="F329" s="270">
        <f t="shared" si="178"/>
        <v>25</v>
      </c>
      <c r="G329" s="224">
        <v>6.4</v>
      </c>
      <c r="H329" s="280"/>
      <c r="I329" s="228"/>
      <c r="J329" s="280"/>
      <c r="K329" s="203"/>
      <c r="L329" s="280"/>
      <c r="M329" s="228"/>
      <c r="N329" s="280"/>
      <c r="O329" s="203"/>
      <c r="P329" s="280">
        <v>6.31</v>
      </c>
      <c r="Q329" s="241">
        <f t="shared" si="179"/>
        <v>0.252</v>
      </c>
      <c r="R329" s="288">
        <f t="shared" si="180"/>
        <v>126</v>
      </c>
      <c r="S329" s="206">
        <f t="shared" si="181"/>
        <v>32</v>
      </c>
      <c r="T329" s="228"/>
      <c r="U329" s="298"/>
      <c r="V329" s="208"/>
      <c r="W329" s="228">
        <f t="shared" si="184"/>
        <v>0.252</v>
      </c>
      <c r="X329" s="301">
        <v>337.5</v>
      </c>
      <c r="Y329" s="315">
        <f t="shared" si="185"/>
        <v>85.05</v>
      </c>
      <c r="Z329" s="176"/>
      <c r="AA329" s="137"/>
      <c r="AB329" s="175"/>
      <c r="AC329" s="228"/>
      <c r="AD329" s="314">
        <f t="shared" si="186"/>
        <v>-211.5</v>
      </c>
      <c r="AE329" s="317">
        <f t="shared" si="187"/>
        <v>-53.05</v>
      </c>
    </row>
    <row r="330" spans="1:32" hidden="1" outlineLevel="2" x14ac:dyDescent="0.35">
      <c r="A330" s="38"/>
      <c r="B330" s="327" t="s">
        <v>1203</v>
      </c>
      <c r="C330" s="126" t="s">
        <v>28</v>
      </c>
      <c r="D330" s="259">
        <v>2.7E-2</v>
      </c>
      <c r="E330" s="38"/>
      <c r="F330" s="270">
        <f t="shared" si="178"/>
        <v>15164</v>
      </c>
      <c r="G330" s="224">
        <v>409.43</v>
      </c>
      <c r="H330" s="280"/>
      <c r="I330" s="228"/>
      <c r="J330" s="280"/>
      <c r="K330" s="203"/>
      <c r="L330" s="280"/>
      <c r="M330" s="228"/>
      <c r="N330" s="280"/>
      <c r="O330" s="203"/>
      <c r="P330" s="280">
        <v>6.31</v>
      </c>
      <c r="Q330" s="241">
        <f t="shared" si="179"/>
        <v>2.7E-2</v>
      </c>
      <c r="R330" s="288">
        <f t="shared" si="180"/>
        <v>76146</v>
      </c>
      <c r="S330" s="206">
        <f t="shared" si="181"/>
        <v>2056</v>
      </c>
      <c r="T330" s="228"/>
      <c r="U330" s="298"/>
      <c r="V330" s="208"/>
      <c r="W330" s="228">
        <f t="shared" si="184"/>
        <v>2.7E-2</v>
      </c>
      <c r="X330" s="301">
        <v>37100</v>
      </c>
      <c r="Y330" s="315">
        <f t="shared" si="185"/>
        <v>1001.7</v>
      </c>
      <c r="Z330" s="176"/>
      <c r="AA330" s="137"/>
      <c r="AB330" s="175"/>
      <c r="AC330" s="228"/>
      <c r="AD330" s="312">
        <f t="shared" si="186"/>
        <v>39046</v>
      </c>
      <c r="AE330" s="316">
        <f t="shared" si="187"/>
        <v>1054.3</v>
      </c>
    </row>
    <row r="331" spans="1:32" hidden="1" outlineLevel="2" x14ac:dyDescent="0.35">
      <c r="A331" s="38"/>
      <c r="B331" s="327" t="s">
        <v>403</v>
      </c>
      <c r="C331" s="126" t="s">
        <v>28</v>
      </c>
      <c r="D331" s="259">
        <v>1.03E-2</v>
      </c>
      <c r="E331" s="38"/>
      <c r="F331" s="270">
        <f t="shared" si="178"/>
        <v>4797</v>
      </c>
      <c r="G331" s="224">
        <v>49.41</v>
      </c>
      <c r="H331" s="280"/>
      <c r="I331" s="228"/>
      <c r="J331" s="280"/>
      <c r="K331" s="203"/>
      <c r="L331" s="280"/>
      <c r="M331" s="228"/>
      <c r="N331" s="280"/>
      <c r="O331" s="203"/>
      <c r="P331" s="280">
        <v>6.31</v>
      </c>
      <c r="Q331" s="241">
        <f t="shared" si="179"/>
        <v>1.03E-2</v>
      </c>
      <c r="R331" s="288">
        <f t="shared" si="180"/>
        <v>24088</v>
      </c>
      <c r="S331" s="206">
        <f t="shared" si="181"/>
        <v>248</v>
      </c>
      <c r="T331" s="228"/>
      <c r="U331" s="298"/>
      <c r="V331" s="208"/>
      <c r="W331" s="228">
        <f t="shared" si="184"/>
        <v>1.03E-2</v>
      </c>
      <c r="X331" s="301">
        <v>39575</v>
      </c>
      <c r="Y331" s="315">
        <f t="shared" si="185"/>
        <v>407.6225</v>
      </c>
      <c r="Z331" s="176"/>
      <c r="AA331" s="137"/>
      <c r="AB331" s="175"/>
      <c r="AC331" s="228"/>
      <c r="AD331" s="314">
        <f t="shared" si="186"/>
        <v>-15487</v>
      </c>
      <c r="AE331" s="317">
        <f t="shared" si="187"/>
        <v>-159.6225</v>
      </c>
    </row>
    <row r="332" spans="1:32" hidden="1" outlineLevel="2" x14ac:dyDescent="0.35">
      <c r="A332" s="38"/>
      <c r="B332" s="327" t="s">
        <v>1204</v>
      </c>
      <c r="C332" s="126" t="s">
        <v>5</v>
      </c>
      <c r="D332" s="259">
        <v>125</v>
      </c>
      <c r="E332" s="38"/>
      <c r="F332" s="270">
        <f t="shared" si="178"/>
        <v>10</v>
      </c>
      <c r="G332" s="224">
        <v>1305</v>
      </c>
      <c r="H332" s="280"/>
      <c r="I332" s="228"/>
      <c r="J332" s="280"/>
      <c r="K332" s="203"/>
      <c r="L332" s="280"/>
      <c r="M332" s="228"/>
      <c r="N332" s="280"/>
      <c r="O332" s="203"/>
      <c r="P332" s="280">
        <v>6.31</v>
      </c>
      <c r="Q332" s="241">
        <f t="shared" si="179"/>
        <v>125</v>
      </c>
      <c r="R332" s="288">
        <f t="shared" si="180"/>
        <v>50</v>
      </c>
      <c r="S332" s="206">
        <f t="shared" si="181"/>
        <v>6277</v>
      </c>
      <c r="T332" s="228"/>
      <c r="U332" s="298"/>
      <c r="V332" s="208"/>
      <c r="W332" s="228">
        <f t="shared" si="184"/>
        <v>125</v>
      </c>
      <c r="X332" s="301">
        <v>67</v>
      </c>
      <c r="Y332" s="315">
        <f t="shared" si="185"/>
        <v>8375</v>
      </c>
      <c r="Z332" s="176"/>
      <c r="AA332" s="137"/>
      <c r="AB332" s="175"/>
      <c r="AC332" s="228"/>
      <c r="AD332" s="314">
        <f t="shared" si="186"/>
        <v>-17</v>
      </c>
      <c r="AE332" s="317">
        <f t="shared" si="187"/>
        <v>-2098</v>
      </c>
    </row>
    <row r="333" spans="1:32" s="95" customFormat="1" hidden="1" outlineLevel="1" x14ac:dyDescent="0.3">
      <c r="A333" s="98"/>
      <c r="B333" s="160"/>
      <c r="C333" s="107"/>
      <c r="D333" s="253"/>
      <c r="E333" s="98"/>
      <c r="F333" s="154"/>
      <c r="G333" s="214"/>
      <c r="H333" s="154"/>
      <c r="I333" s="231"/>
      <c r="J333" s="154"/>
      <c r="K333" s="194"/>
      <c r="L333" s="154"/>
      <c r="M333" s="231"/>
      <c r="N333" s="154"/>
      <c r="O333" s="194"/>
      <c r="P333" s="154"/>
      <c r="Q333" s="231"/>
      <c r="R333" s="286"/>
      <c r="S333" s="194"/>
      <c r="T333" s="231"/>
      <c r="U333" s="155"/>
      <c r="V333" s="194"/>
      <c r="W333" s="231"/>
      <c r="X333" s="155"/>
      <c r="Y333" s="194"/>
      <c r="Z333" s="157"/>
      <c r="AA333" s="156"/>
      <c r="AB333" s="156"/>
      <c r="AC333" s="194"/>
      <c r="AD333" s="155"/>
      <c r="AE333" s="194"/>
    </row>
    <row r="334" spans="1:32" ht="37.5" hidden="1" customHeight="1" outlineLevel="1" x14ac:dyDescent="0.3">
      <c r="A334" s="399"/>
      <c r="B334" s="1082" t="s">
        <v>890</v>
      </c>
      <c r="C334" s="1083"/>
      <c r="D334" s="1083"/>
      <c r="E334" s="1083"/>
      <c r="F334" s="1084"/>
      <c r="G334" s="333">
        <f>SUM(G335:G346)</f>
        <v>11245.18</v>
      </c>
      <c r="H334" s="320"/>
      <c r="I334" s="320"/>
      <c r="J334" s="320"/>
      <c r="K334" s="321">
        <f>SUM(K335:K346)</f>
        <v>0</v>
      </c>
      <c r="L334" s="320"/>
      <c r="M334" s="320"/>
      <c r="N334" s="320"/>
      <c r="O334" s="321">
        <f>SUM(O335:O346)</f>
        <v>0</v>
      </c>
      <c r="P334" s="320"/>
      <c r="Q334" s="320"/>
      <c r="R334" s="320"/>
      <c r="S334" s="321">
        <f>SUM(S335:S346)</f>
        <v>56463</v>
      </c>
      <c r="T334" s="320"/>
      <c r="U334" s="322"/>
      <c r="V334" s="321">
        <f>SUM(V335:V346)</f>
        <v>0</v>
      </c>
      <c r="W334" s="320"/>
      <c r="X334" s="322"/>
      <c r="Y334" s="321">
        <f>SUM(Y335:Y346)</f>
        <v>15473.276</v>
      </c>
      <c r="Z334" s="322"/>
      <c r="AA334" s="322"/>
      <c r="AB334" s="322"/>
      <c r="AC334" s="322"/>
      <c r="AD334" s="322"/>
      <c r="AE334" s="325">
        <f>SUM(AE335:AE346)</f>
        <v>40989.723999999995</v>
      </c>
      <c r="AF334" s="326">
        <f>AE334/S334</f>
        <v>0.72595724633830994</v>
      </c>
    </row>
    <row r="335" spans="1:32" ht="38.25" hidden="1" customHeight="1" outlineLevel="2" x14ac:dyDescent="0.3">
      <c r="B335" s="334" t="s">
        <v>422</v>
      </c>
      <c r="C335" s="78" t="s">
        <v>40</v>
      </c>
      <c r="D335" s="255">
        <v>1</v>
      </c>
      <c r="E335" s="64"/>
      <c r="F335" s="265">
        <f t="shared" ref="F335:F378" si="188">ROUND(G335/D335,0)</f>
        <v>178</v>
      </c>
      <c r="G335" s="215">
        <v>178.48</v>
      </c>
      <c r="H335" s="272"/>
      <c r="I335" s="236"/>
      <c r="J335" s="265"/>
      <c r="K335" s="193"/>
      <c r="L335" s="272"/>
      <c r="M335" s="236"/>
      <c r="N335" s="265"/>
      <c r="O335" s="193"/>
      <c r="P335" s="282">
        <v>6.31</v>
      </c>
      <c r="Q335" s="236">
        <f t="shared" ref="Q335:Q378" si="189">D335-I335-M335</f>
        <v>1</v>
      </c>
      <c r="R335" s="265">
        <f t="shared" ref="R335:R378" si="190">ROUND(F335*P335*0.7958,0)</f>
        <v>894</v>
      </c>
      <c r="S335" s="193">
        <f>ROUND(Q335*P335*F335*0.7958,0)</f>
        <v>894</v>
      </c>
      <c r="T335" s="230"/>
      <c r="U335" s="290"/>
      <c r="V335" s="200"/>
      <c r="W335" s="232">
        <f t="shared" ref="W335" si="191">Q335</f>
        <v>1</v>
      </c>
      <c r="X335" s="292">
        <v>1248.8</v>
      </c>
      <c r="Y335" s="200">
        <f t="shared" ref="Y335" si="192">W335*X335</f>
        <v>1248.8</v>
      </c>
      <c r="Z335" s="153"/>
      <c r="AA335" s="147"/>
      <c r="AB335" s="101">
        <f t="shared" ref="AB335:AB378" si="193">ROUND(Z335*AA335,0)</f>
        <v>0</v>
      </c>
      <c r="AC335" s="226"/>
      <c r="AD335" s="302">
        <f t="shared" ref="AD335" si="194">R335-X335</f>
        <v>-354.79999999999995</v>
      </c>
      <c r="AE335" s="202">
        <f t="shared" ref="AE335" si="195">S335-Y335</f>
        <v>-354.79999999999995</v>
      </c>
    </row>
    <row r="336" spans="1:32" ht="38.25" hidden="1" customHeight="1" outlineLevel="2" x14ac:dyDescent="0.3">
      <c r="A336" s="141"/>
      <c r="B336" s="334" t="s">
        <v>423</v>
      </c>
      <c r="C336" s="78" t="s">
        <v>5</v>
      </c>
      <c r="D336" s="255">
        <v>180</v>
      </c>
      <c r="E336" s="64"/>
      <c r="F336" s="265">
        <f t="shared" si="188"/>
        <v>14</v>
      </c>
      <c r="G336" s="215">
        <v>2528</v>
      </c>
      <c r="H336" s="272"/>
      <c r="I336" s="236"/>
      <c r="J336" s="265"/>
      <c r="K336" s="193"/>
      <c r="L336" s="272"/>
      <c r="M336" s="236"/>
      <c r="N336" s="265"/>
      <c r="O336" s="193"/>
      <c r="P336" s="282">
        <v>6.31</v>
      </c>
      <c r="Q336" s="236">
        <f t="shared" si="189"/>
        <v>180</v>
      </c>
      <c r="R336" s="265">
        <f t="shared" si="190"/>
        <v>70</v>
      </c>
      <c r="S336" s="193">
        <f t="shared" ref="S336:S378" si="196">ROUND(Q336*P336*F336*0.7958,0)</f>
        <v>12654</v>
      </c>
      <c r="T336" s="230"/>
      <c r="U336" s="290"/>
      <c r="V336" s="200"/>
      <c r="W336" s="232">
        <f t="shared" ref="W336:W346" si="197">Q336</f>
        <v>180</v>
      </c>
      <c r="X336" s="290">
        <v>13.17</v>
      </c>
      <c r="Y336" s="200">
        <f t="shared" ref="Y336:Y346" si="198">W336*X336</f>
        <v>2370.6</v>
      </c>
      <c r="Z336" s="153"/>
      <c r="AA336" s="147"/>
      <c r="AB336" s="101">
        <f t="shared" si="193"/>
        <v>0</v>
      </c>
      <c r="AC336" s="226"/>
      <c r="AD336" s="304">
        <f t="shared" ref="AD336:AD346" si="199">R336-X336</f>
        <v>56.83</v>
      </c>
      <c r="AE336" s="305">
        <f t="shared" ref="AE336:AE346" si="200">S336-Y336</f>
        <v>10283.4</v>
      </c>
    </row>
    <row r="337" spans="1:32" hidden="1" outlineLevel="2" x14ac:dyDescent="0.3">
      <c r="A337" s="141"/>
      <c r="B337" s="334" t="s">
        <v>739</v>
      </c>
      <c r="C337" s="78" t="s">
        <v>5</v>
      </c>
      <c r="D337" s="255">
        <v>100</v>
      </c>
      <c r="E337" s="64"/>
      <c r="F337" s="265">
        <f t="shared" si="188"/>
        <v>23</v>
      </c>
      <c r="G337" s="215">
        <v>2252.86</v>
      </c>
      <c r="H337" s="272"/>
      <c r="I337" s="236"/>
      <c r="J337" s="265"/>
      <c r="K337" s="193"/>
      <c r="L337" s="272"/>
      <c r="M337" s="236"/>
      <c r="N337" s="265"/>
      <c r="O337" s="193"/>
      <c r="P337" s="282">
        <v>6.31</v>
      </c>
      <c r="Q337" s="236">
        <f t="shared" si="189"/>
        <v>100</v>
      </c>
      <c r="R337" s="265">
        <f t="shared" si="190"/>
        <v>115</v>
      </c>
      <c r="S337" s="193">
        <f t="shared" si="196"/>
        <v>11549</v>
      </c>
      <c r="T337" s="230"/>
      <c r="U337" s="290"/>
      <c r="V337" s="200"/>
      <c r="W337" s="232">
        <f t="shared" si="197"/>
        <v>100</v>
      </c>
      <c r="X337" s="292">
        <v>15.2</v>
      </c>
      <c r="Y337" s="200">
        <f t="shared" si="198"/>
        <v>1520</v>
      </c>
      <c r="Z337" s="153"/>
      <c r="AA337" s="147"/>
      <c r="AB337" s="101">
        <f t="shared" si="193"/>
        <v>0</v>
      </c>
      <c r="AC337" s="226"/>
      <c r="AD337" s="304">
        <f t="shared" si="199"/>
        <v>99.8</v>
      </c>
      <c r="AE337" s="305">
        <f t="shared" si="200"/>
        <v>10029</v>
      </c>
    </row>
    <row r="338" spans="1:32" hidden="1" outlineLevel="2" x14ac:dyDescent="0.3">
      <c r="A338" s="141"/>
      <c r="B338" s="334" t="s">
        <v>424</v>
      </c>
      <c r="C338" s="78" t="s">
        <v>5</v>
      </c>
      <c r="D338" s="255">
        <v>10</v>
      </c>
      <c r="E338" s="64"/>
      <c r="F338" s="265">
        <f t="shared" si="188"/>
        <v>57</v>
      </c>
      <c r="G338" s="215">
        <v>573.1</v>
      </c>
      <c r="H338" s="272"/>
      <c r="I338" s="236"/>
      <c r="J338" s="265"/>
      <c r="K338" s="193"/>
      <c r="L338" s="272"/>
      <c r="M338" s="236"/>
      <c r="N338" s="265"/>
      <c r="O338" s="193"/>
      <c r="P338" s="282">
        <v>6.31</v>
      </c>
      <c r="Q338" s="236">
        <f t="shared" si="189"/>
        <v>10</v>
      </c>
      <c r="R338" s="265">
        <f t="shared" si="190"/>
        <v>286</v>
      </c>
      <c r="S338" s="193">
        <f t="shared" si="196"/>
        <v>2862</v>
      </c>
      <c r="T338" s="230"/>
      <c r="U338" s="290"/>
      <c r="V338" s="200"/>
      <c r="W338" s="232">
        <f t="shared" si="197"/>
        <v>10</v>
      </c>
      <c r="X338" s="289">
        <v>186</v>
      </c>
      <c r="Y338" s="200">
        <f t="shared" si="198"/>
        <v>1860</v>
      </c>
      <c r="Z338" s="153"/>
      <c r="AA338" s="147"/>
      <c r="AB338" s="101">
        <f t="shared" si="193"/>
        <v>0</v>
      </c>
      <c r="AC338" s="226"/>
      <c r="AD338" s="304">
        <f t="shared" si="199"/>
        <v>100</v>
      </c>
      <c r="AE338" s="305">
        <f t="shared" si="200"/>
        <v>1002</v>
      </c>
    </row>
    <row r="339" spans="1:32" ht="35.25" hidden="1" customHeight="1" outlineLevel="2" x14ac:dyDescent="0.3">
      <c r="A339" s="141"/>
      <c r="B339" s="334" t="s">
        <v>894</v>
      </c>
      <c r="C339" s="78" t="s">
        <v>364</v>
      </c>
      <c r="D339" s="255">
        <v>150</v>
      </c>
      <c r="E339" s="64"/>
      <c r="F339" s="265">
        <f t="shared" si="188"/>
        <v>33</v>
      </c>
      <c r="G339" s="215">
        <v>5005.5</v>
      </c>
      <c r="H339" s="272"/>
      <c r="I339" s="236"/>
      <c r="J339" s="265"/>
      <c r="K339" s="193"/>
      <c r="L339" s="272"/>
      <c r="M339" s="236"/>
      <c r="N339" s="265"/>
      <c r="O339" s="193"/>
      <c r="P339" s="282">
        <v>6.31</v>
      </c>
      <c r="Q339" s="236">
        <f t="shared" si="189"/>
        <v>150</v>
      </c>
      <c r="R339" s="265">
        <f t="shared" si="190"/>
        <v>166</v>
      </c>
      <c r="S339" s="193">
        <f t="shared" si="196"/>
        <v>24856</v>
      </c>
      <c r="T339" s="230"/>
      <c r="U339" s="290"/>
      <c r="V339" s="200"/>
      <c r="W339" s="232">
        <f t="shared" si="197"/>
        <v>150</v>
      </c>
      <c r="X339" s="290">
        <v>32.44</v>
      </c>
      <c r="Y339" s="200">
        <f t="shared" si="198"/>
        <v>4866</v>
      </c>
      <c r="Z339" s="153"/>
      <c r="AA339" s="147"/>
      <c r="AB339" s="101">
        <f t="shared" si="193"/>
        <v>0</v>
      </c>
      <c r="AC339" s="226"/>
      <c r="AD339" s="304">
        <f t="shared" si="199"/>
        <v>133.56</v>
      </c>
      <c r="AE339" s="305">
        <f t="shared" si="200"/>
        <v>19990</v>
      </c>
    </row>
    <row r="340" spans="1:32" ht="32.25" hidden="1" customHeight="1" outlineLevel="2" x14ac:dyDescent="0.3">
      <c r="A340" s="141"/>
      <c r="B340" s="334" t="s">
        <v>895</v>
      </c>
      <c r="C340" s="78" t="s">
        <v>40</v>
      </c>
      <c r="D340" s="255">
        <v>1</v>
      </c>
      <c r="E340" s="64"/>
      <c r="F340" s="265">
        <f t="shared" si="188"/>
        <v>328</v>
      </c>
      <c r="G340" s="215">
        <v>327.97</v>
      </c>
      <c r="H340" s="272"/>
      <c r="I340" s="236"/>
      <c r="J340" s="265"/>
      <c r="K340" s="193"/>
      <c r="L340" s="272"/>
      <c r="M340" s="236"/>
      <c r="N340" s="265"/>
      <c r="O340" s="193"/>
      <c r="P340" s="282">
        <v>6.31</v>
      </c>
      <c r="Q340" s="236">
        <f t="shared" si="189"/>
        <v>1</v>
      </c>
      <c r="R340" s="265">
        <f t="shared" si="190"/>
        <v>1647</v>
      </c>
      <c r="S340" s="193">
        <f t="shared" si="196"/>
        <v>1647</v>
      </c>
      <c r="T340" s="230"/>
      <c r="U340" s="290"/>
      <c r="V340" s="200"/>
      <c r="W340" s="232">
        <f t="shared" si="197"/>
        <v>1</v>
      </c>
      <c r="X340" s="292">
        <v>2369.6</v>
      </c>
      <c r="Y340" s="200">
        <f t="shared" si="198"/>
        <v>2369.6</v>
      </c>
      <c r="Z340" s="153"/>
      <c r="AA340" s="147"/>
      <c r="AB340" s="101">
        <f t="shared" si="193"/>
        <v>0</v>
      </c>
      <c r="AC340" s="226"/>
      <c r="AD340" s="302">
        <f t="shared" si="199"/>
        <v>-722.59999999999991</v>
      </c>
      <c r="AE340" s="202">
        <f t="shared" si="200"/>
        <v>-722.59999999999991</v>
      </c>
    </row>
    <row r="341" spans="1:32" hidden="1" outlineLevel="2" x14ac:dyDescent="0.3">
      <c r="A341" s="141"/>
      <c r="B341" s="334" t="s">
        <v>425</v>
      </c>
      <c r="C341" s="78" t="s">
        <v>40</v>
      </c>
      <c r="D341" s="255">
        <v>20</v>
      </c>
      <c r="E341" s="64"/>
      <c r="F341" s="265">
        <f t="shared" si="188"/>
        <v>4</v>
      </c>
      <c r="G341" s="215">
        <v>84</v>
      </c>
      <c r="H341" s="272"/>
      <c r="I341" s="236"/>
      <c r="J341" s="265"/>
      <c r="K341" s="193"/>
      <c r="L341" s="272"/>
      <c r="M341" s="236"/>
      <c r="N341" s="265"/>
      <c r="O341" s="193"/>
      <c r="P341" s="282">
        <v>6.31</v>
      </c>
      <c r="Q341" s="236">
        <f t="shared" si="189"/>
        <v>20</v>
      </c>
      <c r="R341" s="265">
        <f t="shared" si="190"/>
        <v>20</v>
      </c>
      <c r="S341" s="193">
        <f t="shared" si="196"/>
        <v>402</v>
      </c>
      <c r="T341" s="230"/>
      <c r="U341" s="290"/>
      <c r="V341" s="200"/>
      <c r="W341" s="232">
        <f t="shared" si="197"/>
        <v>20</v>
      </c>
      <c r="X341" s="292">
        <v>11.2</v>
      </c>
      <c r="Y341" s="200">
        <f t="shared" si="198"/>
        <v>224</v>
      </c>
      <c r="Z341" s="153"/>
      <c r="AA341" s="147"/>
      <c r="AB341" s="101">
        <f t="shared" si="193"/>
        <v>0</v>
      </c>
      <c r="AC341" s="226"/>
      <c r="AD341" s="304">
        <f t="shared" si="199"/>
        <v>8.8000000000000007</v>
      </c>
      <c r="AE341" s="305">
        <f t="shared" si="200"/>
        <v>178</v>
      </c>
    </row>
    <row r="342" spans="1:32" hidden="1" outlineLevel="2" x14ac:dyDescent="0.3">
      <c r="B342" s="334" t="s">
        <v>426</v>
      </c>
      <c r="C342" s="78" t="s">
        <v>40</v>
      </c>
      <c r="D342" s="255">
        <v>10</v>
      </c>
      <c r="E342" s="64"/>
      <c r="F342" s="265">
        <f>ROUND(G342/D342,0)</f>
        <v>2</v>
      </c>
      <c r="G342" s="215">
        <v>20.399999999999999</v>
      </c>
      <c r="H342" s="272"/>
      <c r="I342" s="236"/>
      <c r="J342" s="265"/>
      <c r="K342" s="193"/>
      <c r="L342" s="272"/>
      <c r="M342" s="236"/>
      <c r="N342" s="265"/>
      <c r="O342" s="193"/>
      <c r="P342" s="282">
        <v>6.31</v>
      </c>
      <c r="Q342" s="236">
        <f t="shared" si="189"/>
        <v>10</v>
      </c>
      <c r="R342" s="265">
        <f t="shared" si="190"/>
        <v>10</v>
      </c>
      <c r="S342" s="193">
        <f>ROUND(Q342*P342*F342*0.7958,0)</f>
        <v>100</v>
      </c>
      <c r="T342" s="230"/>
      <c r="U342" s="290"/>
      <c r="V342" s="200"/>
      <c r="W342" s="232">
        <f t="shared" si="197"/>
        <v>10</v>
      </c>
      <c r="X342" s="292">
        <v>3.9</v>
      </c>
      <c r="Y342" s="200">
        <f t="shared" si="198"/>
        <v>39</v>
      </c>
      <c r="Z342" s="153"/>
      <c r="AA342" s="147"/>
      <c r="AB342" s="101">
        <f t="shared" si="193"/>
        <v>0</v>
      </c>
      <c r="AC342" s="226"/>
      <c r="AD342" s="304">
        <f t="shared" si="199"/>
        <v>6.1</v>
      </c>
      <c r="AE342" s="305">
        <f t="shared" si="200"/>
        <v>61</v>
      </c>
    </row>
    <row r="343" spans="1:32" hidden="1" outlineLevel="2" x14ac:dyDescent="0.3">
      <c r="B343" s="334" t="s">
        <v>427</v>
      </c>
      <c r="C343" s="78" t="s">
        <v>16</v>
      </c>
      <c r="D343" s="255">
        <v>1.7829999999999999</v>
      </c>
      <c r="E343" s="64"/>
      <c r="F343" s="265">
        <f t="shared" si="188"/>
        <v>72</v>
      </c>
      <c r="G343" s="215">
        <v>128.09</v>
      </c>
      <c r="H343" s="272"/>
      <c r="I343" s="236"/>
      <c r="J343" s="265"/>
      <c r="K343" s="193"/>
      <c r="L343" s="272"/>
      <c r="M343" s="236"/>
      <c r="N343" s="265"/>
      <c r="O343" s="193"/>
      <c r="P343" s="282">
        <v>6.31</v>
      </c>
      <c r="Q343" s="236">
        <f t="shared" si="189"/>
        <v>1.7829999999999999</v>
      </c>
      <c r="R343" s="265">
        <f t="shared" si="190"/>
        <v>362</v>
      </c>
      <c r="S343" s="193">
        <f t="shared" si="196"/>
        <v>645</v>
      </c>
      <c r="T343" s="230"/>
      <c r="U343" s="290"/>
      <c r="V343" s="200"/>
      <c r="W343" s="232">
        <f t="shared" si="197"/>
        <v>1.7829999999999999</v>
      </c>
      <c r="X343" s="289">
        <v>272</v>
      </c>
      <c r="Y343" s="200">
        <f t="shared" si="198"/>
        <v>484.976</v>
      </c>
      <c r="Z343" s="153"/>
      <c r="AA343" s="147"/>
      <c r="AB343" s="101">
        <f t="shared" si="193"/>
        <v>0</v>
      </c>
      <c r="AC343" s="226"/>
      <c r="AD343" s="304">
        <f t="shared" si="199"/>
        <v>90</v>
      </c>
      <c r="AE343" s="305">
        <f t="shared" si="200"/>
        <v>160.024</v>
      </c>
    </row>
    <row r="344" spans="1:32" hidden="1" outlineLevel="2" x14ac:dyDescent="0.3">
      <c r="A344" s="141"/>
      <c r="B344" s="334" t="s">
        <v>896</v>
      </c>
      <c r="C344" s="78" t="s">
        <v>5</v>
      </c>
      <c r="D344" s="255">
        <v>20</v>
      </c>
      <c r="E344" s="64"/>
      <c r="F344" s="265">
        <f t="shared" si="188"/>
        <v>1</v>
      </c>
      <c r="G344" s="215">
        <v>12.94</v>
      </c>
      <c r="H344" s="272"/>
      <c r="I344" s="236"/>
      <c r="J344" s="265"/>
      <c r="K344" s="193"/>
      <c r="L344" s="272"/>
      <c r="M344" s="236"/>
      <c r="N344" s="265"/>
      <c r="O344" s="193"/>
      <c r="P344" s="282">
        <v>6.31</v>
      </c>
      <c r="Q344" s="236">
        <f t="shared" si="189"/>
        <v>20</v>
      </c>
      <c r="R344" s="265">
        <f t="shared" si="190"/>
        <v>5</v>
      </c>
      <c r="S344" s="193">
        <f t="shared" si="196"/>
        <v>100</v>
      </c>
      <c r="T344" s="230"/>
      <c r="U344" s="290"/>
      <c r="V344" s="200"/>
      <c r="W344" s="232">
        <f t="shared" si="197"/>
        <v>20</v>
      </c>
      <c r="X344" s="292">
        <v>3.2</v>
      </c>
      <c r="Y344" s="200">
        <f t="shared" si="198"/>
        <v>64</v>
      </c>
      <c r="Z344" s="153"/>
      <c r="AA344" s="147"/>
      <c r="AB344" s="101">
        <f t="shared" si="193"/>
        <v>0</v>
      </c>
      <c r="AC344" s="226"/>
      <c r="AD344" s="304">
        <f t="shared" si="199"/>
        <v>1.7999999999999998</v>
      </c>
      <c r="AE344" s="305">
        <f t="shared" si="200"/>
        <v>36</v>
      </c>
    </row>
    <row r="345" spans="1:32" hidden="1" outlineLevel="2" x14ac:dyDescent="0.3">
      <c r="A345" s="141"/>
      <c r="B345" s="334" t="s">
        <v>428</v>
      </c>
      <c r="C345" s="78" t="s">
        <v>5</v>
      </c>
      <c r="D345" s="255">
        <v>30</v>
      </c>
      <c r="E345" s="64"/>
      <c r="F345" s="265">
        <f t="shared" si="188"/>
        <v>1</v>
      </c>
      <c r="G345" s="215">
        <v>24.82</v>
      </c>
      <c r="H345" s="272"/>
      <c r="I345" s="236"/>
      <c r="J345" s="265"/>
      <c r="K345" s="193"/>
      <c r="L345" s="272"/>
      <c r="M345" s="236"/>
      <c r="N345" s="265"/>
      <c r="O345" s="193"/>
      <c r="P345" s="282">
        <v>6.31</v>
      </c>
      <c r="Q345" s="236">
        <f t="shared" si="189"/>
        <v>30</v>
      </c>
      <c r="R345" s="265">
        <f t="shared" si="190"/>
        <v>5</v>
      </c>
      <c r="S345" s="193">
        <f t="shared" si="196"/>
        <v>151</v>
      </c>
      <c r="T345" s="230"/>
      <c r="U345" s="290"/>
      <c r="V345" s="200"/>
      <c r="W345" s="232">
        <f t="shared" si="197"/>
        <v>30</v>
      </c>
      <c r="X345" s="290">
        <v>2.88</v>
      </c>
      <c r="Y345" s="200">
        <f t="shared" si="198"/>
        <v>86.399999999999991</v>
      </c>
      <c r="Z345" s="153"/>
      <c r="AA345" s="147"/>
      <c r="AB345" s="101">
        <f t="shared" si="193"/>
        <v>0</v>
      </c>
      <c r="AC345" s="226"/>
      <c r="AD345" s="304">
        <f t="shared" si="199"/>
        <v>2.12</v>
      </c>
      <c r="AE345" s="305">
        <f t="shared" si="200"/>
        <v>64.600000000000009</v>
      </c>
    </row>
    <row r="346" spans="1:32" ht="33.75" hidden="1" customHeight="1" outlineLevel="2" x14ac:dyDescent="0.3">
      <c r="A346" s="141"/>
      <c r="B346" s="334" t="s">
        <v>448</v>
      </c>
      <c r="C346" s="78" t="s">
        <v>5</v>
      </c>
      <c r="D346" s="255">
        <v>30</v>
      </c>
      <c r="E346" s="64"/>
      <c r="F346" s="265">
        <f t="shared" si="188"/>
        <v>4</v>
      </c>
      <c r="G346" s="215">
        <v>109.02</v>
      </c>
      <c r="H346" s="272"/>
      <c r="I346" s="236"/>
      <c r="J346" s="265"/>
      <c r="K346" s="193"/>
      <c r="L346" s="272"/>
      <c r="M346" s="236"/>
      <c r="N346" s="265"/>
      <c r="O346" s="193"/>
      <c r="P346" s="282">
        <v>6.31</v>
      </c>
      <c r="Q346" s="236">
        <f t="shared" si="189"/>
        <v>30</v>
      </c>
      <c r="R346" s="265">
        <f t="shared" si="190"/>
        <v>20</v>
      </c>
      <c r="S346" s="193">
        <f t="shared" si="196"/>
        <v>603</v>
      </c>
      <c r="T346" s="230"/>
      <c r="U346" s="290"/>
      <c r="V346" s="200"/>
      <c r="W346" s="232">
        <f t="shared" si="197"/>
        <v>30</v>
      </c>
      <c r="X346" s="290">
        <v>11.33</v>
      </c>
      <c r="Y346" s="200">
        <f t="shared" si="198"/>
        <v>339.9</v>
      </c>
      <c r="Z346" s="153"/>
      <c r="AA346" s="147"/>
      <c r="AB346" s="101">
        <f t="shared" si="193"/>
        <v>0</v>
      </c>
      <c r="AC346" s="226"/>
      <c r="AD346" s="304">
        <f t="shared" si="199"/>
        <v>8.67</v>
      </c>
      <c r="AE346" s="305">
        <f t="shared" si="200"/>
        <v>263.10000000000002</v>
      </c>
    </row>
    <row r="347" spans="1:32" s="95" customFormat="1" hidden="1" outlineLevel="1" x14ac:dyDescent="0.3">
      <c r="A347" s="98"/>
      <c r="B347" s="160"/>
      <c r="C347" s="107"/>
      <c r="D347" s="253"/>
      <c r="E347" s="98"/>
      <c r="F347" s="154"/>
      <c r="G347" s="214"/>
      <c r="H347" s="154"/>
      <c r="I347" s="231"/>
      <c r="J347" s="154"/>
      <c r="K347" s="194"/>
      <c r="L347" s="154"/>
      <c r="M347" s="231"/>
      <c r="N347" s="154"/>
      <c r="O347" s="194"/>
      <c r="P347" s="154"/>
      <c r="Q347" s="231"/>
      <c r="R347" s="286"/>
      <c r="S347" s="194"/>
      <c r="T347" s="231"/>
      <c r="U347" s="155"/>
      <c r="V347" s="194"/>
      <c r="W347" s="231"/>
      <c r="X347" s="155"/>
      <c r="Y347" s="194"/>
      <c r="Z347" s="157"/>
      <c r="AA347" s="156"/>
      <c r="AB347" s="156"/>
      <c r="AC347" s="194"/>
      <c r="AD347" s="155"/>
      <c r="AE347" s="194"/>
    </row>
    <row r="348" spans="1:32" ht="37.5" hidden="1" customHeight="1" outlineLevel="1" x14ac:dyDescent="0.3">
      <c r="A348" s="399"/>
      <c r="B348" s="1082" t="s">
        <v>541</v>
      </c>
      <c r="C348" s="1083"/>
      <c r="D348" s="1083"/>
      <c r="E348" s="1083"/>
      <c r="F348" s="1084"/>
      <c r="G348" s="333">
        <f>SUM(G349:G362)</f>
        <v>10834.76</v>
      </c>
      <c r="H348" s="320"/>
      <c r="I348" s="320"/>
      <c r="J348" s="320"/>
      <c r="K348" s="321">
        <f>SUM(K349:K362)</f>
        <v>0</v>
      </c>
      <c r="L348" s="320"/>
      <c r="M348" s="320"/>
      <c r="N348" s="320"/>
      <c r="O348" s="321">
        <f>SUM(O349:O362)</f>
        <v>0</v>
      </c>
      <c r="P348" s="320"/>
      <c r="Q348" s="320"/>
      <c r="R348" s="320"/>
      <c r="S348" s="321">
        <f>SUM(S349:S362)</f>
        <v>54378</v>
      </c>
      <c r="T348" s="320"/>
      <c r="U348" s="322"/>
      <c r="V348" s="321"/>
      <c r="W348" s="320"/>
      <c r="X348" s="322"/>
      <c r="Y348" s="321">
        <f>SUM(Y349:Y362)</f>
        <v>22283.074799999999</v>
      </c>
      <c r="Z348" s="322"/>
      <c r="AA348" s="322"/>
      <c r="AB348" s="322"/>
      <c r="AC348" s="322"/>
      <c r="AD348" s="322"/>
      <c r="AE348" s="325">
        <f>SUM(AE349:AE362)</f>
        <v>32096.125200000002</v>
      </c>
      <c r="AF348" s="326">
        <f>AE348/S348</f>
        <v>0.59024100187575868</v>
      </c>
    </row>
    <row r="349" spans="1:32" hidden="1" outlineLevel="2" x14ac:dyDescent="0.3">
      <c r="B349" s="334" t="s">
        <v>429</v>
      </c>
      <c r="C349" s="78" t="s">
        <v>40</v>
      </c>
      <c r="D349" s="255">
        <v>230</v>
      </c>
      <c r="E349" s="64"/>
      <c r="F349" s="265">
        <f t="shared" si="188"/>
        <v>1</v>
      </c>
      <c r="G349" s="215">
        <v>119.86</v>
      </c>
      <c r="H349" s="272"/>
      <c r="I349" s="236"/>
      <c r="J349" s="265"/>
      <c r="K349" s="193"/>
      <c r="L349" s="272"/>
      <c r="M349" s="236"/>
      <c r="N349" s="265"/>
      <c r="O349" s="193"/>
      <c r="P349" s="282">
        <v>6.31</v>
      </c>
      <c r="Q349" s="236">
        <f t="shared" si="189"/>
        <v>230</v>
      </c>
      <c r="R349" s="265">
        <f t="shared" si="190"/>
        <v>5</v>
      </c>
      <c r="S349" s="193">
        <f>ROUND(Q349*P349*F349*0.7958,0)</f>
        <v>1155</v>
      </c>
      <c r="T349" s="230"/>
      <c r="U349" s="290"/>
      <c r="V349" s="200"/>
      <c r="W349" s="232">
        <f t="shared" ref="W349" si="201">Q349</f>
        <v>230</v>
      </c>
      <c r="X349" s="289">
        <v>1.78</v>
      </c>
      <c r="Y349" s="199">
        <f t="shared" ref="Y349" si="202">W349*X349</f>
        <v>409.40000000000003</v>
      </c>
      <c r="Z349" s="153"/>
      <c r="AA349" s="147"/>
      <c r="AB349" s="101">
        <f t="shared" si="193"/>
        <v>0</v>
      </c>
      <c r="AC349" s="226"/>
      <c r="AD349" s="304">
        <f t="shared" ref="AD349" si="203">R349-X349</f>
        <v>3.2199999999999998</v>
      </c>
      <c r="AE349" s="305">
        <f t="shared" ref="AE349" si="204">S349-Y349</f>
        <v>745.59999999999991</v>
      </c>
    </row>
    <row r="350" spans="1:32" hidden="1" outlineLevel="2" x14ac:dyDescent="0.3">
      <c r="A350" s="141"/>
      <c r="B350" s="334" t="s">
        <v>430</v>
      </c>
      <c r="C350" s="78" t="s">
        <v>40</v>
      </c>
      <c r="D350" s="255">
        <v>22</v>
      </c>
      <c r="E350" s="64"/>
      <c r="F350" s="265">
        <f t="shared" si="188"/>
        <v>58</v>
      </c>
      <c r="G350" s="215">
        <v>1276.22</v>
      </c>
      <c r="H350" s="272"/>
      <c r="I350" s="236"/>
      <c r="J350" s="265"/>
      <c r="K350" s="193"/>
      <c r="L350" s="272"/>
      <c r="M350" s="236"/>
      <c r="N350" s="265"/>
      <c r="O350" s="193"/>
      <c r="P350" s="282">
        <v>6.31</v>
      </c>
      <c r="Q350" s="236">
        <f t="shared" si="189"/>
        <v>22</v>
      </c>
      <c r="R350" s="265">
        <f t="shared" si="190"/>
        <v>291</v>
      </c>
      <c r="S350" s="193">
        <f t="shared" si="196"/>
        <v>6407</v>
      </c>
      <c r="T350" s="230"/>
      <c r="U350" s="290"/>
      <c r="V350" s="200"/>
      <c r="W350" s="232">
        <f t="shared" ref="W350:W362" si="205">Q350</f>
        <v>22</v>
      </c>
      <c r="X350" s="289">
        <v>216.8</v>
      </c>
      <c r="Y350" s="199">
        <f t="shared" ref="Y350:Y362" si="206">W350*X350</f>
        <v>4769.6000000000004</v>
      </c>
      <c r="Z350" s="153"/>
      <c r="AA350" s="147"/>
      <c r="AB350" s="101">
        <f t="shared" si="193"/>
        <v>0</v>
      </c>
      <c r="AC350" s="226"/>
      <c r="AD350" s="304">
        <f t="shared" ref="AD350:AD362" si="207">R350-X350</f>
        <v>74.199999999999989</v>
      </c>
      <c r="AE350" s="305">
        <f t="shared" ref="AE350:AE362" si="208">S350-Y350</f>
        <v>1637.3999999999996</v>
      </c>
    </row>
    <row r="351" spans="1:32" hidden="1" outlineLevel="2" x14ac:dyDescent="0.3">
      <c r="A351" s="141"/>
      <c r="B351" s="334" t="s">
        <v>431</v>
      </c>
      <c r="C351" s="78" t="s">
        <v>5</v>
      </c>
      <c r="D351" s="255">
        <v>10</v>
      </c>
      <c r="E351" s="64"/>
      <c r="F351" s="265">
        <f t="shared" si="188"/>
        <v>57</v>
      </c>
      <c r="G351" s="215">
        <v>573.1</v>
      </c>
      <c r="H351" s="272"/>
      <c r="I351" s="236"/>
      <c r="J351" s="265"/>
      <c r="K351" s="193"/>
      <c r="L351" s="272"/>
      <c r="M351" s="236"/>
      <c r="N351" s="265"/>
      <c r="O351" s="193"/>
      <c r="P351" s="282">
        <v>6.31</v>
      </c>
      <c r="Q351" s="236">
        <f t="shared" si="189"/>
        <v>10</v>
      </c>
      <c r="R351" s="265">
        <f t="shared" si="190"/>
        <v>286</v>
      </c>
      <c r="S351" s="193">
        <f t="shared" si="196"/>
        <v>2862</v>
      </c>
      <c r="T351" s="230"/>
      <c r="U351" s="290"/>
      <c r="V351" s="200"/>
      <c r="W351" s="232">
        <f t="shared" si="205"/>
        <v>10</v>
      </c>
      <c r="X351" s="289">
        <v>21.85</v>
      </c>
      <c r="Y351" s="199">
        <f t="shared" si="206"/>
        <v>218.5</v>
      </c>
      <c r="Z351" s="153"/>
      <c r="AA351" s="147"/>
      <c r="AB351" s="101">
        <f t="shared" si="193"/>
        <v>0</v>
      </c>
      <c r="AC351" s="226"/>
      <c r="AD351" s="304">
        <f t="shared" si="207"/>
        <v>264.14999999999998</v>
      </c>
      <c r="AE351" s="305">
        <f t="shared" si="208"/>
        <v>2643.5</v>
      </c>
    </row>
    <row r="352" spans="1:32" hidden="1" outlineLevel="2" x14ac:dyDescent="0.3">
      <c r="A352" s="141"/>
      <c r="B352" s="334" t="s">
        <v>432</v>
      </c>
      <c r="C352" s="78" t="s">
        <v>5</v>
      </c>
      <c r="D352" s="255">
        <v>150</v>
      </c>
      <c r="E352" s="64"/>
      <c r="F352" s="265">
        <f t="shared" si="188"/>
        <v>4</v>
      </c>
      <c r="G352" s="215">
        <v>614.9</v>
      </c>
      <c r="H352" s="272"/>
      <c r="I352" s="236"/>
      <c r="J352" s="265"/>
      <c r="K352" s="193"/>
      <c r="L352" s="272"/>
      <c r="M352" s="236"/>
      <c r="N352" s="265"/>
      <c r="O352" s="193"/>
      <c r="P352" s="282">
        <v>6.31</v>
      </c>
      <c r="Q352" s="236">
        <f t="shared" si="189"/>
        <v>150</v>
      </c>
      <c r="R352" s="265">
        <f t="shared" si="190"/>
        <v>20</v>
      </c>
      <c r="S352" s="193">
        <f t="shared" si="196"/>
        <v>3013</v>
      </c>
      <c r="T352" s="230"/>
      <c r="U352" s="290"/>
      <c r="V352" s="200"/>
      <c r="W352" s="232">
        <f t="shared" si="205"/>
        <v>150</v>
      </c>
      <c r="X352" s="289">
        <v>13.17</v>
      </c>
      <c r="Y352" s="199">
        <f t="shared" si="206"/>
        <v>1975.5</v>
      </c>
      <c r="Z352" s="153"/>
      <c r="AA352" s="147"/>
      <c r="AB352" s="101">
        <f t="shared" si="193"/>
        <v>0</v>
      </c>
      <c r="AC352" s="226"/>
      <c r="AD352" s="304">
        <f t="shared" si="207"/>
        <v>6.83</v>
      </c>
      <c r="AE352" s="305">
        <f t="shared" si="208"/>
        <v>1037.5</v>
      </c>
    </row>
    <row r="353" spans="1:32" hidden="1" outlineLevel="2" x14ac:dyDescent="0.3">
      <c r="A353" s="141"/>
      <c r="B353" s="334" t="s">
        <v>433</v>
      </c>
      <c r="C353" s="78" t="s">
        <v>5</v>
      </c>
      <c r="D353" s="255">
        <v>120</v>
      </c>
      <c r="E353" s="64"/>
      <c r="F353" s="265">
        <f t="shared" si="188"/>
        <v>5</v>
      </c>
      <c r="G353" s="215">
        <v>631.61</v>
      </c>
      <c r="H353" s="272"/>
      <c r="I353" s="236"/>
      <c r="J353" s="265"/>
      <c r="K353" s="193"/>
      <c r="L353" s="272"/>
      <c r="M353" s="236"/>
      <c r="N353" s="265"/>
      <c r="O353" s="193"/>
      <c r="P353" s="282">
        <v>6.31</v>
      </c>
      <c r="Q353" s="236">
        <f t="shared" si="189"/>
        <v>120</v>
      </c>
      <c r="R353" s="265">
        <f t="shared" si="190"/>
        <v>25</v>
      </c>
      <c r="S353" s="193">
        <f t="shared" si="196"/>
        <v>3013</v>
      </c>
      <c r="T353" s="230"/>
      <c r="U353" s="290"/>
      <c r="V353" s="200"/>
      <c r="W353" s="232">
        <f t="shared" si="205"/>
        <v>120</v>
      </c>
      <c r="X353" s="289">
        <v>15.2</v>
      </c>
      <c r="Y353" s="199">
        <f t="shared" si="206"/>
        <v>1824</v>
      </c>
      <c r="Z353" s="153"/>
      <c r="AA353" s="147"/>
      <c r="AB353" s="101">
        <f t="shared" si="193"/>
        <v>0</v>
      </c>
      <c r="AC353" s="226"/>
      <c r="AD353" s="304">
        <f t="shared" si="207"/>
        <v>9.8000000000000007</v>
      </c>
      <c r="AE353" s="305">
        <f t="shared" si="208"/>
        <v>1189</v>
      </c>
    </row>
    <row r="354" spans="1:32" ht="38.25" hidden="1" customHeight="1" outlineLevel="2" x14ac:dyDescent="0.3">
      <c r="A354" s="141"/>
      <c r="B354" s="334" t="s">
        <v>894</v>
      </c>
      <c r="C354" s="78" t="s">
        <v>364</v>
      </c>
      <c r="D354" s="255">
        <v>200</v>
      </c>
      <c r="E354" s="64"/>
      <c r="F354" s="265">
        <f t="shared" si="188"/>
        <v>33</v>
      </c>
      <c r="G354" s="215">
        <v>6674</v>
      </c>
      <c r="H354" s="272"/>
      <c r="I354" s="236"/>
      <c r="J354" s="265"/>
      <c r="K354" s="193"/>
      <c r="L354" s="272"/>
      <c r="M354" s="236"/>
      <c r="N354" s="265"/>
      <c r="O354" s="193"/>
      <c r="P354" s="282">
        <v>6.31</v>
      </c>
      <c r="Q354" s="236">
        <f t="shared" si="189"/>
        <v>200</v>
      </c>
      <c r="R354" s="265">
        <f t="shared" si="190"/>
        <v>166</v>
      </c>
      <c r="S354" s="193">
        <f t="shared" si="196"/>
        <v>33142</v>
      </c>
      <c r="T354" s="230"/>
      <c r="U354" s="290"/>
      <c r="V354" s="200"/>
      <c r="W354" s="232">
        <f t="shared" si="205"/>
        <v>200</v>
      </c>
      <c r="X354" s="289">
        <v>32.44</v>
      </c>
      <c r="Y354" s="199">
        <f t="shared" si="206"/>
        <v>6488</v>
      </c>
      <c r="Z354" s="153"/>
      <c r="AA354" s="147"/>
      <c r="AB354" s="101">
        <f t="shared" si="193"/>
        <v>0</v>
      </c>
      <c r="AC354" s="226"/>
      <c r="AD354" s="304">
        <f t="shared" si="207"/>
        <v>133.56</v>
      </c>
      <c r="AE354" s="305">
        <f t="shared" si="208"/>
        <v>26654</v>
      </c>
    </row>
    <row r="355" spans="1:32" ht="38.25" hidden="1" customHeight="1" outlineLevel="2" x14ac:dyDescent="0.3">
      <c r="A355" s="143"/>
      <c r="B355" s="334" t="s">
        <v>891</v>
      </c>
      <c r="C355" s="78" t="s">
        <v>40</v>
      </c>
      <c r="D355" s="255">
        <v>2</v>
      </c>
      <c r="E355" s="64"/>
      <c r="F355" s="265">
        <f t="shared" si="188"/>
        <v>328</v>
      </c>
      <c r="G355" s="215">
        <v>655.94</v>
      </c>
      <c r="H355" s="272"/>
      <c r="I355" s="236"/>
      <c r="J355" s="265"/>
      <c r="K355" s="193"/>
      <c r="L355" s="272"/>
      <c r="M355" s="236"/>
      <c r="N355" s="265"/>
      <c r="O355" s="193"/>
      <c r="P355" s="282">
        <v>6.31</v>
      </c>
      <c r="Q355" s="236">
        <f t="shared" si="189"/>
        <v>2</v>
      </c>
      <c r="R355" s="265">
        <f t="shared" si="190"/>
        <v>1647</v>
      </c>
      <c r="S355" s="193">
        <f t="shared" si="196"/>
        <v>3294</v>
      </c>
      <c r="T355" s="230"/>
      <c r="U355" s="290"/>
      <c r="V355" s="200"/>
      <c r="W355" s="232">
        <f t="shared" si="205"/>
        <v>2</v>
      </c>
      <c r="X355" s="289">
        <v>2369.6</v>
      </c>
      <c r="Y355" s="199">
        <f t="shared" si="206"/>
        <v>4739.2</v>
      </c>
      <c r="Z355" s="153"/>
      <c r="AA355" s="147"/>
      <c r="AB355" s="101">
        <f t="shared" si="193"/>
        <v>0</v>
      </c>
      <c r="AC355" s="226"/>
      <c r="AD355" s="302">
        <f t="shared" si="207"/>
        <v>-722.59999999999991</v>
      </c>
      <c r="AE355" s="202">
        <f t="shared" si="208"/>
        <v>-1445.1999999999998</v>
      </c>
    </row>
    <row r="356" spans="1:32" hidden="1" outlineLevel="2" x14ac:dyDescent="0.3">
      <c r="A356" s="141"/>
      <c r="B356" s="334" t="s">
        <v>425</v>
      </c>
      <c r="C356" s="78" t="s">
        <v>40</v>
      </c>
      <c r="D356" s="255">
        <v>5</v>
      </c>
      <c r="E356" s="64"/>
      <c r="F356" s="265">
        <f t="shared" si="188"/>
        <v>4</v>
      </c>
      <c r="G356" s="215">
        <v>21</v>
      </c>
      <c r="H356" s="272"/>
      <c r="I356" s="236"/>
      <c r="J356" s="265"/>
      <c r="K356" s="193"/>
      <c r="L356" s="272"/>
      <c r="M356" s="236"/>
      <c r="N356" s="265"/>
      <c r="O356" s="193"/>
      <c r="P356" s="282">
        <v>6.31</v>
      </c>
      <c r="Q356" s="236">
        <f t="shared" si="189"/>
        <v>5</v>
      </c>
      <c r="R356" s="265">
        <f t="shared" si="190"/>
        <v>20</v>
      </c>
      <c r="S356" s="193">
        <f t="shared" si="196"/>
        <v>100</v>
      </c>
      <c r="T356" s="230"/>
      <c r="U356" s="290"/>
      <c r="V356" s="200"/>
      <c r="W356" s="232">
        <f t="shared" si="205"/>
        <v>5</v>
      </c>
      <c r="X356" s="289">
        <v>11.2</v>
      </c>
      <c r="Y356" s="199">
        <f t="shared" si="206"/>
        <v>56</v>
      </c>
      <c r="Z356" s="153"/>
      <c r="AA356" s="147"/>
      <c r="AB356" s="101">
        <f t="shared" si="193"/>
        <v>0</v>
      </c>
      <c r="AC356" s="226"/>
      <c r="AD356" s="304">
        <f t="shared" si="207"/>
        <v>8.8000000000000007</v>
      </c>
      <c r="AE356" s="305">
        <f t="shared" si="208"/>
        <v>44</v>
      </c>
    </row>
    <row r="357" spans="1:32" hidden="1" outlineLevel="2" x14ac:dyDescent="0.3">
      <c r="B357" s="334" t="s">
        <v>426</v>
      </c>
      <c r="C357" s="78" t="s">
        <v>40</v>
      </c>
      <c r="D357" s="255">
        <v>20</v>
      </c>
      <c r="E357" s="64"/>
      <c r="F357" s="265">
        <f t="shared" si="188"/>
        <v>2</v>
      </c>
      <c r="G357" s="215">
        <v>40.799999999999997</v>
      </c>
      <c r="H357" s="272"/>
      <c r="I357" s="236"/>
      <c r="J357" s="265"/>
      <c r="K357" s="193"/>
      <c r="L357" s="272"/>
      <c r="M357" s="236"/>
      <c r="N357" s="265"/>
      <c r="O357" s="193"/>
      <c r="P357" s="282">
        <v>6.31</v>
      </c>
      <c r="Q357" s="236">
        <f t="shared" si="189"/>
        <v>20</v>
      </c>
      <c r="R357" s="265">
        <f t="shared" si="190"/>
        <v>10</v>
      </c>
      <c r="S357" s="193">
        <f t="shared" si="196"/>
        <v>201</v>
      </c>
      <c r="T357" s="230"/>
      <c r="U357" s="290"/>
      <c r="V357" s="200"/>
      <c r="W357" s="232">
        <f t="shared" si="205"/>
        <v>20</v>
      </c>
      <c r="X357" s="289">
        <v>3.9</v>
      </c>
      <c r="Y357" s="199">
        <f t="shared" si="206"/>
        <v>78</v>
      </c>
      <c r="Z357" s="153"/>
      <c r="AA357" s="147"/>
      <c r="AB357" s="101">
        <f t="shared" si="193"/>
        <v>0</v>
      </c>
      <c r="AC357" s="226"/>
      <c r="AD357" s="304">
        <f t="shared" si="207"/>
        <v>6.1</v>
      </c>
      <c r="AE357" s="305">
        <f t="shared" si="208"/>
        <v>123</v>
      </c>
    </row>
    <row r="358" spans="1:32" hidden="1" outlineLevel="2" x14ac:dyDescent="0.3">
      <c r="B358" s="334" t="s">
        <v>225</v>
      </c>
      <c r="C358" s="78" t="s">
        <v>17</v>
      </c>
      <c r="D358" s="255">
        <v>0.11</v>
      </c>
      <c r="E358" s="64"/>
      <c r="F358" s="265">
        <f t="shared" si="188"/>
        <v>61</v>
      </c>
      <c r="G358" s="215">
        <v>6.69</v>
      </c>
      <c r="H358" s="272"/>
      <c r="I358" s="236"/>
      <c r="J358" s="265"/>
      <c r="K358" s="193"/>
      <c r="L358" s="272"/>
      <c r="M358" s="236"/>
      <c r="N358" s="265"/>
      <c r="O358" s="193"/>
      <c r="P358" s="282">
        <v>6.31</v>
      </c>
      <c r="Q358" s="236">
        <f t="shared" si="189"/>
        <v>0.11</v>
      </c>
      <c r="R358" s="265">
        <f t="shared" si="190"/>
        <v>306</v>
      </c>
      <c r="S358" s="193">
        <f t="shared" si="196"/>
        <v>34</v>
      </c>
      <c r="T358" s="230"/>
      <c r="U358" s="290"/>
      <c r="V358" s="200"/>
      <c r="W358" s="232">
        <f t="shared" si="205"/>
        <v>0.11</v>
      </c>
      <c r="X358" s="289">
        <v>331</v>
      </c>
      <c r="Y358" s="199">
        <f t="shared" si="206"/>
        <v>36.410000000000004</v>
      </c>
      <c r="Z358" s="153"/>
      <c r="AA358" s="147"/>
      <c r="AB358" s="101">
        <f t="shared" si="193"/>
        <v>0</v>
      </c>
      <c r="AC358" s="226"/>
      <c r="AD358" s="302">
        <f t="shared" si="207"/>
        <v>-25</v>
      </c>
      <c r="AE358" s="202">
        <f t="shared" si="208"/>
        <v>-2.4100000000000037</v>
      </c>
    </row>
    <row r="359" spans="1:32" hidden="1" outlineLevel="2" x14ac:dyDescent="0.3">
      <c r="B359" s="334" t="s">
        <v>434</v>
      </c>
      <c r="C359" s="78" t="s">
        <v>16</v>
      </c>
      <c r="D359" s="255">
        <v>2.0484</v>
      </c>
      <c r="E359" s="64"/>
      <c r="F359" s="265">
        <f t="shared" si="188"/>
        <v>72</v>
      </c>
      <c r="G359" s="215">
        <v>146.72</v>
      </c>
      <c r="H359" s="272"/>
      <c r="I359" s="236"/>
      <c r="J359" s="265"/>
      <c r="K359" s="193"/>
      <c r="L359" s="272"/>
      <c r="M359" s="236"/>
      <c r="N359" s="265"/>
      <c r="O359" s="193"/>
      <c r="P359" s="282">
        <v>6.31</v>
      </c>
      <c r="Q359" s="236">
        <f t="shared" si="189"/>
        <v>2.0484</v>
      </c>
      <c r="R359" s="265">
        <f t="shared" si="190"/>
        <v>362</v>
      </c>
      <c r="S359" s="193">
        <f t="shared" si="196"/>
        <v>741</v>
      </c>
      <c r="T359" s="230"/>
      <c r="U359" s="290"/>
      <c r="V359" s="200"/>
      <c r="W359" s="232">
        <f t="shared" si="205"/>
        <v>2.0484</v>
      </c>
      <c r="X359" s="289">
        <v>272</v>
      </c>
      <c r="Y359" s="199">
        <f t="shared" si="206"/>
        <v>557.16480000000001</v>
      </c>
      <c r="Z359" s="153"/>
      <c r="AA359" s="147"/>
      <c r="AB359" s="101">
        <f t="shared" si="193"/>
        <v>0</v>
      </c>
      <c r="AC359" s="226"/>
      <c r="AD359" s="304">
        <f t="shared" si="207"/>
        <v>90</v>
      </c>
      <c r="AE359" s="305">
        <f t="shared" si="208"/>
        <v>183.83519999999999</v>
      </c>
    </row>
    <row r="360" spans="1:32" hidden="1" outlineLevel="2" x14ac:dyDescent="0.3">
      <c r="A360" s="141"/>
      <c r="B360" s="334" t="s">
        <v>892</v>
      </c>
      <c r="C360" s="78" t="s">
        <v>5</v>
      </c>
      <c r="D360" s="255">
        <v>10</v>
      </c>
      <c r="E360" s="64"/>
      <c r="F360" s="265">
        <f t="shared" si="188"/>
        <v>1</v>
      </c>
      <c r="G360" s="215">
        <v>5.65</v>
      </c>
      <c r="H360" s="272"/>
      <c r="I360" s="236"/>
      <c r="J360" s="265"/>
      <c r="K360" s="193"/>
      <c r="L360" s="272"/>
      <c r="M360" s="236"/>
      <c r="N360" s="265"/>
      <c r="O360" s="193"/>
      <c r="P360" s="282">
        <v>6.31</v>
      </c>
      <c r="Q360" s="236">
        <f t="shared" si="189"/>
        <v>10</v>
      </c>
      <c r="R360" s="265">
        <f t="shared" si="190"/>
        <v>5</v>
      </c>
      <c r="S360" s="193">
        <f t="shared" si="196"/>
        <v>50</v>
      </c>
      <c r="T360" s="230"/>
      <c r="U360" s="290"/>
      <c r="V360" s="200"/>
      <c r="W360" s="232">
        <f t="shared" si="205"/>
        <v>10</v>
      </c>
      <c r="X360" s="289">
        <v>5.12</v>
      </c>
      <c r="Y360" s="199">
        <f t="shared" si="206"/>
        <v>51.2</v>
      </c>
      <c r="Z360" s="153"/>
      <c r="AA360" s="147"/>
      <c r="AB360" s="101">
        <f t="shared" si="193"/>
        <v>0</v>
      </c>
      <c r="AC360" s="226"/>
      <c r="AD360" s="304">
        <f t="shared" si="207"/>
        <v>-0.12000000000000011</v>
      </c>
      <c r="AE360" s="305">
        <v>0</v>
      </c>
    </row>
    <row r="361" spans="1:32" hidden="1" outlineLevel="2" x14ac:dyDescent="0.3">
      <c r="A361" s="141"/>
      <c r="B361" s="334" t="s">
        <v>435</v>
      </c>
      <c r="C361" s="78" t="s">
        <v>5</v>
      </c>
      <c r="D361" s="255">
        <v>50</v>
      </c>
      <c r="E361" s="64"/>
      <c r="F361" s="265">
        <f t="shared" si="188"/>
        <v>1</v>
      </c>
      <c r="G361" s="215">
        <v>41.36</v>
      </c>
      <c r="H361" s="272"/>
      <c r="I361" s="236"/>
      <c r="J361" s="265"/>
      <c r="K361" s="193"/>
      <c r="L361" s="272"/>
      <c r="M361" s="236"/>
      <c r="N361" s="265"/>
      <c r="O361" s="193"/>
      <c r="P361" s="282">
        <v>6.31</v>
      </c>
      <c r="Q361" s="236">
        <f t="shared" si="189"/>
        <v>50</v>
      </c>
      <c r="R361" s="265">
        <f t="shared" si="190"/>
        <v>5</v>
      </c>
      <c r="S361" s="193">
        <f>ROUND(Q361*P361*F361*0.7958,0)</f>
        <v>251</v>
      </c>
      <c r="T361" s="230"/>
      <c r="U361" s="290"/>
      <c r="V361" s="200"/>
      <c r="W361" s="232">
        <f t="shared" si="205"/>
        <v>50</v>
      </c>
      <c r="X361" s="289">
        <v>2.88</v>
      </c>
      <c r="Y361" s="199">
        <f t="shared" si="206"/>
        <v>144</v>
      </c>
      <c r="Z361" s="153"/>
      <c r="AA361" s="147"/>
      <c r="AB361" s="101">
        <f t="shared" si="193"/>
        <v>0</v>
      </c>
      <c r="AC361" s="226"/>
      <c r="AD361" s="304">
        <f t="shared" si="207"/>
        <v>2.12</v>
      </c>
      <c r="AE361" s="305">
        <f t="shared" si="208"/>
        <v>107</v>
      </c>
    </row>
    <row r="362" spans="1:32" ht="31.5" hidden="1" customHeight="1" outlineLevel="2" x14ac:dyDescent="0.3">
      <c r="A362" s="141"/>
      <c r="B362" s="334" t="s">
        <v>893</v>
      </c>
      <c r="C362" s="78" t="s">
        <v>40</v>
      </c>
      <c r="D362" s="255">
        <v>23</v>
      </c>
      <c r="E362" s="64"/>
      <c r="F362" s="265">
        <f t="shared" si="188"/>
        <v>1</v>
      </c>
      <c r="G362" s="215">
        <v>26.91</v>
      </c>
      <c r="H362" s="272"/>
      <c r="I362" s="236"/>
      <c r="J362" s="265"/>
      <c r="K362" s="193"/>
      <c r="L362" s="272"/>
      <c r="M362" s="236"/>
      <c r="N362" s="265"/>
      <c r="O362" s="193"/>
      <c r="P362" s="282">
        <v>6.31</v>
      </c>
      <c r="Q362" s="236">
        <f t="shared" si="189"/>
        <v>23</v>
      </c>
      <c r="R362" s="265">
        <f t="shared" si="190"/>
        <v>5</v>
      </c>
      <c r="S362" s="193">
        <f t="shared" si="196"/>
        <v>115</v>
      </c>
      <c r="T362" s="230"/>
      <c r="U362" s="290"/>
      <c r="V362" s="200"/>
      <c r="W362" s="232">
        <f t="shared" si="205"/>
        <v>23</v>
      </c>
      <c r="X362" s="289">
        <v>40.700000000000003</v>
      </c>
      <c r="Y362" s="199">
        <f t="shared" si="206"/>
        <v>936.1</v>
      </c>
      <c r="Z362" s="153"/>
      <c r="AA362" s="147"/>
      <c r="AB362" s="101">
        <f t="shared" si="193"/>
        <v>0</v>
      </c>
      <c r="AC362" s="226"/>
      <c r="AD362" s="302">
        <f t="shared" si="207"/>
        <v>-35.700000000000003</v>
      </c>
      <c r="AE362" s="202">
        <f t="shared" si="208"/>
        <v>-821.1</v>
      </c>
    </row>
    <row r="363" spans="1:32" s="95" customFormat="1" hidden="1" outlineLevel="1" x14ac:dyDescent="0.3">
      <c r="A363" s="98"/>
      <c r="B363" s="160"/>
      <c r="C363" s="107"/>
      <c r="D363" s="253"/>
      <c r="E363" s="98"/>
      <c r="F363" s="154"/>
      <c r="G363" s="214"/>
      <c r="H363" s="154"/>
      <c r="I363" s="231"/>
      <c r="J363" s="154"/>
      <c r="K363" s="194"/>
      <c r="L363" s="154"/>
      <c r="M363" s="231"/>
      <c r="N363" s="154"/>
      <c r="O363" s="194"/>
      <c r="P363" s="154"/>
      <c r="Q363" s="231"/>
      <c r="R363" s="286"/>
      <c r="S363" s="194"/>
      <c r="T363" s="231"/>
      <c r="U363" s="155"/>
      <c r="V363" s="194"/>
      <c r="W363" s="231"/>
      <c r="X363" s="155"/>
      <c r="Y363" s="194"/>
      <c r="Z363" s="157"/>
      <c r="AA363" s="156"/>
      <c r="AB363" s="156"/>
      <c r="AC363" s="194"/>
      <c r="AD363" s="155"/>
      <c r="AE363" s="194"/>
    </row>
    <row r="364" spans="1:32" ht="26.25" hidden="1" customHeight="1" outlineLevel="1" x14ac:dyDescent="0.3">
      <c r="A364" s="399"/>
      <c r="B364" s="1082" t="s">
        <v>540</v>
      </c>
      <c r="C364" s="1083"/>
      <c r="D364" s="1083"/>
      <c r="E364" s="1083"/>
      <c r="F364" s="1084"/>
      <c r="G364" s="333">
        <f>SUM(G367:G380)</f>
        <v>5415.38</v>
      </c>
      <c r="H364" s="320"/>
      <c r="I364" s="320"/>
      <c r="J364" s="320"/>
      <c r="K364" s="321">
        <f>SUM(K367:K380)</f>
        <v>0</v>
      </c>
      <c r="L364" s="320"/>
      <c r="M364" s="320"/>
      <c r="N364" s="320"/>
      <c r="O364" s="321">
        <f>SUM(O367:O380)</f>
        <v>0</v>
      </c>
      <c r="P364" s="320"/>
      <c r="Q364" s="320"/>
      <c r="R364" s="320"/>
      <c r="S364" s="321">
        <f>SUM(S367:S380)</f>
        <v>28454</v>
      </c>
      <c r="T364" s="320"/>
      <c r="U364" s="322"/>
      <c r="V364" s="321">
        <f>SUM(V367:V380)</f>
        <v>0</v>
      </c>
      <c r="W364" s="320"/>
      <c r="X364" s="322"/>
      <c r="Y364" s="321">
        <f>SUM(Y367:Y380)</f>
        <v>49111.653999999988</v>
      </c>
      <c r="Z364" s="322"/>
      <c r="AA364" s="322"/>
      <c r="AB364" s="322">
        <f>SUM(AB367:AB380)</f>
        <v>0</v>
      </c>
      <c r="AC364" s="322"/>
      <c r="AD364" s="322"/>
      <c r="AE364" s="323">
        <f>SUM(AE367:AE380)</f>
        <v>-20657.653999999999</v>
      </c>
      <c r="AF364" s="324">
        <f>AE364/S364</f>
        <v>-0.72600175722218308</v>
      </c>
    </row>
    <row r="365" spans="1:32" ht="34.5" hidden="1" customHeight="1" outlineLevel="2" x14ac:dyDescent="0.3">
      <c r="A365" s="141"/>
      <c r="B365" s="334" t="s">
        <v>906</v>
      </c>
      <c r="C365" s="78" t="s">
        <v>364</v>
      </c>
      <c r="D365" s="255">
        <v>10</v>
      </c>
      <c r="E365" s="1132" t="s">
        <v>907</v>
      </c>
      <c r="F365" s="1026">
        <f>ROUND(G365/61,0)</f>
        <v>19</v>
      </c>
      <c r="G365" s="1158">
        <v>1169.98</v>
      </c>
      <c r="H365" s="1026"/>
      <c r="I365" s="1135"/>
      <c r="J365" s="1026"/>
      <c r="K365" s="1008"/>
      <c r="L365" s="1026"/>
      <c r="M365" s="1135"/>
      <c r="N365" s="1026"/>
      <c r="O365" s="1008"/>
      <c r="P365" s="1138">
        <v>6.62</v>
      </c>
      <c r="Q365" s="1135">
        <v>61</v>
      </c>
      <c r="R365" s="1026">
        <f>ROUND(F365*P365*0.7958,0)</f>
        <v>100</v>
      </c>
      <c r="S365" s="1008">
        <f>ROUND(Q365*P365*F365*0.7958,0)</f>
        <v>6106</v>
      </c>
      <c r="T365" s="230"/>
      <c r="U365" s="290"/>
      <c r="V365" s="200"/>
      <c r="W365" s="232">
        <f>D365</f>
        <v>10</v>
      </c>
      <c r="X365" s="289">
        <v>101.6</v>
      </c>
      <c r="Y365" s="199">
        <f t="shared" ref="Y365" si="209">W365*X365</f>
        <v>1016</v>
      </c>
      <c r="Z365" s="153"/>
      <c r="AA365" s="147"/>
      <c r="AB365" s="101">
        <f t="shared" ref="AB365:AB366" si="210">ROUND(Z365*AA365,0)</f>
        <v>0</v>
      </c>
      <c r="AC365" s="226"/>
      <c r="AD365" s="302">
        <f t="shared" ref="AD365" si="211">R365-X365</f>
        <v>-1.5999999999999943</v>
      </c>
      <c r="AE365" s="202">
        <f t="shared" ref="AE365" si="212">S365-Y365</f>
        <v>5090</v>
      </c>
    </row>
    <row r="366" spans="1:32" ht="34.5" hidden="1" customHeight="1" outlineLevel="2" x14ac:dyDescent="0.3">
      <c r="A366" s="141"/>
      <c r="B366" s="334" t="s">
        <v>908</v>
      </c>
      <c r="C366" s="78" t="s">
        <v>364</v>
      </c>
      <c r="D366" s="255">
        <v>10</v>
      </c>
      <c r="E366" s="1133"/>
      <c r="F366" s="1100"/>
      <c r="G366" s="1159"/>
      <c r="H366" s="1100"/>
      <c r="I366" s="1136"/>
      <c r="J366" s="1100"/>
      <c r="K366" s="1077"/>
      <c r="L366" s="1100"/>
      <c r="M366" s="1136"/>
      <c r="N366" s="1100"/>
      <c r="O366" s="1077"/>
      <c r="P366" s="1139">
        <v>6.62</v>
      </c>
      <c r="Q366" s="1136">
        <f t="shared" ref="Q366" si="213">D366-I366-M366</f>
        <v>10</v>
      </c>
      <c r="R366" s="1100"/>
      <c r="S366" s="1077"/>
      <c r="T366" s="230"/>
      <c r="U366" s="290"/>
      <c r="V366" s="200"/>
      <c r="W366" s="232">
        <f t="shared" ref="W366:W368" si="214">D366</f>
        <v>10</v>
      </c>
      <c r="X366" s="289">
        <v>58.4</v>
      </c>
      <c r="Y366" s="199">
        <f t="shared" ref="Y366:Y380" si="215">W366*X366</f>
        <v>584</v>
      </c>
      <c r="Z366" s="153"/>
      <c r="AA366" s="147"/>
      <c r="AB366" s="101">
        <f t="shared" si="210"/>
        <v>0</v>
      </c>
      <c r="AC366" s="226"/>
      <c r="AD366" s="302">
        <f t="shared" ref="AD366:AD380" si="216">R366-X366</f>
        <v>-58.4</v>
      </c>
      <c r="AE366" s="202">
        <f t="shared" ref="AE366:AE380" si="217">S366-Y366</f>
        <v>-584</v>
      </c>
    </row>
    <row r="367" spans="1:32" ht="31.5" hidden="1" customHeight="1" outlineLevel="2" x14ac:dyDescent="0.3">
      <c r="A367" s="141"/>
      <c r="B367" s="334" t="s">
        <v>909</v>
      </c>
      <c r="C367" s="78" t="s">
        <v>364</v>
      </c>
      <c r="D367" s="255">
        <v>1</v>
      </c>
      <c r="E367" s="1133"/>
      <c r="F367" s="1100"/>
      <c r="G367" s="1159"/>
      <c r="H367" s="1100"/>
      <c r="I367" s="1136"/>
      <c r="J367" s="1100"/>
      <c r="K367" s="1077"/>
      <c r="L367" s="1100"/>
      <c r="M367" s="1136"/>
      <c r="N367" s="1100"/>
      <c r="O367" s="1077"/>
      <c r="P367" s="1139">
        <v>6.62</v>
      </c>
      <c r="Q367" s="1136">
        <f t="shared" si="189"/>
        <v>1</v>
      </c>
      <c r="R367" s="1100"/>
      <c r="S367" s="1077"/>
      <c r="T367" s="230"/>
      <c r="U367" s="290"/>
      <c r="V367" s="200"/>
      <c r="W367" s="232">
        <f t="shared" si="214"/>
        <v>1</v>
      </c>
      <c r="X367" s="289">
        <v>94.4</v>
      </c>
      <c r="Y367" s="199">
        <f t="shared" si="215"/>
        <v>94.4</v>
      </c>
      <c r="Z367" s="153"/>
      <c r="AA367" s="147"/>
      <c r="AB367" s="101">
        <f t="shared" si="193"/>
        <v>0</v>
      </c>
      <c r="AC367" s="226"/>
      <c r="AD367" s="302">
        <f t="shared" si="216"/>
        <v>-94.4</v>
      </c>
      <c r="AE367" s="202">
        <f t="shared" si="217"/>
        <v>-94.4</v>
      </c>
    </row>
    <row r="368" spans="1:32" ht="31.5" hidden="1" customHeight="1" outlineLevel="2" x14ac:dyDescent="0.3">
      <c r="A368" s="141"/>
      <c r="B368" s="334" t="s">
        <v>910</v>
      </c>
      <c r="C368" s="78" t="s">
        <v>364</v>
      </c>
      <c r="D368" s="255">
        <v>40</v>
      </c>
      <c r="E368" s="1134"/>
      <c r="F368" s="1027"/>
      <c r="G368" s="1160"/>
      <c r="H368" s="1027"/>
      <c r="I368" s="1137"/>
      <c r="J368" s="1027"/>
      <c r="K368" s="1009"/>
      <c r="L368" s="1027"/>
      <c r="M368" s="1137"/>
      <c r="N368" s="1027"/>
      <c r="O368" s="1009"/>
      <c r="P368" s="1140">
        <v>6.62</v>
      </c>
      <c r="Q368" s="1137">
        <f t="shared" ref="Q368" si="218">D368-I368-M368</f>
        <v>40</v>
      </c>
      <c r="R368" s="1027"/>
      <c r="S368" s="1009"/>
      <c r="T368" s="230"/>
      <c r="U368" s="290"/>
      <c r="V368" s="200"/>
      <c r="W368" s="232">
        <f t="shared" si="214"/>
        <v>40</v>
      </c>
      <c r="X368" s="289">
        <v>86.4</v>
      </c>
      <c r="Y368" s="199">
        <f t="shared" si="215"/>
        <v>3456</v>
      </c>
      <c r="Z368" s="153"/>
      <c r="AA368" s="147"/>
      <c r="AB368" s="101">
        <f t="shared" ref="AB368" si="219">ROUND(Z368*AA368,0)</f>
        <v>0</v>
      </c>
      <c r="AC368" s="226"/>
      <c r="AD368" s="302">
        <f t="shared" si="216"/>
        <v>-86.4</v>
      </c>
      <c r="AE368" s="202">
        <f t="shared" si="217"/>
        <v>-3456</v>
      </c>
    </row>
    <row r="369" spans="1:32" ht="33.75" hidden="1" customHeight="1" outlineLevel="2" x14ac:dyDescent="0.3">
      <c r="A369" s="141"/>
      <c r="B369" s="334" t="s">
        <v>436</v>
      </c>
      <c r="C369" s="78" t="s">
        <v>5</v>
      </c>
      <c r="D369" s="255">
        <v>70</v>
      </c>
      <c r="E369" s="64" t="s">
        <v>902</v>
      </c>
      <c r="F369" s="265">
        <f>ROUND(G369/60,0)</f>
        <v>4</v>
      </c>
      <c r="G369" s="215">
        <v>251.31</v>
      </c>
      <c r="H369" s="272"/>
      <c r="I369" s="236"/>
      <c r="J369" s="265"/>
      <c r="K369" s="193"/>
      <c r="L369" s="272"/>
      <c r="M369" s="236"/>
      <c r="N369" s="265"/>
      <c r="O369" s="193"/>
      <c r="P369" s="282">
        <v>6.62</v>
      </c>
      <c r="Q369" s="236">
        <v>60</v>
      </c>
      <c r="R369" s="265">
        <f t="shared" si="190"/>
        <v>21</v>
      </c>
      <c r="S369" s="193">
        <f>ROUND(Q369*P369*F369*0.7958,0)</f>
        <v>1264</v>
      </c>
      <c r="T369" s="230"/>
      <c r="U369" s="290"/>
      <c r="V369" s="200"/>
      <c r="W369" s="232">
        <v>70</v>
      </c>
      <c r="X369" s="289">
        <v>15.2</v>
      </c>
      <c r="Y369" s="199">
        <f t="shared" si="215"/>
        <v>1064</v>
      </c>
      <c r="Z369" s="153"/>
      <c r="AA369" s="147"/>
      <c r="AB369" s="101">
        <f t="shared" si="193"/>
        <v>0</v>
      </c>
      <c r="AC369" s="226"/>
      <c r="AD369" s="304">
        <f t="shared" si="216"/>
        <v>5.8000000000000007</v>
      </c>
      <c r="AE369" s="305">
        <f t="shared" si="217"/>
        <v>200</v>
      </c>
    </row>
    <row r="370" spans="1:32" ht="42" hidden="1" customHeight="1" outlineLevel="2" x14ac:dyDescent="0.3">
      <c r="A370" s="141"/>
      <c r="B370" s="334" t="s">
        <v>1342</v>
      </c>
      <c r="C370" s="78" t="s">
        <v>5</v>
      </c>
      <c r="D370" s="255">
        <v>20</v>
      </c>
      <c r="E370" s="64"/>
      <c r="F370" s="265">
        <f t="shared" si="188"/>
        <v>153</v>
      </c>
      <c r="G370" s="215">
        <v>3064.4</v>
      </c>
      <c r="H370" s="272"/>
      <c r="I370" s="236"/>
      <c r="J370" s="265"/>
      <c r="K370" s="193"/>
      <c r="L370" s="272"/>
      <c r="M370" s="236"/>
      <c r="N370" s="265"/>
      <c r="O370" s="193"/>
      <c r="P370" s="282">
        <v>6.62</v>
      </c>
      <c r="Q370" s="236">
        <f t="shared" si="189"/>
        <v>20</v>
      </c>
      <c r="R370" s="265">
        <f t="shared" si="190"/>
        <v>806</v>
      </c>
      <c r="S370" s="193">
        <f t="shared" si="196"/>
        <v>16121</v>
      </c>
      <c r="T370" s="230"/>
      <c r="U370" s="290"/>
      <c r="V370" s="200"/>
      <c r="W370" s="232">
        <f t="shared" ref="W370:W380" si="220">Q370</f>
        <v>20</v>
      </c>
      <c r="X370" s="289">
        <v>32.44</v>
      </c>
      <c r="Y370" s="199">
        <f t="shared" si="215"/>
        <v>648.79999999999995</v>
      </c>
      <c r="Z370" s="153"/>
      <c r="AA370" s="147"/>
      <c r="AB370" s="101">
        <f t="shared" si="193"/>
        <v>0</v>
      </c>
      <c r="AC370" s="226"/>
      <c r="AD370" s="304">
        <f t="shared" si="216"/>
        <v>773.56</v>
      </c>
      <c r="AE370" s="305">
        <f t="shared" si="217"/>
        <v>15472.2</v>
      </c>
    </row>
    <row r="371" spans="1:32" ht="30" hidden="1" customHeight="1" outlineLevel="2" x14ac:dyDescent="0.3">
      <c r="A371" s="141"/>
      <c r="B371" s="334" t="s">
        <v>903</v>
      </c>
      <c r="C371" s="78" t="s">
        <v>5</v>
      </c>
      <c r="D371" s="255">
        <v>20</v>
      </c>
      <c r="E371" s="144" t="s">
        <v>914</v>
      </c>
      <c r="F371" s="265"/>
      <c r="G371" s="215"/>
      <c r="H371" s="272"/>
      <c r="I371" s="236"/>
      <c r="J371" s="265"/>
      <c r="K371" s="193"/>
      <c r="L371" s="272"/>
      <c r="M371" s="236"/>
      <c r="N371" s="265"/>
      <c r="O371" s="193"/>
      <c r="P371" s="282"/>
      <c r="Q371" s="236"/>
      <c r="R371" s="265"/>
      <c r="S371" s="193"/>
      <c r="T371" s="230"/>
      <c r="U371" s="290"/>
      <c r="V371" s="200"/>
      <c r="W371" s="232">
        <v>20</v>
      </c>
      <c r="X371" s="289">
        <v>662</v>
      </c>
      <c r="Y371" s="199">
        <f t="shared" si="215"/>
        <v>13240</v>
      </c>
      <c r="Z371" s="153"/>
      <c r="AA371" s="147"/>
      <c r="AB371" s="101">
        <f t="shared" ref="AB371" si="221">ROUND(Z371*AA371,0)</f>
        <v>0</v>
      </c>
      <c r="AC371" s="226"/>
      <c r="AD371" s="302">
        <f t="shared" si="216"/>
        <v>-662</v>
      </c>
      <c r="AE371" s="202">
        <f t="shared" si="217"/>
        <v>-13240</v>
      </c>
    </row>
    <row r="372" spans="1:32" hidden="1" outlineLevel="2" x14ac:dyDescent="0.3">
      <c r="B372" s="334" t="s">
        <v>437</v>
      </c>
      <c r="C372" s="78" t="s">
        <v>40</v>
      </c>
      <c r="D372" s="255">
        <v>2</v>
      </c>
      <c r="E372" s="64"/>
      <c r="F372" s="265">
        <f t="shared" si="188"/>
        <v>4</v>
      </c>
      <c r="G372" s="215">
        <v>7.34</v>
      </c>
      <c r="H372" s="272"/>
      <c r="I372" s="236"/>
      <c r="J372" s="265"/>
      <c r="K372" s="193"/>
      <c r="L372" s="272"/>
      <c r="M372" s="236"/>
      <c r="N372" s="265"/>
      <c r="O372" s="193"/>
      <c r="P372" s="282">
        <v>6.62</v>
      </c>
      <c r="Q372" s="236">
        <f t="shared" si="189"/>
        <v>2</v>
      </c>
      <c r="R372" s="265">
        <f t="shared" si="190"/>
        <v>21</v>
      </c>
      <c r="S372" s="193">
        <f t="shared" si="196"/>
        <v>42</v>
      </c>
      <c r="T372" s="230"/>
      <c r="U372" s="290"/>
      <c r="V372" s="200"/>
      <c r="W372" s="232">
        <f t="shared" si="220"/>
        <v>2</v>
      </c>
      <c r="X372" s="289">
        <v>3.9</v>
      </c>
      <c r="Y372" s="199">
        <f t="shared" si="215"/>
        <v>7.8</v>
      </c>
      <c r="Z372" s="153"/>
      <c r="AA372" s="147"/>
      <c r="AB372" s="101">
        <f t="shared" si="193"/>
        <v>0</v>
      </c>
      <c r="AC372" s="226"/>
      <c r="AD372" s="304">
        <f t="shared" si="216"/>
        <v>17.100000000000001</v>
      </c>
      <c r="AE372" s="305">
        <f t="shared" si="217"/>
        <v>34.200000000000003</v>
      </c>
    </row>
    <row r="373" spans="1:32" ht="36" hidden="1" customHeight="1" outlineLevel="2" x14ac:dyDescent="0.3">
      <c r="A373" s="141"/>
      <c r="B373" s="334" t="s">
        <v>904</v>
      </c>
      <c r="C373" s="78" t="s">
        <v>5</v>
      </c>
      <c r="D373" s="255">
        <v>20</v>
      </c>
      <c r="E373" s="64"/>
      <c r="F373" s="265">
        <f t="shared" si="188"/>
        <v>40</v>
      </c>
      <c r="G373" s="215">
        <v>806.6</v>
      </c>
      <c r="H373" s="272"/>
      <c r="I373" s="236"/>
      <c r="J373" s="265"/>
      <c r="K373" s="193"/>
      <c r="L373" s="272"/>
      <c r="M373" s="236"/>
      <c r="N373" s="265"/>
      <c r="O373" s="193"/>
      <c r="P373" s="282">
        <v>6.62</v>
      </c>
      <c r="Q373" s="236">
        <f t="shared" si="189"/>
        <v>20</v>
      </c>
      <c r="R373" s="265">
        <f t="shared" si="190"/>
        <v>211</v>
      </c>
      <c r="S373" s="193">
        <f>ROUND(Q373*P373*F373*0.7958,0)</f>
        <v>4215</v>
      </c>
      <c r="T373" s="230"/>
      <c r="U373" s="290"/>
      <c r="V373" s="200"/>
      <c r="W373" s="232">
        <f t="shared" si="220"/>
        <v>20</v>
      </c>
      <c r="X373" s="289">
        <v>213.6</v>
      </c>
      <c r="Y373" s="199">
        <f t="shared" si="215"/>
        <v>4272</v>
      </c>
      <c r="Z373" s="153"/>
      <c r="AA373" s="147"/>
      <c r="AB373" s="101">
        <f t="shared" si="193"/>
        <v>0</v>
      </c>
      <c r="AC373" s="226"/>
      <c r="AD373" s="302">
        <f t="shared" si="216"/>
        <v>-2.5999999999999943</v>
      </c>
      <c r="AE373" s="202">
        <f t="shared" si="217"/>
        <v>-57</v>
      </c>
    </row>
    <row r="374" spans="1:32" hidden="1" outlineLevel="2" x14ac:dyDescent="0.3">
      <c r="B374" s="334" t="s">
        <v>427</v>
      </c>
      <c r="C374" s="78" t="s">
        <v>16</v>
      </c>
      <c r="D374" s="255">
        <v>0.35699999999999998</v>
      </c>
      <c r="E374" s="64"/>
      <c r="F374" s="265">
        <f t="shared" si="188"/>
        <v>76</v>
      </c>
      <c r="G374" s="215">
        <v>27.3</v>
      </c>
      <c r="H374" s="272"/>
      <c r="I374" s="236"/>
      <c r="J374" s="265"/>
      <c r="K374" s="193"/>
      <c r="L374" s="272"/>
      <c r="M374" s="236"/>
      <c r="N374" s="265"/>
      <c r="O374" s="193"/>
      <c r="P374" s="282">
        <v>6.62</v>
      </c>
      <c r="Q374" s="236">
        <f t="shared" si="189"/>
        <v>0.35699999999999998</v>
      </c>
      <c r="R374" s="265">
        <f t="shared" si="190"/>
        <v>400</v>
      </c>
      <c r="S374" s="193">
        <f t="shared" si="196"/>
        <v>143</v>
      </c>
      <c r="T374" s="230"/>
      <c r="U374" s="290"/>
      <c r="V374" s="200"/>
      <c r="W374" s="232">
        <f t="shared" si="220"/>
        <v>0.35699999999999998</v>
      </c>
      <c r="X374" s="289">
        <v>272</v>
      </c>
      <c r="Y374" s="199">
        <f t="shared" si="215"/>
        <v>97.103999999999999</v>
      </c>
      <c r="Z374" s="153"/>
      <c r="AA374" s="147"/>
      <c r="AB374" s="101">
        <f t="shared" si="193"/>
        <v>0</v>
      </c>
      <c r="AC374" s="226"/>
      <c r="AD374" s="304">
        <f t="shared" si="216"/>
        <v>128</v>
      </c>
      <c r="AE374" s="305">
        <f t="shared" si="217"/>
        <v>45.896000000000001</v>
      </c>
    </row>
    <row r="375" spans="1:32" ht="57.75" hidden="1" customHeight="1" outlineLevel="2" x14ac:dyDescent="0.3">
      <c r="A375" s="141"/>
      <c r="B375" s="334" t="s">
        <v>901</v>
      </c>
      <c r="C375" s="78" t="s">
        <v>40</v>
      </c>
      <c r="D375" s="255">
        <v>4</v>
      </c>
      <c r="E375" s="64"/>
      <c r="F375" s="265">
        <f t="shared" si="188"/>
        <v>111</v>
      </c>
      <c r="G375" s="215">
        <v>442.36</v>
      </c>
      <c r="H375" s="272"/>
      <c r="I375" s="236"/>
      <c r="J375" s="265"/>
      <c r="K375" s="193"/>
      <c r="L375" s="272"/>
      <c r="M375" s="236"/>
      <c r="N375" s="265"/>
      <c r="O375" s="193"/>
      <c r="P375" s="282">
        <v>6.62</v>
      </c>
      <c r="Q375" s="236">
        <f t="shared" si="189"/>
        <v>4</v>
      </c>
      <c r="R375" s="265">
        <f t="shared" si="190"/>
        <v>585</v>
      </c>
      <c r="S375" s="193">
        <f t="shared" si="196"/>
        <v>2339</v>
      </c>
      <c r="T375" s="230"/>
      <c r="U375" s="290"/>
      <c r="V375" s="200"/>
      <c r="W375" s="232">
        <f t="shared" si="220"/>
        <v>4</v>
      </c>
      <c r="X375" s="289">
        <v>4979.2</v>
      </c>
      <c r="Y375" s="199">
        <f t="shared" si="215"/>
        <v>19916.8</v>
      </c>
      <c r="Z375" s="153"/>
      <c r="AA375" s="147"/>
      <c r="AB375" s="101">
        <f t="shared" si="193"/>
        <v>0</v>
      </c>
      <c r="AC375" s="226"/>
      <c r="AD375" s="302">
        <f t="shared" si="216"/>
        <v>-4394.2</v>
      </c>
      <c r="AE375" s="202">
        <f t="shared" si="217"/>
        <v>-17577.8</v>
      </c>
    </row>
    <row r="376" spans="1:32" ht="46.5" hidden="1" customHeight="1" outlineLevel="2" x14ac:dyDescent="0.3">
      <c r="A376" s="141"/>
      <c r="B376" s="334" t="s">
        <v>905</v>
      </c>
      <c r="C376" s="78" t="s">
        <v>40</v>
      </c>
      <c r="D376" s="255">
        <v>4</v>
      </c>
      <c r="E376" s="64"/>
      <c r="F376" s="265">
        <f t="shared" si="188"/>
        <v>42</v>
      </c>
      <c r="G376" s="215">
        <v>167.36</v>
      </c>
      <c r="H376" s="272"/>
      <c r="I376" s="236"/>
      <c r="J376" s="265"/>
      <c r="K376" s="193"/>
      <c r="L376" s="272"/>
      <c r="M376" s="236"/>
      <c r="N376" s="265"/>
      <c r="O376" s="193"/>
      <c r="P376" s="282">
        <v>6.62</v>
      </c>
      <c r="Q376" s="236">
        <f t="shared" si="189"/>
        <v>4</v>
      </c>
      <c r="R376" s="265">
        <f t="shared" si="190"/>
        <v>221</v>
      </c>
      <c r="S376" s="193">
        <f t="shared" si="196"/>
        <v>885</v>
      </c>
      <c r="T376" s="230"/>
      <c r="U376" s="290"/>
      <c r="V376" s="200"/>
      <c r="W376" s="232">
        <f t="shared" si="220"/>
        <v>4</v>
      </c>
      <c r="X376" s="289">
        <v>636.79999999999995</v>
      </c>
      <c r="Y376" s="199">
        <f t="shared" si="215"/>
        <v>2547.1999999999998</v>
      </c>
      <c r="Z376" s="153"/>
      <c r="AA376" s="147"/>
      <c r="AB376" s="101">
        <f t="shared" si="193"/>
        <v>0</v>
      </c>
      <c r="AC376" s="226"/>
      <c r="AD376" s="302">
        <f t="shared" si="216"/>
        <v>-415.79999999999995</v>
      </c>
      <c r="AE376" s="202">
        <f t="shared" si="217"/>
        <v>-1662.1999999999998</v>
      </c>
    </row>
    <row r="377" spans="1:32" ht="20.25" hidden="1" customHeight="1" outlineLevel="2" x14ac:dyDescent="0.3">
      <c r="A377" s="141"/>
      <c r="B377" s="334" t="s">
        <v>447</v>
      </c>
      <c r="C377" s="78" t="s">
        <v>5</v>
      </c>
      <c r="D377" s="255">
        <v>15</v>
      </c>
      <c r="E377" s="64"/>
      <c r="F377" s="265">
        <f t="shared" si="188"/>
        <v>4</v>
      </c>
      <c r="G377" s="215">
        <v>54.51</v>
      </c>
      <c r="H377" s="272"/>
      <c r="I377" s="236"/>
      <c r="J377" s="265"/>
      <c r="K377" s="193"/>
      <c r="L377" s="272"/>
      <c r="M377" s="236"/>
      <c r="N377" s="265"/>
      <c r="O377" s="193"/>
      <c r="P377" s="282">
        <v>6.62</v>
      </c>
      <c r="Q377" s="236">
        <f t="shared" si="189"/>
        <v>15</v>
      </c>
      <c r="R377" s="265">
        <f t="shared" si="190"/>
        <v>21</v>
      </c>
      <c r="S377" s="193">
        <f>ROUND(Q377*P377*F377*0.7958,0)</f>
        <v>316</v>
      </c>
      <c r="T377" s="230"/>
      <c r="U377" s="290"/>
      <c r="V377" s="200"/>
      <c r="W377" s="232">
        <f t="shared" si="220"/>
        <v>15</v>
      </c>
      <c r="X377" s="289">
        <v>11.33</v>
      </c>
      <c r="Y377" s="199">
        <f t="shared" si="215"/>
        <v>169.95</v>
      </c>
      <c r="Z377" s="153"/>
      <c r="AA377" s="147"/>
      <c r="AB377" s="101">
        <f t="shared" si="193"/>
        <v>0</v>
      </c>
      <c r="AC377" s="226"/>
      <c r="AD377" s="304">
        <f t="shared" si="216"/>
        <v>9.67</v>
      </c>
      <c r="AE377" s="305">
        <f t="shared" si="217"/>
        <v>146.05000000000001</v>
      </c>
    </row>
    <row r="378" spans="1:32" ht="31.5" hidden="1" customHeight="1" outlineLevel="2" x14ac:dyDescent="0.3">
      <c r="A378" s="141"/>
      <c r="B378" s="334" t="s">
        <v>912</v>
      </c>
      <c r="C378" s="78" t="s">
        <v>40</v>
      </c>
      <c r="D378" s="255">
        <v>2</v>
      </c>
      <c r="E378" s="64"/>
      <c r="F378" s="265">
        <f t="shared" si="188"/>
        <v>30</v>
      </c>
      <c r="G378" s="215">
        <v>60.04</v>
      </c>
      <c r="H378" s="272"/>
      <c r="I378" s="236"/>
      <c r="J378" s="265"/>
      <c r="K378" s="193"/>
      <c r="L378" s="272"/>
      <c r="M378" s="236"/>
      <c r="N378" s="265"/>
      <c r="O378" s="193"/>
      <c r="P378" s="282">
        <v>6.62</v>
      </c>
      <c r="Q378" s="236">
        <f t="shared" si="189"/>
        <v>2</v>
      </c>
      <c r="R378" s="265">
        <f t="shared" si="190"/>
        <v>158</v>
      </c>
      <c r="S378" s="193">
        <f t="shared" si="196"/>
        <v>316</v>
      </c>
      <c r="T378" s="230"/>
      <c r="U378" s="290"/>
      <c r="V378" s="200"/>
      <c r="W378" s="232">
        <f t="shared" si="220"/>
        <v>2</v>
      </c>
      <c r="X378" s="289">
        <v>642.79999999999995</v>
      </c>
      <c r="Y378" s="199">
        <f t="shared" si="215"/>
        <v>1285.5999999999999</v>
      </c>
      <c r="Z378" s="153"/>
      <c r="AA378" s="147"/>
      <c r="AB378" s="101">
        <f t="shared" si="193"/>
        <v>0</v>
      </c>
      <c r="AC378" s="226"/>
      <c r="AD378" s="302">
        <f t="shared" si="216"/>
        <v>-484.79999999999995</v>
      </c>
      <c r="AE378" s="202">
        <f t="shared" si="217"/>
        <v>-969.59999999999991</v>
      </c>
    </row>
    <row r="379" spans="1:32" ht="31.5" hidden="1" customHeight="1" outlineLevel="2" x14ac:dyDescent="0.3">
      <c r="A379" s="141"/>
      <c r="B379" s="334" t="s">
        <v>911</v>
      </c>
      <c r="C379" s="78" t="s">
        <v>364</v>
      </c>
      <c r="D379" s="255">
        <v>2</v>
      </c>
      <c r="E379" s="64"/>
      <c r="F379" s="265">
        <f>ROUND(G379/D379,0)</f>
        <v>106</v>
      </c>
      <c r="G379" s="215">
        <v>211.54</v>
      </c>
      <c r="H379" s="272"/>
      <c r="I379" s="236"/>
      <c r="J379" s="265"/>
      <c r="K379" s="193"/>
      <c r="L379" s="272"/>
      <c r="M379" s="236"/>
      <c r="N379" s="265"/>
      <c r="O379" s="193"/>
      <c r="P379" s="282">
        <v>6.62</v>
      </c>
      <c r="Q379" s="236">
        <f>D379-I379-M379</f>
        <v>2</v>
      </c>
      <c r="R379" s="265">
        <f>ROUND(F379*P379*0.7958,0)</f>
        <v>558</v>
      </c>
      <c r="S379" s="193">
        <f>ROUND(Q379*P379*F379*0.7958,0)</f>
        <v>1117</v>
      </c>
      <c r="T379" s="230"/>
      <c r="U379" s="290"/>
      <c r="V379" s="200"/>
      <c r="W379" s="232">
        <f t="shared" si="220"/>
        <v>2</v>
      </c>
      <c r="X379" s="289">
        <v>371.2</v>
      </c>
      <c r="Y379" s="199">
        <f t="shared" si="215"/>
        <v>742.4</v>
      </c>
      <c r="Z379" s="153"/>
      <c r="AA379" s="147"/>
      <c r="AB379" s="101">
        <f>ROUND(Z379*AA379,0)</f>
        <v>0</v>
      </c>
      <c r="AC379" s="226"/>
      <c r="AD379" s="304">
        <f t="shared" si="216"/>
        <v>186.8</v>
      </c>
      <c r="AE379" s="305">
        <f t="shared" si="217"/>
        <v>374.6</v>
      </c>
    </row>
    <row r="380" spans="1:32" ht="31.5" hidden="1" customHeight="1" outlineLevel="2" x14ac:dyDescent="0.3">
      <c r="A380" s="141"/>
      <c r="B380" s="334" t="s">
        <v>913</v>
      </c>
      <c r="C380" s="78" t="s">
        <v>364</v>
      </c>
      <c r="D380" s="255">
        <v>2</v>
      </c>
      <c r="E380" s="64"/>
      <c r="F380" s="265">
        <f>ROUND(G380/D380,0)</f>
        <v>161</v>
      </c>
      <c r="G380" s="215">
        <v>322.62</v>
      </c>
      <c r="H380" s="272"/>
      <c r="I380" s="236"/>
      <c r="J380" s="265"/>
      <c r="K380" s="193"/>
      <c r="L380" s="272"/>
      <c r="M380" s="236"/>
      <c r="N380" s="265"/>
      <c r="O380" s="193"/>
      <c r="P380" s="282">
        <v>6.62</v>
      </c>
      <c r="Q380" s="236">
        <f>D380-I380-M380</f>
        <v>2</v>
      </c>
      <c r="R380" s="265">
        <f>ROUND(F380*P380*0.7958,0)</f>
        <v>848</v>
      </c>
      <c r="S380" s="193">
        <f>ROUND(Q380*P380*F380*0.7958,0)</f>
        <v>1696</v>
      </c>
      <c r="T380" s="230"/>
      <c r="U380" s="290"/>
      <c r="V380" s="200"/>
      <c r="W380" s="232">
        <f t="shared" si="220"/>
        <v>2</v>
      </c>
      <c r="X380" s="289">
        <v>784.8</v>
      </c>
      <c r="Y380" s="199">
        <f t="shared" si="215"/>
        <v>1569.6</v>
      </c>
      <c r="Z380" s="153"/>
      <c r="AA380" s="147"/>
      <c r="AB380" s="101">
        <f>ROUND(Z380*AA380,0)</f>
        <v>0</v>
      </c>
      <c r="AC380" s="226"/>
      <c r="AD380" s="304">
        <f t="shared" si="216"/>
        <v>63.200000000000045</v>
      </c>
      <c r="AE380" s="305">
        <f t="shared" si="217"/>
        <v>126.40000000000009</v>
      </c>
    </row>
    <row r="381" spans="1:32" s="95" customFormat="1" hidden="1" outlineLevel="1" x14ac:dyDescent="0.3">
      <c r="A381" s="98"/>
      <c r="B381" s="160"/>
      <c r="C381" s="107"/>
      <c r="D381" s="253"/>
      <c r="E381" s="98"/>
      <c r="F381" s="154"/>
      <c r="G381" s="214"/>
      <c r="H381" s="154"/>
      <c r="I381" s="231"/>
      <c r="J381" s="154"/>
      <c r="K381" s="194"/>
      <c r="L381" s="154"/>
      <c r="M381" s="231"/>
      <c r="N381" s="154"/>
      <c r="O381" s="194"/>
      <c r="P381" s="154"/>
      <c r="Q381" s="231"/>
      <c r="R381" s="286"/>
      <c r="S381" s="194"/>
      <c r="T381" s="231"/>
      <c r="U381" s="155"/>
      <c r="V381" s="194"/>
      <c r="W381" s="231"/>
      <c r="X381" s="155"/>
      <c r="Y381" s="194"/>
      <c r="Z381" s="157"/>
      <c r="AA381" s="156"/>
      <c r="AB381" s="156"/>
      <c r="AC381" s="194"/>
      <c r="AD381" s="155"/>
      <c r="AE381" s="194"/>
    </row>
    <row r="382" spans="1:32" ht="45.75" hidden="1" customHeight="1" outlineLevel="1" x14ac:dyDescent="0.3">
      <c r="A382" s="399"/>
      <c r="B382" s="1082" t="s">
        <v>1205</v>
      </c>
      <c r="C382" s="1083"/>
      <c r="D382" s="1083"/>
      <c r="E382" s="1083"/>
      <c r="F382" s="1084"/>
      <c r="G382" s="333">
        <f>SUM(G383:G425)</f>
        <v>10389.599999999999</v>
      </c>
      <c r="H382" s="320"/>
      <c r="I382" s="320"/>
      <c r="J382" s="320"/>
      <c r="K382" s="321"/>
      <c r="L382" s="320"/>
      <c r="M382" s="320"/>
      <c r="N382" s="320"/>
      <c r="O382" s="321"/>
      <c r="P382" s="320"/>
      <c r="Q382" s="320"/>
      <c r="R382" s="320"/>
      <c r="S382" s="321">
        <f>SUM(S383:S425)</f>
        <v>51771</v>
      </c>
      <c r="T382" s="320"/>
      <c r="U382" s="322"/>
      <c r="V382" s="321"/>
      <c r="W382" s="320"/>
      <c r="X382" s="322"/>
      <c r="Y382" s="321">
        <f>SUM(Y383:Y425)</f>
        <v>38516.020000000004</v>
      </c>
      <c r="Z382" s="322"/>
      <c r="AA382" s="322"/>
      <c r="AB382" s="322"/>
      <c r="AC382" s="322"/>
      <c r="AD382" s="322"/>
      <c r="AE382" s="325">
        <f>SUM(AE383:AE425)</f>
        <v>13253.98</v>
      </c>
      <c r="AF382" s="326">
        <f>AE382/S382</f>
        <v>0.25601166676324583</v>
      </c>
    </row>
    <row r="383" spans="1:32" hidden="1" outlineLevel="2" x14ac:dyDescent="0.35">
      <c r="A383" s="179"/>
      <c r="B383" s="310" t="s">
        <v>1239</v>
      </c>
      <c r="C383" s="126" t="s">
        <v>40</v>
      </c>
      <c r="D383" s="259">
        <v>3</v>
      </c>
      <c r="E383" s="38"/>
      <c r="F383" s="270">
        <f t="shared" ref="F383:F425" si="222">ROUND(G383/D383,0)</f>
        <v>3</v>
      </c>
      <c r="G383" s="224">
        <v>9.81</v>
      </c>
      <c r="H383" s="280"/>
      <c r="I383" s="228"/>
      <c r="J383" s="280"/>
      <c r="K383" s="203"/>
      <c r="L383" s="280"/>
      <c r="M383" s="228"/>
      <c r="N383" s="280"/>
      <c r="O383" s="203"/>
      <c r="P383" s="280">
        <v>6.31</v>
      </c>
      <c r="Q383" s="241">
        <f t="shared" ref="Q383:Q425" si="223">D383-I383-M383</f>
        <v>3</v>
      </c>
      <c r="R383" s="288">
        <f t="shared" ref="R383:R425" si="224">ROUND(F383*P383*0.7958,0)</f>
        <v>15</v>
      </c>
      <c r="S383" s="206">
        <f t="shared" ref="S383:S425" si="225">ROUND(Q383*P383*F383*0.7958,0)</f>
        <v>45</v>
      </c>
      <c r="T383" s="228"/>
      <c r="U383" s="298"/>
      <c r="V383" s="208"/>
      <c r="W383" s="228">
        <f>D383</f>
        <v>3</v>
      </c>
      <c r="X383" s="301">
        <v>894</v>
      </c>
      <c r="Y383" s="315">
        <f>W383*X383</f>
        <v>2682</v>
      </c>
      <c r="Z383" s="176"/>
      <c r="AA383" s="137"/>
      <c r="AB383" s="175"/>
      <c r="AC383" s="228"/>
      <c r="AD383" s="314">
        <f t="shared" ref="AD383" si="226">R383-X383</f>
        <v>-879</v>
      </c>
      <c r="AE383" s="317">
        <f t="shared" ref="AE383" si="227">S383-Y383</f>
        <v>-2637</v>
      </c>
    </row>
    <row r="384" spans="1:32" hidden="1" outlineLevel="2" x14ac:dyDescent="0.35">
      <c r="A384" s="179"/>
      <c r="B384" s="310" t="s">
        <v>1240</v>
      </c>
      <c r="C384" s="126" t="s">
        <v>40</v>
      </c>
      <c r="D384" s="259">
        <v>1</v>
      </c>
      <c r="E384" s="38"/>
      <c r="F384" s="270">
        <f t="shared" si="222"/>
        <v>185</v>
      </c>
      <c r="G384" s="224">
        <v>184.9</v>
      </c>
      <c r="H384" s="280"/>
      <c r="I384" s="228"/>
      <c r="J384" s="280"/>
      <c r="K384" s="203"/>
      <c r="L384" s="280"/>
      <c r="M384" s="228"/>
      <c r="N384" s="280"/>
      <c r="O384" s="203"/>
      <c r="P384" s="280">
        <v>6.31</v>
      </c>
      <c r="Q384" s="241">
        <f t="shared" si="223"/>
        <v>1</v>
      </c>
      <c r="R384" s="288">
        <f t="shared" si="224"/>
        <v>929</v>
      </c>
      <c r="S384" s="206">
        <f t="shared" si="225"/>
        <v>929</v>
      </c>
      <c r="T384" s="228"/>
      <c r="U384" s="298"/>
      <c r="V384" s="208"/>
      <c r="W384" s="228">
        <f t="shared" ref="W384:W425" si="228">D384</f>
        <v>1</v>
      </c>
      <c r="X384" s="301">
        <v>833</v>
      </c>
      <c r="Y384" s="315">
        <f t="shared" ref="Y384:Y425" si="229">W384*X384</f>
        <v>833</v>
      </c>
      <c r="Z384" s="176"/>
      <c r="AA384" s="137"/>
      <c r="AB384" s="175"/>
      <c r="AC384" s="228"/>
      <c r="AD384" s="312">
        <f t="shared" ref="AD384:AD425" si="230">R384-X384</f>
        <v>96</v>
      </c>
      <c r="AE384" s="316">
        <f t="shared" ref="AE384:AE425" si="231">S384-Y384</f>
        <v>96</v>
      </c>
    </row>
    <row r="385" spans="1:31" hidden="1" outlineLevel="2" x14ac:dyDescent="0.35">
      <c r="A385" s="179"/>
      <c r="B385" s="310" t="s">
        <v>1241</v>
      </c>
      <c r="C385" s="126" t="s">
        <v>40</v>
      </c>
      <c r="D385" s="259">
        <v>6</v>
      </c>
      <c r="E385" s="38"/>
      <c r="F385" s="270">
        <f t="shared" si="222"/>
        <v>30</v>
      </c>
      <c r="G385" s="224">
        <v>178.02</v>
      </c>
      <c r="H385" s="280"/>
      <c r="I385" s="228"/>
      <c r="J385" s="280"/>
      <c r="K385" s="203"/>
      <c r="L385" s="280"/>
      <c r="M385" s="228"/>
      <c r="N385" s="280"/>
      <c r="O385" s="203"/>
      <c r="P385" s="280">
        <v>6.31</v>
      </c>
      <c r="Q385" s="241">
        <f t="shared" si="223"/>
        <v>6</v>
      </c>
      <c r="R385" s="288">
        <f t="shared" si="224"/>
        <v>151</v>
      </c>
      <c r="S385" s="206">
        <f t="shared" si="225"/>
        <v>904</v>
      </c>
      <c r="T385" s="228"/>
      <c r="U385" s="298"/>
      <c r="V385" s="208"/>
      <c r="W385" s="228">
        <f t="shared" si="228"/>
        <v>6</v>
      </c>
      <c r="X385" s="301">
        <v>175</v>
      </c>
      <c r="Y385" s="315">
        <f t="shared" si="229"/>
        <v>1050</v>
      </c>
      <c r="Z385" s="176"/>
      <c r="AA385" s="137"/>
      <c r="AB385" s="175"/>
      <c r="AC385" s="228"/>
      <c r="AD385" s="314">
        <f t="shared" si="230"/>
        <v>-24</v>
      </c>
      <c r="AE385" s="317">
        <f t="shared" si="231"/>
        <v>-146</v>
      </c>
    </row>
    <row r="386" spans="1:31" ht="32.25" hidden="1" customHeight="1" outlineLevel="2" x14ac:dyDescent="0.35">
      <c r="A386" s="179"/>
      <c r="B386" s="310" t="s">
        <v>1242</v>
      </c>
      <c r="C386" s="126" t="s">
        <v>40</v>
      </c>
      <c r="D386" s="259">
        <v>12</v>
      </c>
      <c r="E386" s="178"/>
      <c r="F386" s="270">
        <f t="shared" si="222"/>
        <v>7</v>
      </c>
      <c r="G386" s="224">
        <f>6.87*12</f>
        <v>82.44</v>
      </c>
      <c r="H386" s="281"/>
      <c r="I386" s="247"/>
      <c r="J386" s="281"/>
      <c r="K386" s="204"/>
      <c r="L386" s="281"/>
      <c r="M386" s="247"/>
      <c r="N386" s="281"/>
      <c r="O386" s="204"/>
      <c r="P386" s="280">
        <v>6.31</v>
      </c>
      <c r="Q386" s="241">
        <f t="shared" ref="Q386:Q389" si="232">D386-I386-M386</f>
        <v>12</v>
      </c>
      <c r="R386" s="288">
        <f t="shared" ref="R386:R389" si="233">ROUND(F386*P386*0.7958,0)</f>
        <v>35</v>
      </c>
      <c r="S386" s="206">
        <f t="shared" ref="S386:S389" si="234">ROUND(Q386*P386*F386*0.7958,0)</f>
        <v>422</v>
      </c>
      <c r="T386" s="228"/>
      <c r="U386" s="298"/>
      <c r="V386" s="208"/>
      <c r="W386" s="228">
        <f t="shared" si="228"/>
        <v>12</v>
      </c>
      <c r="X386" s="301">
        <v>38</v>
      </c>
      <c r="Y386" s="315">
        <f t="shared" si="229"/>
        <v>456</v>
      </c>
      <c r="Z386" s="176"/>
      <c r="AA386" s="137"/>
      <c r="AB386" s="175"/>
      <c r="AC386" s="228"/>
      <c r="AD386" s="314">
        <f t="shared" si="230"/>
        <v>-3</v>
      </c>
      <c r="AE386" s="317">
        <f t="shared" si="231"/>
        <v>-34</v>
      </c>
    </row>
    <row r="387" spans="1:31" ht="32.25" hidden="1" customHeight="1" outlineLevel="2" x14ac:dyDescent="0.35">
      <c r="A387" s="179"/>
      <c r="B387" s="310" t="s">
        <v>1243</v>
      </c>
      <c r="C387" s="126" t="s">
        <v>40</v>
      </c>
      <c r="D387" s="259">
        <v>12</v>
      </c>
      <c r="E387" s="178"/>
      <c r="F387" s="270">
        <f t="shared" si="222"/>
        <v>7</v>
      </c>
      <c r="G387" s="224">
        <f>6.87*12</f>
        <v>82.44</v>
      </c>
      <c r="H387" s="281"/>
      <c r="I387" s="247"/>
      <c r="J387" s="281"/>
      <c r="K387" s="204"/>
      <c r="L387" s="281"/>
      <c r="M387" s="247"/>
      <c r="N387" s="281"/>
      <c r="O387" s="204"/>
      <c r="P387" s="280">
        <v>6.31</v>
      </c>
      <c r="Q387" s="241">
        <f t="shared" si="232"/>
        <v>12</v>
      </c>
      <c r="R387" s="288">
        <f t="shared" si="233"/>
        <v>35</v>
      </c>
      <c r="S387" s="206">
        <f t="shared" si="234"/>
        <v>422</v>
      </c>
      <c r="T387" s="228"/>
      <c r="U387" s="298"/>
      <c r="V387" s="208"/>
      <c r="W387" s="228">
        <f t="shared" si="228"/>
        <v>12</v>
      </c>
      <c r="X387" s="301">
        <v>34</v>
      </c>
      <c r="Y387" s="315">
        <f t="shared" si="229"/>
        <v>408</v>
      </c>
      <c r="Z387" s="176"/>
      <c r="AA387" s="137"/>
      <c r="AB387" s="175"/>
      <c r="AC387" s="228"/>
      <c r="AD387" s="312">
        <f t="shared" si="230"/>
        <v>1</v>
      </c>
      <c r="AE387" s="316">
        <f t="shared" si="231"/>
        <v>14</v>
      </c>
    </row>
    <row r="388" spans="1:31" hidden="1" outlineLevel="2" x14ac:dyDescent="0.35">
      <c r="A388" s="179"/>
      <c r="B388" s="310" t="s">
        <v>1244</v>
      </c>
      <c r="C388" s="126" t="s">
        <v>40</v>
      </c>
      <c r="D388" s="259">
        <v>4</v>
      </c>
      <c r="E388" s="178"/>
      <c r="F388" s="270">
        <f t="shared" si="222"/>
        <v>7</v>
      </c>
      <c r="G388" s="224">
        <f>6.87*4</f>
        <v>27.48</v>
      </c>
      <c r="H388" s="281"/>
      <c r="I388" s="247"/>
      <c r="J388" s="281"/>
      <c r="K388" s="204"/>
      <c r="L388" s="281"/>
      <c r="M388" s="247"/>
      <c r="N388" s="281"/>
      <c r="O388" s="204"/>
      <c r="P388" s="280">
        <v>6.31</v>
      </c>
      <c r="Q388" s="241">
        <f t="shared" si="232"/>
        <v>4</v>
      </c>
      <c r="R388" s="288">
        <f t="shared" si="233"/>
        <v>35</v>
      </c>
      <c r="S388" s="206">
        <f t="shared" si="234"/>
        <v>141</v>
      </c>
      <c r="T388" s="228"/>
      <c r="U388" s="298"/>
      <c r="V388" s="208"/>
      <c r="W388" s="228">
        <f t="shared" si="228"/>
        <v>4</v>
      </c>
      <c r="X388" s="301">
        <v>63.2</v>
      </c>
      <c r="Y388" s="315">
        <f t="shared" si="229"/>
        <v>252.8</v>
      </c>
      <c r="Z388" s="176"/>
      <c r="AA388" s="137"/>
      <c r="AB388" s="175"/>
      <c r="AC388" s="228"/>
      <c r="AD388" s="314">
        <f t="shared" si="230"/>
        <v>-28.200000000000003</v>
      </c>
      <c r="AE388" s="317">
        <f t="shared" si="231"/>
        <v>-111.80000000000001</v>
      </c>
    </row>
    <row r="389" spans="1:31" ht="32.25" hidden="1" customHeight="1" outlineLevel="2" x14ac:dyDescent="0.35">
      <c r="A389" s="179"/>
      <c r="B389" s="310" t="s">
        <v>1245</v>
      </c>
      <c r="C389" s="126" t="s">
        <v>40</v>
      </c>
      <c r="D389" s="259">
        <v>2</v>
      </c>
      <c r="E389" s="178"/>
      <c r="F389" s="270">
        <f t="shared" si="222"/>
        <v>7</v>
      </c>
      <c r="G389" s="224">
        <f>6.87*2</f>
        <v>13.74</v>
      </c>
      <c r="H389" s="281"/>
      <c r="I389" s="247"/>
      <c r="J389" s="281"/>
      <c r="K389" s="204"/>
      <c r="L389" s="281"/>
      <c r="M389" s="247"/>
      <c r="N389" s="281"/>
      <c r="O389" s="204"/>
      <c r="P389" s="280">
        <v>6.31</v>
      </c>
      <c r="Q389" s="241">
        <f t="shared" si="232"/>
        <v>2</v>
      </c>
      <c r="R389" s="288">
        <f t="shared" si="233"/>
        <v>35</v>
      </c>
      <c r="S389" s="206">
        <f t="shared" si="234"/>
        <v>70</v>
      </c>
      <c r="T389" s="228"/>
      <c r="U389" s="298"/>
      <c r="V389" s="208"/>
      <c r="W389" s="228">
        <f t="shared" si="228"/>
        <v>2</v>
      </c>
      <c r="X389" s="301">
        <v>22.4</v>
      </c>
      <c r="Y389" s="315">
        <f t="shared" si="229"/>
        <v>44.8</v>
      </c>
      <c r="Z389" s="176"/>
      <c r="AA389" s="137"/>
      <c r="AB389" s="175"/>
      <c r="AC389" s="228"/>
      <c r="AD389" s="312">
        <f t="shared" si="230"/>
        <v>12.600000000000001</v>
      </c>
      <c r="AE389" s="316">
        <f t="shared" si="231"/>
        <v>25.200000000000003</v>
      </c>
    </row>
    <row r="390" spans="1:31" hidden="1" outlineLevel="2" x14ac:dyDescent="0.35">
      <c r="A390" s="38"/>
      <c r="B390" s="328" t="s">
        <v>1246</v>
      </c>
      <c r="C390" s="126" t="s">
        <v>5</v>
      </c>
      <c r="D390" s="259">
        <v>110</v>
      </c>
      <c r="E390" s="38"/>
      <c r="F390" s="270">
        <f t="shared" si="222"/>
        <v>4</v>
      </c>
      <c r="G390" s="224">
        <v>474.38</v>
      </c>
      <c r="H390" s="280"/>
      <c r="I390" s="228"/>
      <c r="J390" s="280"/>
      <c r="K390" s="203"/>
      <c r="L390" s="280"/>
      <c r="M390" s="228"/>
      <c r="N390" s="280"/>
      <c r="O390" s="203"/>
      <c r="P390" s="280">
        <v>6.31</v>
      </c>
      <c r="Q390" s="241">
        <f t="shared" si="223"/>
        <v>110</v>
      </c>
      <c r="R390" s="288">
        <f t="shared" si="224"/>
        <v>20</v>
      </c>
      <c r="S390" s="206">
        <f t="shared" si="225"/>
        <v>2209</v>
      </c>
      <c r="T390" s="228"/>
      <c r="U390" s="298"/>
      <c r="V390" s="208"/>
      <c r="W390" s="228">
        <f t="shared" si="228"/>
        <v>110</v>
      </c>
      <c r="X390" s="301">
        <v>37.26</v>
      </c>
      <c r="Y390" s="315">
        <f t="shared" si="229"/>
        <v>4098.5999999999995</v>
      </c>
      <c r="Z390" s="176"/>
      <c r="AA390" s="137"/>
      <c r="AB390" s="175"/>
      <c r="AC390" s="228"/>
      <c r="AD390" s="314">
        <f t="shared" si="230"/>
        <v>-17.259999999999998</v>
      </c>
      <c r="AE390" s="317">
        <f t="shared" si="231"/>
        <v>-1889.5999999999995</v>
      </c>
    </row>
    <row r="391" spans="1:31" hidden="1" outlineLevel="2" x14ac:dyDescent="0.35">
      <c r="A391" s="38"/>
      <c r="B391" s="328" t="s">
        <v>1324</v>
      </c>
      <c r="C391" s="126" t="s">
        <v>5</v>
      </c>
      <c r="D391" s="259">
        <v>4</v>
      </c>
      <c r="E391" s="38"/>
      <c r="F391" s="270">
        <f t="shared" si="222"/>
        <v>8</v>
      </c>
      <c r="G391" s="224">
        <v>31.48</v>
      </c>
      <c r="H391" s="280"/>
      <c r="I391" s="228"/>
      <c r="J391" s="280"/>
      <c r="K391" s="203"/>
      <c r="L391" s="280"/>
      <c r="M391" s="228"/>
      <c r="N391" s="280"/>
      <c r="O391" s="203"/>
      <c r="P391" s="280">
        <v>6.31</v>
      </c>
      <c r="Q391" s="241">
        <f t="shared" si="223"/>
        <v>4</v>
      </c>
      <c r="R391" s="288">
        <f t="shared" si="224"/>
        <v>40</v>
      </c>
      <c r="S391" s="206">
        <f t="shared" si="225"/>
        <v>161</v>
      </c>
      <c r="T391" s="228"/>
      <c r="U391" s="298"/>
      <c r="V391" s="208"/>
      <c r="W391" s="228">
        <f t="shared" si="228"/>
        <v>4</v>
      </c>
      <c r="X391" s="301">
        <v>34.6</v>
      </c>
      <c r="Y391" s="315">
        <f t="shared" si="229"/>
        <v>138.4</v>
      </c>
      <c r="Z391" s="176"/>
      <c r="AA391" s="137"/>
      <c r="AB391" s="175"/>
      <c r="AC391" s="228"/>
      <c r="AD391" s="312">
        <f t="shared" si="230"/>
        <v>5.3999999999999986</v>
      </c>
      <c r="AE391" s="316">
        <f t="shared" si="231"/>
        <v>22.599999999999994</v>
      </c>
    </row>
    <row r="392" spans="1:31" ht="31.5" hidden="1" customHeight="1" outlineLevel="2" x14ac:dyDescent="0.35">
      <c r="A392" s="38"/>
      <c r="B392" s="310" t="s">
        <v>1247</v>
      </c>
      <c r="C392" s="126" t="s">
        <v>5</v>
      </c>
      <c r="D392" s="259">
        <v>3</v>
      </c>
      <c r="E392" s="38"/>
      <c r="F392" s="270">
        <f t="shared" si="222"/>
        <v>43</v>
      </c>
      <c r="G392" s="224">
        <v>128.79</v>
      </c>
      <c r="H392" s="280"/>
      <c r="I392" s="228"/>
      <c r="J392" s="280"/>
      <c r="K392" s="203"/>
      <c r="L392" s="280"/>
      <c r="M392" s="228"/>
      <c r="N392" s="280"/>
      <c r="O392" s="203"/>
      <c r="P392" s="280">
        <v>6.31</v>
      </c>
      <c r="Q392" s="241">
        <f t="shared" si="223"/>
        <v>3</v>
      </c>
      <c r="R392" s="288">
        <f t="shared" si="224"/>
        <v>216</v>
      </c>
      <c r="S392" s="206">
        <f t="shared" si="225"/>
        <v>648</v>
      </c>
      <c r="T392" s="228"/>
      <c r="U392" s="298"/>
      <c r="V392" s="208"/>
      <c r="W392" s="228">
        <f t="shared" si="228"/>
        <v>3</v>
      </c>
      <c r="X392" s="301">
        <v>193</v>
      </c>
      <c r="Y392" s="315">
        <f t="shared" si="229"/>
        <v>579</v>
      </c>
      <c r="Z392" s="176"/>
      <c r="AA392" s="137"/>
      <c r="AB392" s="175"/>
      <c r="AC392" s="228"/>
      <c r="AD392" s="312">
        <f t="shared" si="230"/>
        <v>23</v>
      </c>
      <c r="AE392" s="316">
        <f t="shared" si="231"/>
        <v>69</v>
      </c>
    </row>
    <row r="393" spans="1:31" ht="31.5" hidden="1" customHeight="1" outlineLevel="2" x14ac:dyDescent="0.35">
      <c r="A393" s="38"/>
      <c r="B393" s="310" t="s">
        <v>1248</v>
      </c>
      <c r="C393" s="126" t="s">
        <v>5</v>
      </c>
      <c r="D393" s="259">
        <v>58</v>
      </c>
      <c r="E393" s="38"/>
      <c r="F393" s="270">
        <f t="shared" si="222"/>
        <v>14</v>
      </c>
      <c r="G393" s="224">
        <v>817.22</v>
      </c>
      <c r="H393" s="280"/>
      <c r="I393" s="228"/>
      <c r="J393" s="280"/>
      <c r="K393" s="203"/>
      <c r="L393" s="280"/>
      <c r="M393" s="228"/>
      <c r="N393" s="280"/>
      <c r="O393" s="203"/>
      <c r="P393" s="280">
        <v>6.31</v>
      </c>
      <c r="Q393" s="241">
        <f t="shared" si="223"/>
        <v>58</v>
      </c>
      <c r="R393" s="288">
        <f t="shared" si="224"/>
        <v>70</v>
      </c>
      <c r="S393" s="206">
        <f t="shared" si="225"/>
        <v>4077</v>
      </c>
      <c r="T393" s="228"/>
      <c r="U393" s="298"/>
      <c r="V393" s="208"/>
      <c r="W393" s="228">
        <f t="shared" si="228"/>
        <v>58</v>
      </c>
      <c r="X393" s="301">
        <v>44</v>
      </c>
      <c r="Y393" s="315">
        <f t="shared" si="229"/>
        <v>2552</v>
      </c>
      <c r="Z393" s="176"/>
      <c r="AA393" s="137"/>
      <c r="AB393" s="175"/>
      <c r="AC393" s="228"/>
      <c r="AD393" s="312">
        <f t="shared" si="230"/>
        <v>26</v>
      </c>
      <c r="AE393" s="316">
        <f t="shared" si="231"/>
        <v>1525</v>
      </c>
    </row>
    <row r="394" spans="1:31" ht="30" hidden="1" outlineLevel="2" x14ac:dyDescent="0.35">
      <c r="A394" s="38"/>
      <c r="B394" s="328" t="s">
        <v>1209</v>
      </c>
      <c r="C394" s="126" t="s">
        <v>40</v>
      </c>
      <c r="D394" s="259">
        <v>1</v>
      </c>
      <c r="E394" s="38"/>
      <c r="F394" s="270">
        <f t="shared" si="222"/>
        <v>941</v>
      </c>
      <c r="G394" s="224">
        <v>941.48</v>
      </c>
      <c r="H394" s="280"/>
      <c r="I394" s="228"/>
      <c r="J394" s="280"/>
      <c r="K394" s="203"/>
      <c r="L394" s="280"/>
      <c r="M394" s="228"/>
      <c r="N394" s="280"/>
      <c r="O394" s="203"/>
      <c r="P394" s="280">
        <v>6.31</v>
      </c>
      <c r="Q394" s="241">
        <f t="shared" si="223"/>
        <v>1</v>
      </c>
      <c r="R394" s="288">
        <f t="shared" si="224"/>
        <v>4725</v>
      </c>
      <c r="S394" s="206">
        <f t="shared" si="225"/>
        <v>4725</v>
      </c>
      <c r="T394" s="228"/>
      <c r="U394" s="298"/>
      <c r="V394" s="208"/>
      <c r="W394" s="228">
        <f t="shared" si="228"/>
        <v>1</v>
      </c>
      <c r="X394" s="301">
        <v>2780</v>
      </c>
      <c r="Y394" s="315">
        <f t="shared" si="229"/>
        <v>2780</v>
      </c>
      <c r="Z394" s="176"/>
      <c r="AA394" s="137"/>
      <c r="AB394" s="175"/>
      <c r="AC394" s="228"/>
      <c r="AD394" s="312">
        <f t="shared" si="230"/>
        <v>1945</v>
      </c>
      <c r="AE394" s="316">
        <f t="shared" si="231"/>
        <v>1945</v>
      </c>
    </row>
    <row r="395" spans="1:31" hidden="1" outlineLevel="2" x14ac:dyDescent="0.35">
      <c r="A395" s="38"/>
      <c r="B395" s="310" t="s">
        <v>1249</v>
      </c>
      <c r="C395" s="126" t="s">
        <v>40</v>
      </c>
      <c r="D395" s="259">
        <v>6</v>
      </c>
      <c r="E395" s="38"/>
      <c r="F395" s="270">
        <f t="shared" si="222"/>
        <v>129</v>
      </c>
      <c r="G395" s="224">
        <v>772.98</v>
      </c>
      <c r="H395" s="280"/>
      <c r="I395" s="228"/>
      <c r="J395" s="280"/>
      <c r="K395" s="203"/>
      <c r="L395" s="280"/>
      <c r="M395" s="228"/>
      <c r="N395" s="280"/>
      <c r="O395" s="203"/>
      <c r="P395" s="280">
        <v>6.31</v>
      </c>
      <c r="Q395" s="241">
        <f t="shared" si="223"/>
        <v>6</v>
      </c>
      <c r="R395" s="288">
        <f t="shared" si="224"/>
        <v>648</v>
      </c>
      <c r="S395" s="206">
        <f t="shared" si="225"/>
        <v>3887</v>
      </c>
      <c r="T395" s="228"/>
      <c r="U395" s="298"/>
      <c r="V395" s="208"/>
      <c r="W395" s="228">
        <f t="shared" si="228"/>
        <v>6</v>
      </c>
      <c r="X395" s="301">
        <v>666</v>
      </c>
      <c r="Y395" s="315">
        <f t="shared" si="229"/>
        <v>3996</v>
      </c>
      <c r="Z395" s="176"/>
      <c r="AA395" s="137"/>
      <c r="AB395" s="175"/>
      <c r="AC395" s="228"/>
      <c r="AD395" s="314">
        <f t="shared" si="230"/>
        <v>-18</v>
      </c>
      <c r="AE395" s="317">
        <f t="shared" si="231"/>
        <v>-109</v>
      </c>
    </row>
    <row r="396" spans="1:31" ht="20.25" hidden="1" customHeight="1" outlineLevel="2" x14ac:dyDescent="0.35">
      <c r="A396" s="38"/>
      <c r="B396" s="310" t="s">
        <v>1250</v>
      </c>
      <c r="C396" s="126" t="s">
        <v>40</v>
      </c>
      <c r="D396" s="259">
        <v>25</v>
      </c>
      <c r="E396" s="178"/>
      <c r="F396" s="270">
        <f t="shared" si="222"/>
        <v>8</v>
      </c>
      <c r="G396" s="224">
        <f>7.54*25</f>
        <v>188.5</v>
      </c>
      <c r="H396" s="281"/>
      <c r="I396" s="247"/>
      <c r="J396" s="281"/>
      <c r="K396" s="204"/>
      <c r="L396" s="281"/>
      <c r="M396" s="247"/>
      <c r="N396" s="281"/>
      <c r="O396" s="204"/>
      <c r="P396" s="280">
        <v>6.31</v>
      </c>
      <c r="Q396" s="241">
        <f t="shared" ref="Q396:Q397" si="235">D396-I396-M396</f>
        <v>25</v>
      </c>
      <c r="R396" s="288">
        <f t="shared" ref="R396:R397" si="236">ROUND(F396*P396*0.7958,0)</f>
        <v>40</v>
      </c>
      <c r="S396" s="206">
        <f t="shared" ref="S396:S397" si="237">ROUND(Q396*P396*F396*0.7958,0)</f>
        <v>1004</v>
      </c>
      <c r="T396" s="228"/>
      <c r="U396" s="298"/>
      <c r="V396" s="208"/>
      <c r="W396" s="228">
        <f t="shared" si="228"/>
        <v>25</v>
      </c>
      <c r="X396" s="301">
        <v>50</v>
      </c>
      <c r="Y396" s="315">
        <f t="shared" si="229"/>
        <v>1250</v>
      </c>
      <c r="Z396" s="176"/>
      <c r="AA396" s="137"/>
      <c r="AB396" s="175"/>
      <c r="AC396" s="228"/>
      <c r="AD396" s="314">
        <f t="shared" si="230"/>
        <v>-10</v>
      </c>
      <c r="AE396" s="317">
        <f t="shared" si="231"/>
        <v>-246</v>
      </c>
    </row>
    <row r="397" spans="1:31" hidden="1" outlineLevel="2" x14ac:dyDescent="0.35">
      <c r="A397" s="38"/>
      <c r="B397" s="310" t="s">
        <v>1251</v>
      </c>
      <c r="C397" s="126" t="s">
        <v>40</v>
      </c>
      <c r="D397" s="259">
        <v>1</v>
      </c>
      <c r="E397" s="178"/>
      <c r="F397" s="270">
        <f t="shared" si="222"/>
        <v>8</v>
      </c>
      <c r="G397" s="224">
        <f>7.54</f>
        <v>7.54</v>
      </c>
      <c r="H397" s="281"/>
      <c r="I397" s="247"/>
      <c r="J397" s="281"/>
      <c r="K397" s="204"/>
      <c r="L397" s="281"/>
      <c r="M397" s="247"/>
      <c r="N397" s="281"/>
      <c r="O397" s="204"/>
      <c r="P397" s="280">
        <v>6.31</v>
      </c>
      <c r="Q397" s="241">
        <f t="shared" si="235"/>
        <v>1</v>
      </c>
      <c r="R397" s="288">
        <f t="shared" si="236"/>
        <v>40</v>
      </c>
      <c r="S397" s="206">
        <f t="shared" si="237"/>
        <v>40</v>
      </c>
      <c r="T397" s="228"/>
      <c r="U397" s="298"/>
      <c r="V397" s="208"/>
      <c r="W397" s="228">
        <f t="shared" si="228"/>
        <v>1</v>
      </c>
      <c r="X397" s="301">
        <v>48</v>
      </c>
      <c r="Y397" s="315">
        <f t="shared" si="229"/>
        <v>48</v>
      </c>
      <c r="Z397" s="176"/>
      <c r="AA397" s="137"/>
      <c r="AB397" s="175"/>
      <c r="AC397" s="228"/>
      <c r="AD397" s="314">
        <f t="shared" si="230"/>
        <v>-8</v>
      </c>
      <c r="AE397" s="317">
        <f t="shared" si="231"/>
        <v>-8</v>
      </c>
    </row>
    <row r="398" spans="1:31" hidden="1" outlineLevel="2" x14ac:dyDescent="0.35">
      <c r="A398" s="38"/>
      <c r="B398" s="310" t="s">
        <v>1252</v>
      </c>
      <c r="C398" s="126" t="s">
        <v>40</v>
      </c>
      <c r="D398" s="259">
        <v>1</v>
      </c>
      <c r="E398" s="38"/>
      <c r="F398" s="270">
        <f t="shared" si="222"/>
        <v>4</v>
      </c>
      <c r="G398" s="224">
        <v>4.32</v>
      </c>
      <c r="H398" s="280"/>
      <c r="I398" s="228"/>
      <c r="J398" s="280"/>
      <c r="K398" s="203"/>
      <c r="L398" s="280"/>
      <c r="M398" s="228"/>
      <c r="N398" s="280"/>
      <c r="O398" s="203"/>
      <c r="P398" s="280">
        <v>6.31</v>
      </c>
      <c r="Q398" s="241">
        <f t="shared" si="223"/>
        <v>1</v>
      </c>
      <c r="R398" s="288">
        <f t="shared" si="224"/>
        <v>20</v>
      </c>
      <c r="S398" s="206">
        <f t="shared" si="225"/>
        <v>20</v>
      </c>
      <c r="T398" s="228"/>
      <c r="U398" s="298"/>
      <c r="V398" s="208"/>
      <c r="W398" s="228">
        <f t="shared" si="228"/>
        <v>1</v>
      </c>
      <c r="X398" s="301">
        <v>20</v>
      </c>
      <c r="Y398" s="315">
        <f t="shared" si="229"/>
        <v>20</v>
      </c>
      <c r="Z398" s="176"/>
      <c r="AA398" s="137"/>
      <c r="AB398" s="175"/>
      <c r="AC398" s="228"/>
      <c r="AD398" s="312">
        <f t="shared" si="230"/>
        <v>0</v>
      </c>
      <c r="AE398" s="316">
        <f t="shared" si="231"/>
        <v>0</v>
      </c>
    </row>
    <row r="399" spans="1:31" hidden="1" outlineLevel="2" x14ac:dyDescent="0.35">
      <c r="A399" s="38"/>
      <c r="B399" s="310" t="s">
        <v>1253</v>
      </c>
      <c r="C399" s="126" t="s">
        <v>40</v>
      </c>
      <c r="D399" s="259">
        <v>1</v>
      </c>
      <c r="E399" s="38"/>
      <c r="F399" s="270">
        <f t="shared" si="222"/>
        <v>26</v>
      </c>
      <c r="G399" s="224">
        <v>26.31</v>
      </c>
      <c r="H399" s="280"/>
      <c r="I399" s="228"/>
      <c r="J399" s="280"/>
      <c r="K399" s="203"/>
      <c r="L399" s="280"/>
      <c r="M399" s="228"/>
      <c r="N399" s="280"/>
      <c r="O399" s="203"/>
      <c r="P399" s="280">
        <v>6.31</v>
      </c>
      <c r="Q399" s="241">
        <f t="shared" si="223"/>
        <v>1</v>
      </c>
      <c r="R399" s="288">
        <f t="shared" si="224"/>
        <v>131</v>
      </c>
      <c r="S399" s="206">
        <f t="shared" si="225"/>
        <v>131</v>
      </c>
      <c r="T399" s="228"/>
      <c r="U399" s="298"/>
      <c r="V399" s="208"/>
      <c r="W399" s="228">
        <f t="shared" si="228"/>
        <v>1</v>
      </c>
      <c r="X399" s="301">
        <v>192</v>
      </c>
      <c r="Y399" s="315">
        <f t="shared" si="229"/>
        <v>192</v>
      </c>
      <c r="Z399" s="176"/>
      <c r="AA399" s="137"/>
      <c r="AB399" s="175"/>
      <c r="AC399" s="228"/>
      <c r="AD399" s="314">
        <f t="shared" si="230"/>
        <v>-61</v>
      </c>
      <c r="AE399" s="317">
        <f t="shared" si="231"/>
        <v>-61</v>
      </c>
    </row>
    <row r="400" spans="1:31" hidden="1" outlineLevel="2" x14ac:dyDescent="0.35">
      <c r="A400" s="38"/>
      <c r="B400" s="328" t="s">
        <v>1254</v>
      </c>
      <c r="C400" s="126" t="s">
        <v>40</v>
      </c>
      <c r="D400" s="259">
        <v>4</v>
      </c>
      <c r="E400" s="38"/>
      <c r="F400" s="270">
        <f t="shared" si="222"/>
        <v>3</v>
      </c>
      <c r="G400" s="224">
        <v>11.24</v>
      </c>
      <c r="H400" s="280"/>
      <c r="I400" s="228"/>
      <c r="J400" s="280"/>
      <c r="K400" s="203"/>
      <c r="L400" s="280"/>
      <c r="M400" s="228"/>
      <c r="N400" s="280"/>
      <c r="O400" s="203"/>
      <c r="P400" s="280">
        <v>6.31</v>
      </c>
      <c r="Q400" s="241">
        <f t="shared" si="223"/>
        <v>4</v>
      </c>
      <c r="R400" s="288">
        <f t="shared" si="224"/>
        <v>15</v>
      </c>
      <c r="S400" s="206">
        <f t="shared" si="225"/>
        <v>60</v>
      </c>
      <c r="T400" s="228"/>
      <c r="U400" s="298"/>
      <c r="V400" s="208"/>
      <c r="W400" s="228">
        <f t="shared" si="228"/>
        <v>4</v>
      </c>
      <c r="X400" s="301">
        <v>16</v>
      </c>
      <c r="Y400" s="315">
        <f t="shared" si="229"/>
        <v>64</v>
      </c>
      <c r="Z400" s="176"/>
      <c r="AA400" s="137"/>
      <c r="AB400" s="175"/>
      <c r="AC400" s="228"/>
      <c r="AD400" s="314">
        <f t="shared" si="230"/>
        <v>-1</v>
      </c>
      <c r="AE400" s="317">
        <f t="shared" si="231"/>
        <v>-4</v>
      </c>
    </row>
    <row r="401" spans="1:31" hidden="1" outlineLevel="2" x14ac:dyDescent="0.35">
      <c r="A401" s="38"/>
      <c r="B401" s="328" t="s">
        <v>1255</v>
      </c>
      <c r="C401" s="126" t="s">
        <v>40</v>
      </c>
      <c r="D401" s="259">
        <v>2</v>
      </c>
      <c r="E401" s="38"/>
      <c r="F401" s="270">
        <f t="shared" si="222"/>
        <v>4</v>
      </c>
      <c r="G401" s="224">
        <v>7.46</v>
      </c>
      <c r="H401" s="280"/>
      <c r="I401" s="228"/>
      <c r="J401" s="280"/>
      <c r="K401" s="203"/>
      <c r="L401" s="280"/>
      <c r="M401" s="228"/>
      <c r="N401" s="280"/>
      <c r="O401" s="203"/>
      <c r="P401" s="280">
        <v>6.31</v>
      </c>
      <c r="Q401" s="241">
        <f t="shared" si="223"/>
        <v>2</v>
      </c>
      <c r="R401" s="288">
        <f t="shared" si="224"/>
        <v>20</v>
      </c>
      <c r="S401" s="206">
        <f t="shared" si="225"/>
        <v>40</v>
      </c>
      <c r="T401" s="228"/>
      <c r="U401" s="298"/>
      <c r="V401" s="208"/>
      <c r="W401" s="228">
        <f t="shared" si="228"/>
        <v>2</v>
      </c>
      <c r="X401" s="301">
        <v>21</v>
      </c>
      <c r="Y401" s="315">
        <f t="shared" si="229"/>
        <v>42</v>
      </c>
      <c r="Z401" s="176"/>
      <c r="AA401" s="137"/>
      <c r="AB401" s="175"/>
      <c r="AC401" s="228"/>
      <c r="AD401" s="314">
        <f t="shared" si="230"/>
        <v>-1</v>
      </c>
      <c r="AE401" s="317">
        <f t="shared" si="231"/>
        <v>-2</v>
      </c>
    </row>
    <row r="402" spans="1:31" hidden="1" outlineLevel="2" x14ac:dyDescent="0.35">
      <c r="A402" s="38"/>
      <c r="B402" s="328" t="s">
        <v>1256</v>
      </c>
      <c r="C402" s="126" t="s">
        <v>40</v>
      </c>
      <c r="D402" s="259">
        <v>40</v>
      </c>
      <c r="E402" s="38"/>
      <c r="F402" s="270">
        <f t="shared" si="222"/>
        <v>1</v>
      </c>
      <c r="G402" s="224">
        <v>48</v>
      </c>
      <c r="H402" s="280"/>
      <c r="I402" s="228"/>
      <c r="J402" s="280"/>
      <c r="K402" s="203"/>
      <c r="L402" s="280"/>
      <c r="M402" s="228"/>
      <c r="N402" s="280"/>
      <c r="O402" s="203"/>
      <c r="P402" s="280">
        <v>6.31</v>
      </c>
      <c r="Q402" s="241">
        <f t="shared" si="223"/>
        <v>40</v>
      </c>
      <c r="R402" s="288">
        <f t="shared" si="224"/>
        <v>5</v>
      </c>
      <c r="S402" s="206">
        <f t="shared" si="225"/>
        <v>201</v>
      </c>
      <c r="T402" s="228"/>
      <c r="U402" s="298"/>
      <c r="V402" s="208"/>
      <c r="W402" s="228">
        <f t="shared" si="228"/>
        <v>40</v>
      </c>
      <c r="X402" s="301">
        <v>5</v>
      </c>
      <c r="Y402" s="315">
        <f t="shared" si="229"/>
        <v>200</v>
      </c>
      <c r="Z402" s="176"/>
      <c r="AA402" s="137"/>
      <c r="AB402" s="175"/>
      <c r="AC402" s="228"/>
      <c r="AD402" s="312">
        <v>0</v>
      </c>
      <c r="AE402" s="316">
        <v>0</v>
      </c>
    </row>
    <row r="403" spans="1:31" hidden="1" outlineLevel="2" x14ac:dyDescent="0.35">
      <c r="A403" s="38"/>
      <c r="B403" s="328" t="s">
        <v>437</v>
      </c>
      <c r="C403" s="126" t="s">
        <v>40</v>
      </c>
      <c r="D403" s="259">
        <v>4</v>
      </c>
      <c r="E403" s="38"/>
      <c r="F403" s="270">
        <f t="shared" si="222"/>
        <v>4</v>
      </c>
      <c r="G403" s="224">
        <v>14.68</v>
      </c>
      <c r="H403" s="280"/>
      <c r="I403" s="228"/>
      <c r="J403" s="280"/>
      <c r="K403" s="203"/>
      <c r="L403" s="280"/>
      <c r="M403" s="228"/>
      <c r="N403" s="280"/>
      <c r="O403" s="203"/>
      <c r="P403" s="280">
        <v>6.31</v>
      </c>
      <c r="Q403" s="241">
        <f t="shared" si="223"/>
        <v>4</v>
      </c>
      <c r="R403" s="288">
        <f t="shared" si="224"/>
        <v>20</v>
      </c>
      <c r="S403" s="206">
        <f t="shared" si="225"/>
        <v>80</v>
      </c>
      <c r="T403" s="228"/>
      <c r="U403" s="298"/>
      <c r="V403" s="208"/>
      <c r="W403" s="228">
        <f t="shared" si="228"/>
        <v>4</v>
      </c>
      <c r="X403" s="301">
        <v>39</v>
      </c>
      <c r="Y403" s="315">
        <f t="shared" si="229"/>
        <v>156</v>
      </c>
      <c r="Z403" s="176"/>
      <c r="AA403" s="137"/>
      <c r="AB403" s="175"/>
      <c r="AC403" s="228"/>
      <c r="AD403" s="314">
        <f t="shared" si="230"/>
        <v>-19</v>
      </c>
      <c r="AE403" s="317">
        <f t="shared" si="231"/>
        <v>-76</v>
      </c>
    </row>
    <row r="404" spans="1:31" ht="18" hidden="1" customHeight="1" outlineLevel="2" x14ac:dyDescent="0.35">
      <c r="A404" s="38"/>
      <c r="B404" s="310" t="s">
        <v>1257</v>
      </c>
      <c r="C404" s="126" t="s">
        <v>40</v>
      </c>
      <c r="D404" s="259">
        <v>4</v>
      </c>
      <c r="E404" s="38"/>
      <c r="F404" s="270">
        <f t="shared" si="222"/>
        <v>25</v>
      </c>
      <c r="G404" s="224">
        <v>100.44</v>
      </c>
      <c r="H404" s="280"/>
      <c r="I404" s="228"/>
      <c r="J404" s="280"/>
      <c r="K404" s="203"/>
      <c r="L404" s="280"/>
      <c r="M404" s="228"/>
      <c r="N404" s="280"/>
      <c r="O404" s="203"/>
      <c r="P404" s="280">
        <v>6.31</v>
      </c>
      <c r="Q404" s="241">
        <f t="shared" si="223"/>
        <v>4</v>
      </c>
      <c r="R404" s="288">
        <f t="shared" si="224"/>
        <v>126</v>
      </c>
      <c r="S404" s="206">
        <f t="shared" si="225"/>
        <v>502</v>
      </c>
      <c r="T404" s="228"/>
      <c r="U404" s="298"/>
      <c r="V404" s="208"/>
      <c r="W404" s="228">
        <f t="shared" si="228"/>
        <v>4</v>
      </c>
      <c r="X404" s="301">
        <v>85</v>
      </c>
      <c r="Y404" s="315">
        <f t="shared" si="229"/>
        <v>340</v>
      </c>
      <c r="Z404" s="176"/>
      <c r="AA404" s="137"/>
      <c r="AB404" s="175"/>
      <c r="AC404" s="228"/>
      <c r="AD404" s="312">
        <f t="shared" si="230"/>
        <v>41</v>
      </c>
      <c r="AE404" s="316">
        <f t="shared" si="231"/>
        <v>162</v>
      </c>
    </row>
    <row r="405" spans="1:31" hidden="1" outlineLevel="2" x14ac:dyDescent="0.35">
      <c r="A405" s="38"/>
      <c r="B405" s="310" t="s">
        <v>1258</v>
      </c>
      <c r="C405" s="126" t="s">
        <v>5</v>
      </c>
      <c r="D405" s="259">
        <v>3</v>
      </c>
      <c r="E405" s="38"/>
      <c r="F405" s="270">
        <f t="shared" si="222"/>
        <v>9</v>
      </c>
      <c r="G405" s="224">
        <v>25.98</v>
      </c>
      <c r="H405" s="280"/>
      <c r="I405" s="228"/>
      <c r="J405" s="280"/>
      <c r="K405" s="203"/>
      <c r="L405" s="280"/>
      <c r="M405" s="228"/>
      <c r="N405" s="280"/>
      <c r="O405" s="203"/>
      <c r="P405" s="280">
        <v>6.31</v>
      </c>
      <c r="Q405" s="241">
        <f t="shared" si="223"/>
        <v>3</v>
      </c>
      <c r="R405" s="288">
        <f t="shared" si="224"/>
        <v>45</v>
      </c>
      <c r="S405" s="206">
        <f t="shared" si="225"/>
        <v>136</v>
      </c>
      <c r="T405" s="228"/>
      <c r="U405" s="298"/>
      <c r="V405" s="208"/>
      <c r="W405" s="228">
        <f t="shared" si="228"/>
        <v>3</v>
      </c>
      <c r="X405" s="301">
        <v>56</v>
      </c>
      <c r="Y405" s="315">
        <f t="shared" si="229"/>
        <v>168</v>
      </c>
      <c r="Z405" s="176"/>
      <c r="AA405" s="137"/>
      <c r="AB405" s="175"/>
      <c r="AC405" s="228"/>
      <c r="AD405" s="314">
        <f t="shared" si="230"/>
        <v>-11</v>
      </c>
      <c r="AE405" s="317">
        <f t="shared" si="231"/>
        <v>-32</v>
      </c>
    </row>
    <row r="406" spans="1:31" hidden="1" outlineLevel="2" x14ac:dyDescent="0.35">
      <c r="A406" s="38"/>
      <c r="B406" s="328" t="s">
        <v>1259</v>
      </c>
      <c r="C406" s="126" t="s">
        <v>5</v>
      </c>
      <c r="D406" s="259">
        <v>38</v>
      </c>
      <c r="E406" s="38"/>
      <c r="F406" s="270">
        <f t="shared" si="222"/>
        <v>5</v>
      </c>
      <c r="G406" s="224">
        <v>207.04</v>
      </c>
      <c r="H406" s="280"/>
      <c r="I406" s="228"/>
      <c r="J406" s="280"/>
      <c r="K406" s="203"/>
      <c r="L406" s="280"/>
      <c r="M406" s="228"/>
      <c r="N406" s="280"/>
      <c r="O406" s="203"/>
      <c r="P406" s="280">
        <v>6.31</v>
      </c>
      <c r="Q406" s="241">
        <f t="shared" si="223"/>
        <v>38</v>
      </c>
      <c r="R406" s="288">
        <f t="shared" si="224"/>
        <v>25</v>
      </c>
      <c r="S406" s="206">
        <f t="shared" si="225"/>
        <v>954</v>
      </c>
      <c r="T406" s="228"/>
      <c r="U406" s="298"/>
      <c r="V406" s="208"/>
      <c r="W406" s="228">
        <f t="shared" si="228"/>
        <v>38</v>
      </c>
      <c r="X406" s="301">
        <v>30.05</v>
      </c>
      <c r="Y406" s="315">
        <f t="shared" si="229"/>
        <v>1141.9000000000001</v>
      </c>
      <c r="Z406" s="176"/>
      <c r="AA406" s="137"/>
      <c r="AB406" s="175"/>
      <c r="AC406" s="228"/>
      <c r="AD406" s="314">
        <f t="shared" si="230"/>
        <v>-5.0500000000000007</v>
      </c>
      <c r="AE406" s="317">
        <f t="shared" si="231"/>
        <v>-187.90000000000009</v>
      </c>
    </row>
    <row r="407" spans="1:31" hidden="1" outlineLevel="2" x14ac:dyDescent="0.35">
      <c r="A407" s="38"/>
      <c r="B407" s="328" t="s">
        <v>1260</v>
      </c>
      <c r="C407" s="126" t="s">
        <v>5</v>
      </c>
      <c r="D407" s="259">
        <v>14</v>
      </c>
      <c r="E407" s="38"/>
      <c r="F407" s="270">
        <f t="shared" si="222"/>
        <v>2</v>
      </c>
      <c r="G407" s="224">
        <v>23</v>
      </c>
      <c r="H407" s="280"/>
      <c r="I407" s="228"/>
      <c r="J407" s="280"/>
      <c r="K407" s="203"/>
      <c r="L407" s="280"/>
      <c r="M407" s="228"/>
      <c r="N407" s="280"/>
      <c r="O407" s="203"/>
      <c r="P407" s="280">
        <v>6.31</v>
      </c>
      <c r="Q407" s="241">
        <f t="shared" si="223"/>
        <v>14</v>
      </c>
      <c r="R407" s="288">
        <f t="shared" si="224"/>
        <v>10</v>
      </c>
      <c r="S407" s="206">
        <f t="shared" si="225"/>
        <v>141</v>
      </c>
      <c r="T407" s="228"/>
      <c r="U407" s="298"/>
      <c r="V407" s="208"/>
      <c r="W407" s="228">
        <f t="shared" si="228"/>
        <v>14</v>
      </c>
      <c r="X407" s="301">
        <v>9.6</v>
      </c>
      <c r="Y407" s="315">
        <f t="shared" si="229"/>
        <v>134.4</v>
      </c>
      <c r="Z407" s="176"/>
      <c r="AA407" s="137"/>
      <c r="AB407" s="175"/>
      <c r="AC407" s="228"/>
      <c r="AD407" s="311">
        <f t="shared" si="230"/>
        <v>0.40000000000000036</v>
      </c>
      <c r="AE407" s="316">
        <f t="shared" si="231"/>
        <v>6.5999999999999943</v>
      </c>
    </row>
    <row r="408" spans="1:31" hidden="1" outlineLevel="2" x14ac:dyDescent="0.35">
      <c r="A408" s="38"/>
      <c r="B408" s="328" t="s">
        <v>1261</v>
      </c>
      <c r="C408" s="126" t="s">
        <v>5</v>
      </c>
      <c r="D408" s="259">
        <v>10</v>
      </c>
      <c r="E408" s="38"/>
      <c r="F408" s="270">
        <f t="shared" si="222"/>
        <v>13</v>
      </c>
      <c r="G408" s="224">
        <v>131.97999999999999</v>
      </c>
      <c r="H408" s="280"/>
      <c r="I408" s="228"/>
      <c r="J408" s="280"/>
      <c r="K408" s="203"/>
      <c r="L408" s="280"/>
      <c r="M408" s="228"/>
      <c r="N408" s="280"/>
      <c r="O408" s="203"/>
      <c r="P408" s="280">
        <v>6.31</v>
      </c>
      <c r="Q408" s="241">
        <f t="shared" si="223"/>
        <v>10</v>
      </c>
      <c r="R408" s="288">
        <f t="shared" si="224"/>
        <v>65</v>
      </c>
      <c r="S408" s="206">
        <f t="shared" si="225"/>
        <v>653</v>
      </c>
      <c r="T408" s="228"/>
      <c r="U408" s="298"/>
      <c r="V408" s="208"/>
      <c r="W408" s="228">
        <f t="shared" si="228"/>
        <v>10</v>
      </c>
      <c r="X408" s="301">
        <v>63</v>
      </c>
      <c r="Y408" s="315">
        <f t="shared" si="229"/>
        <v>630</v>
      </c>
      <c r="Z408" s="176"/>
      <c r="AA408" s="137"/>
      <c r="AB408" s="175"/>
      <c r="AC408" s="228"/>
      <c r="AD408" s="312">
        <f t="shared" si="230"/>
        <v>2</v>
      </c>
      <c r="AE408" s="318">
        <f t="shared" si="231"/>
        <v>23</v>
      </c>
    </row>
    <row r="409" spans="1:31" hidden="1" outlineLevel="2" x14ac:dyDescent="0.35">
      <c r="A409" s="38"/>
      <c r="B409" s="328" t="s">
        <v>1262</v>
      </c>
      <c r="C409" s="126" t="s">
        <v>5</v>
      </c>
      <c r="D409" s="259">
        <v>25</v>
      </c>
      <c r="E409" s="38"/>
      <c r="F409" s="270">
        <f t="shared" si="222"/>
        <v>19</v>
      </c>
      <c r="G409" s="224">
        <v>466.75</v>
      </c>
      <c r="H409" s="280"/>
      <c r="I409" s="228"/>
      <c r="J409" s="280"/>
      <c r="K409" s="203"/>
      <c r="L409" s="280"/>
      <c r="M409" s="228"/>
      <c r="N409" s="280"/>
      <c r="O409" s="203"/>
      <c r="P409" s="280">
        <v>6.31</v>
      </c>
      <c r="Q409" s="241">
        <f t="shared" si="223"/>
        <v>25</v>
      </c>
      <c r="R409" s="288">
        <f t="shared" si="224"/>
        <v>95</v>
      </c>
      <c r="S409" s="206">
        <f t="shared" si="225"/>
        <v>2385</v>
      </c>
      <c r="T409" s="228"/>
      <c r="U409" s="298"/>
      <c r="V409" s="208"/>
      <c r="W409" s="228">
        <f t="shared" si="228"/>
        <v>25</v>
      </c>
      <c r="X409" s="301">
        <v>109</v>
      </c>
      <c r="Y409" s="315">
        <f t="shared" si="229"/>
        <v>2725</v>
      </c>
      <c r="Z409" s="176"/>
      <c r="AA409" s="137"/>
      <c r="AB409" s="175"/>
      <c r="AC409" s="228"/>
      <c r="AD409" s="314">
        <f t="shared" si="230"/>
        <v>-14</v>
      </c>
      <c r="AE409" s="317">
        <f t="shared" si="231"/>
        <v>-340</v>
      </c>
    </row>
    <row r="410" spans="1:31" hidden="1" outlineLevel="2" x14ac:dyDescent="0.35">
      <c r="A410" s="38"/>
      <c r="B410" s="310" t="s">
        <v>1263</v>
      </c>
      <c r="C410" s="126" t="s">
        <v>40</v>
      </c>
      <c r="D410" s="259">
        <v>16</v>
      </c>
      <c r="E410" s="38"/>
      <c r="F410" s="270">
        <f t="shared" si="222"/>
        <v>77</v>
      </c>
      <c r="G410" s="224">
        <v>1237.1199999999999</v>
      </c>
      <c r="H410" s="280"/>
      <c r="I410" s="228"/>
      <c r="J410" s="280"/>
      <c r="K410" s="203"/>
      <c r="L410" s="280"/>
      <c r="M410" s="228"/>
      <c r="N410" s="280"/>
      <c r="O410" s="203"/>
      <c r="P410" s="280">
        <v>6.31</v>
      </c>
      <c r="Q410" s="241">
        <f t="shared" si="223"/>
        <v>16</v>
      </c>
      <c r="R410" s="288">
        <f t="shared" si="224"/>
        <v>387</v>
      </c>
      <c r="S410" s="206">
        <f t="shared" si="225"/>
        <v>6186</v>
      </c>
      <c r="T410" s="228"/>
      <c r="U410" s="298"/>
      <c r="V410" s="208"/>
      <c r="W410" s="228">
        <f t="shared" si="228"/>
        <v>16</v>
      </c>
      <c r="X410" s="301">
        <v>109</v>
      </c>
      <c r="Y410" s="315">
        <f t="shared" si="229"/>
        <v>1744</v>
      </c>
      <c r="Z410" s="176"/>
      <c r="AA410" s="137"/>
      <c r="AB410" s="175"/>
      <c r="AC410" s="228"/>
      <c r="AD410" s="312">
        <f t="shared" si="230"/>
        <v>278</v>
      </c>
      <c r="AE410" s="316">
        <f t="shared" si="231"/>
        <v>4442</v>
      </c>
    </row>
    <row r="411" spans="1:31" hidden="1" outlineLevel="2" x14ac:dyDescent="0.35">
      <c r="A411" s="38"/>
      <c r="B411" s="310" t="s">
        <v>1264</v>
      </c>
      <c r="C411" s="126" t="s">
        <v>364</v>
      </c>
      <c r="D411" s="259">
        <v>5</v>
      </c>
      <c r="E411" s="38"/>
      <c r="F411" s="270">
        <f t="shared" si="222"/>
        <v>4</v>
      </c>
      <c r="G411" s="224">
        <v>18.61</v>
      </c>
      <c r="H411" s="280"/>
      <c r="I411" s="228"/>
      <c r="J411" s="280"/>
      <c r="K411" s="203"/>
      <c r="L411" s="280"/>
      <c r="M411" s="228"/>
      <c r="N411" s="280"/>
      <c r="O411" s="203"/>
      <c r="P411" s="280">
        <v>6.31</v>
      </c>
      <c r="Q411" s="241">
        <f t="shared" si="223"/>
        <v>5</v>
      </c>
      <c r="R411" s="288">
        <f t="shared" si="224"/>
        <v>20</v>
      </c>
      <c r="S411" s="206">
        <f t="shared" si="225"/>
        <v>100</v>
      </c>
      <c r="T411" s="228"/>
      <c r="U411" s="298"/>
      <c r="V411" s="208"/>
      <c r="W411" s="228">
        <f t="shared" si="228"/>
        <v>5</v>
      </c>
      <c r="X411" s="301">
        <v>9.6</v>
      </c>
      <c r="Y411" s="315">
        <f t="shared" si="229"/>
        <v>48</v>
      </c>
      <c r="Z411" s="176"/>
      <c r="AA411" s="137"/>
      <c r="AB411" s="175"/>
      <c r="AC411" s="228"/>
      <c r="AD411" s="312">
        <f t="shared" si="230"/>
        <v>10.4</v>
      </c>
      <c r="AE411" s="316">
        <f t="shared" si="231"/>
        <v>52</v>
      </c>
    </row>
    <row r="412" spans="1:31" hidden="1" outlineLevel="2" x14ac:dyDescent="0.35">
      <c r="A412" s="38"/>
      <c r="B412" s="328" t="s">
        <v>1210</v>
      </c>
      <c r="C412" s="126" t="s">
        <v>40</v>
      </c>
      <c r="D412" s="259">
        <v>28</v>
      </c>
      <c r="E412" s="38"/>
      <c r="F412" s="270">
        <f t="shared" si="222"/>
        <v>6</v>
      </c>
      <c r="G412" s="224">
        <v>175</v>
      </c>
      <c r="H412" s="280"/>
      <c r="I412" s="228"/>
      <c r="J412" s="280"/>
      <c r="K412" s="203"/>
      <c r="L412" s="280"/>
      <c r="M412" s="228"/>
      <c r="N412" s="280"/>
      <c r="O412" s="203"/>
      <c r="P412" s="280">
        <v>6.31</v>
      </c>
      <c r="Q412" s="241">
        <f t="shared" si="223"/>
        <v>28</v>
      </c>
      <c r="R412" s="288">
        <f t="shared" si="224"/>
        <v>30</v>
      </c>
      <c r="S412" s="206">
        <f t="shared" si="225"/>
        <v>844</v>
      </c>
      <c r="T412" s="228"/>
      <c r="U412" s="298"/>
      <c r="V412" s="208"/>
      <c r="W412" s="228">
        <f t="shared" si="228"/>
        <v>28</v>
      </c>
      <c r="X412" s="301">
        <v>15</v>
      </c>
      <c r="Y412" s="315">
        <f t="shared" si="229"/>
        <v>420</v>
      </c>
      <c r="Z412" s="176"/>
      <c r="AA412" s="137"/>
      <c r="AB412" s="175"/>
      <c r="AC412" s="228"/>
      <c r="AD412" s="312">
        <f t="shared" si="230"/>
        <v>15</v>
      </c>
      <c r="AE412" s="316">
        <f t="shared" si="231"/>
        <v>424</v>
      </c>
    </row>
    <row r="413" spans="1:31" ht="33" hidden="1" customHeight="1" outlineLevel="2" x14ac:dyDescent="0.35">
      <c r="A413" s="38"/>
      <c r="B413" s="310" t="s">
        <v>1265</v>
      </c>
      <c r="C413" s="126" t="s">
        <v>40</v>
      </c>
      <c r="D413" s="259">
        <v>14</v>
      </c>
      <c r="E413" s="38"/>
      <c r="F413" s="270">
        <f t="shared" si="222"/>
        <v>3</v>
      </c>
      <c r="G413" s="224">
        <v>43.4</v>
      </c>
      <c r="H413" s="280"/>
      <c r="I413" s="228"/>
      <c r="J413" s="280"/>
      <c r="K413" s="203"/>
      <c r="L413" s="280"/>
      <c r="M413" s="228"/>
      <c r="N413" s="280"/>
      <c r="O413" s="203"/>
      <c r="P413" s="280">
        <v>6.31</v>
      </c>
      <c r="Q413" s="241">
        <f t="shared" si="223"/>
        <v>14</v>
      </c>
      <c r="R413" s="288">
        <f t="shared" si="224"/>
        <v>15</v>
      </c>
      <c r="S413" s="206">
        <f t="shared" si="225"/>
        <v>211</v>
      </c>
      <c r="T413" s="228"/>
      <c r="U413" s="298"/>
      <c r="V413" s="208"/>
      <c r="W413" s="228">
        <f t="shared" si="228"/>
        <v>14</v>
      </c>
      <c r="X413" s="301">
        <v>24</v>
      </c>
      <c r="Y413" s="315">
        <f t="shared" si="229"/>
        <v>336</v>
      </c>
      <c r="Z413" s="176"/>
      <c r="AA413" s="137"/>
      <c r="AB413" s="175"/>
      <c r="AC413" s="228"/>
      <c r="AD413" s="314">
        <f t="shared" si="230"/>
        <v>-9</v>
      </c>
      <c r="AE413" s="317">
        <f t="shared" si="231"/>
        <v>-125</v>
      </c>
    </row>
    <row r="414" spans="1:31" hidden="1" outlineLevel="2" x14ac:dyDescent="0.35">
      <c r="A414" s="38"/>
      <c r="B414" s="328" t="s">
        <v>1211</v>
      </c>
      <c r="C414" s="126" t="s">
        <v>28</v>
      </c>
      <c r="D414" s="259">
        <v>1.2E-2</v>
      </c>
      <c r="E414" s="38"/>
      <c r="F414" s="270">
        <f t="shared" si="222"/>
        <v>5751</v>
      </c>
      <c r="G414" s="224">
        <v>69.010000000000005</v>
      </c>
      <c r="H414" s="280"/>
      <c r="I414" s="228"/>
      <c r="J414" s="280"/>
      <c r="K414" s="203"/>
      <c r="L414" s="280"/>
      <c r="M414" s="228"/>
      <c r="N414" s="280"/>
      <c r="O414" s="203"/>
      <c r="P414" s="280">
        <v>6.31</v>
      </c>
      <c r="Q414" s="241">
        <f t="shared" si="223"/>
        <v>1.2E-2</v>
      </c>
      <c r="R414" s="288">
        <f t="shared" si="224"/>
        <v>28879</v>
      </c>
      <c r="S414" s="206">
        <f t="shared" si="225"/>
        <v>347</v>
      </c>
      <c r="T414" s="228"/>
      <c r="U414" s="298"/>
      <c r="V414" s="208"/>
      <c r="W414" s="228">
        <f t="shared" si="228"/>
        <v>1.2E-2</v>
      </c>
      <c r="X414" s="301">
        <v>61590</v>
      </c>
      <c r="Y414" s="315">
        <f t="shared" si="229"/>
        <v>739.08</v>
      </c>
      <c r="Z414" s="176"/>
      <c r="AA414" s="137"/>
      <c r="AB414" s="175"/>
      <c r="AC414" s="228"/>
      <c r="AD414" s="314">
        <f t="shared" si="230"/>
        <v>-32711</v>
      </c>
      <c r="AE414" s="317">
        <f t="shared" si="231"/>
        <v>-392.08000000000004</v>
      </c>
    </row>
    <row r="415" spans="1:31" hidden="1" outlineLevel="2" x14ac:dyDescent="0.35">
      <c r="A415" s="38"/>
      <c r="B415" s="328" t="s">
        <v>1212</v>
      </c>
      <c r="C415" s="126" t="s">
        <v>5</v>
      </c>
      <c r="D415" s="259">
        <v>0.24</v>
      </c>
      <c r="E415" s="38"/>
      <c r="F415" s="270">
        <f t="shared" si="222"/>
        <v>24</v>
      </c>
      <c r="G415" s="224">
        <v>5.84</v>
      </c>
      <c r="H415" s="280"/>
      <c r="I415" s="228"/>
      <c r="J415" s="280"/>
      <c r="K415" s="203"/>
      <c r="L415" s="280"/>
      <c r="M415" s="228"/>
      <c r="N415" s="280"/>
      <c r="O415" s="203"/>
      <c r="P415" s="280">
        <v>6.31</v>
      </c>
      <c r="Q415" s="241">
        <f t="shared" si="223"/>
        <v>0.24</v>
      </c>
      <c r="R415" s="288">
        <f t="shared" si="224"/>
        <v>121</v>
      </c>
      <c r="S415" s="206">
        <f t="shared" si="225"/>
        <v>29</v>
      </c>
      <c r="T415" s="228"/>
      <c r="U415" s="298"/>
      <c r="V415" s="208"/>
      <c r="W415" s="228">
        <f t="shared" si="228"/>
        <v>0.24</v>
      </c>
      <c r="X415" s="301">
        <v>121</v>
      </c>
      <c r="Y415" s="315">
        <f t="shared" si="229"/>
        <v>29.04</v>
      </c>
      <c r="Z415" s="176"/>
      <c r="AA415" s="137"/>
      <c r="AB415" s="175"/>
      <c r="AC415" s="228"/>
      <c r="AD415" s="312">
        <f t="shared" si="230"/>
        <v>0</v>
      </c>
      <c r="AE415" s="316">
        <f t="shared" si="231"/>
        <v>-3.9999999999999147E-2</v>
      </c>
    </row>
    <row r="416" spans="1:31" hidden="1" outlineLevel="2" x14ac:dyDescent="0.35">
      <c r="A416" s="38"/>
      <c r="B416" s="310" t="s">
        <v>1266</v>
      </c>
      <c r="C416" s="126" t="s">
        <v>40</v>
      </c>
      <c r="D416" s="259">
        <v>6</v>
      </c>
      <c r="E416" s="38"/>
      <c r="F416" s="270">
        <f t="shared" si="222"/>
        <v>4</v>
      </c>
      <c r="G416" s="224">
        <v>23.22</v>
      </c>
      <c r="H416" s="280"/>
      <c r="I416" s="228"/>
      <c r="J416" s="280"/>
      <c r="K416" s="203"/>
      <c r="L416" s="280"/>
      <c r="M416" s="228"/>
      <c r="N416" s="280"/>
      <c r="O416" s="203"/>
      <c r="P416" s="280">
        <v>6.31</v>
      </c>
      <c r="Q416" s="241">
        <f t="shared" si="223"/>
        <v>6</v>
      </c>
      <c r="R416" s="288">
        <f t="shared" si="224"/>
        <v>20</v>
      </c>
      <c r="S416" s="206">
        <f t="shared" si="225"/>
        <v>121</v>
      </c>
      <c r="T416" s="228"/>
      <c r="U416" s="298"/>
      <c r="V416" s="208"/>
      <c r="W416" s="228">
        <f t="shared" si="228"/>
        <v>6</v>
      </c>
      <c r="X416" s="301">
        <v>25</v>
      </c>
      <c r="Y416" s="315">
        <f t="shared" si="229"/>
        <v>150</v>
      </c>
      <c r="Z416" s="176"/>
      <c r="AA416" s="137"/>
      <c r="AB416" s="175"/>
      <c r="AC416" s="228"/>
      <c r="AD416" s="314">
        <f t="shared" si="230"/>
        <v>-5</v>
      </c>
      <c r="AE416" s="317">
        <f t="shared" si="231"/>
        <v>-29</v>
      </c>
    </row>
    <row r="417" spans="1:32" hidden="1" outlineLevel="2" x14ac:dyDescent="0.35">
      <c r="A417" s="38"/>
      <c r="B417" s="310" t="s">
        <v>1267</v>
      </c>
      <c r="C417" s="126" t="s">
        <v>40</v>
      </c>
      <c r="D417" s="259">
        <v>11</v>
      </c>
      <c r="E417" s="38"/>
      <c r="F417" s="270">
        <f t="shared" si="222"/>
        <v>4</v>
      </c>
      <c r="G417" s="224">
        <v>42.57</v>
      </c>
      <c r="H417" s="280"/>
      <c r="I417" s="228"/>
      <c r="J417" s="280"/>
      <c r="K417" s="203"/>
      <c r="L417" s="280"/>
      <c r="M417" s="228"/>
      <c r="N417" s="280"/>
      <c r="O417" s="203"/>
      <c r="P417" s="280">
        <v>6.31</v>
      </c>
      <c r="Q417" s="241">
        <f t="shared" si="223"/>
        <v>11</v>
      </c>
      <c r="R417" s="288">
        <f t="shared" si="224"/>
        <v>20</v>
      </c>
      <c r="S417" s="206">
        <f t="shared" si="225"/>
        <v>221</v>
      </c>
      <c r="T417" s="228"/>
      <c r="U417" s="298"/>
      <c r="V417" s="208"/>
      <c r="W417" s="228">
        <f t="shared" si="228"/>
        <v>11</v>
      </c>
      <c r="X417" s="301">
        <v>22.4</v>
      </c>
      <c r="Y417" s="315">
        <f t="shared" si="229"/>
        <v>246.39999999999998</v>
      </c>
      <c r="Z417" s="176"/>
      <c r="AA417" s="137"/>
      <c r="AB417" s="175"/>
      <c r="AC417" s="228"/>
      <c r="AD417" s="314">
        <f t="shared" si="230"/>
        <v>-2.3999999999999986</v>
      </c>
      <c r="AE417" s="317">
        <f t="shared" si="231"/>
        <v>-25.399999999999977</v>
      </c>
    </row>
    <row r="418" spans="1:32" hidden="1" outlineLevel="2" x14ac:dyDescent="0.35">
      <c r="A418" s="38"/>
      <c r="B418" s="310" t="s">
        <v>1268</v>
      </c>
      <c r="C418" s="126" t="s">
        <v>40</v>
      </c>
      <c r="D418" s="259">
        <v>2</v>
      </c>
      <c r="E418" s="38"/>
      <c r="F418" s="270">
        <f t="shared" si="222"/>
        <v>35</v>
      </c>
      <c r="G418" s="224">
        <v>70.62</v>
      </c>
      <c r="H418" s="280"/>
      <c r="I418" s="228"/>
      <c r="J418" s="280"/>
      <c r="K418" s="203"/>
      <c r="L418" s="280"/>
      <c r="M418" s="228"/>
      <c r="N418" s="280"/>
      <c r="O418" s="203"/>
      <c r="P418" s="280">
        <v>6.31</v>
      </c>
      <c r="Q418" s="241">
        <f t="shared" si="223"/>
        <v>2</v>
      </c>
      <c r="R418" s="288">
        <f t="shared" si="224"/>
        <v>176</v>
      </c>
      <c r="S418" s="206">
        <f t="shared" si="225"/>
        <v>352</v>
      </c>
      <c r="T418" s="228"/>
      <c r="U418" s="298"/>
      <c r="V418" s="208"/>
      <c r="W418" s="228">
        <f t="shared" si="228"/>
        <v>2</v>
      </c>
      <c r="X418" s="301">
        <v>201</v>
      </c>
      <c r="Y418" s="315">
        <f t="shared" si="229"/>
        <v>402</v>
      </c>
      <c r="Z418" s="176"/>
      <c r="AA418" s="137"/>
      <c r="AB418" s="175"/>
      <c r="AC418" s="228"/>
      <c r="AD418" s="314">
        <f t="shared" si="230"/>
        <v>-25</v>
      </c>
      <c r="AE418" s="317">
        <f t="shared" si="231"/>
        <v>-50</v>
      </c>
    </row>
    <row r="419" spans="1:32" hidden="1" outlineLevel="2" x14ac:dyDescent="0.35">
      <c r="A419" s="38"/>
      <c r="B419" s="310" t="s">
        <v>1269</v>
      </c>
      <c r="C419" s="126" t="s">
        <v>40</v>
      </c>
      <c r="D419" s="259">
        <v>16</v>
      </c>
      <c r="E419" s="38"/>
      <c r="F419" s="270">
        <f t="shared" si="222"/>
        <v>5</v>
      </c>
      <c r="G419" s="224">
        <v>80.64</v>
      </c>
      <c r="H419" s="280"/>
      <c r="I419" s="228"/>
      <c r="J419" s="280"/>
      <c r="K419" s="203"/>
      <c r="L419" s="280"/>
      <c r="M419" s="228"/>
      <c r="N419" s="280"/>
      <c r="O419" s="203"/>
      <c r="P419" s="280">
        <v>6.31</v>
      </c>
      <c r="Q419" s="241">
        <f t="shared" si="223"/>
        <v>16</v>
      </c>
      <c r="R419" s="288">
        <f t="shared" si="224"/>
        <v>25</v>
      </c>
      <c r="S419" s="206">
        <f t="shared" si="225"/>
        <v>402</v>
      </c>
      <c r="T419" s="228"/>
      <c r="U419" s="298"/>
      <c r="V419" s="208"/>
      <c r="W419" s="228">
        <f t="shared" si="228"/>
        <v>16</v>
      </c>
      <c r="X419" s="301">
        <v>23</v>
      </c>
      <c r="Y419" s="315">
        <f t="shared" si="229"/>
        <v>368</v>
      </c>
      <c r="Z419" s="176"/>
      <c r="AA419" s="137"/>
      <c r="AB419" s="175"/>
      <c r="AC419" s="228"/>
      <c r="AD419" s="312">
        <f t="shared" si="230"/>
        <v>2</v>
      </c>
      <c r="AE419" s="316">
        <f t="shared" si="231"/>
        <v>34</v>
      </c>
    </row>
    <row r="420" spans="1:32" hidden="1" outlineLevel="2" x14ac:dyDescent="0.35">
      <c r="A420" s="38"/>
      <c r="B420" s="310" t="s">
        <v>1270</v>
      </c>
      <c r="C420" s="126" t="s">
        <v>40</v>
      </c>
      <c r="D420" s="259">
        <v>100</v>
      </c>
      <c r="E420" s="38"/>
      <c r="F420" s="270">
        <f t="shared" si="222"/>
        <v>2</v>
      </c>
      <c r="G420" s="224">
        <v>245</v>
      </c>
      <c r="H420" s="280"/>
      <c r="I420" s="228"/>
      <c r="J420" s="280"/>
      <c r="K420" s="203"/>
      <c r="L420" s="280"/>
      <c r="M420" s="228"/>
      <c r="N420" s="280"/>
      <c r="O420" s="203"/>
      <c r="P420" s="280">
        <v>6.31</v>
      </c>
      <c r="Q420" s="241">
        <f t="shared" si="223"/>
        <v>100</v>
      </c>
      <c r="R420" s="288">
        <f t="shared" si="224"/>
        <v>10</v>
      </c>
      <c r="S420" s="206">
        <f t="shared" si="225"/>
        <v>1004</v>
      </c>
      <c r="T420" s="228"/>
      <c r="U420" s="298"/>
      <c r="V420" s="208"/>
      <c r="W420" s="228">
        <f t="shared" si="228"/>
        <v>100</v>
      </c>
      <c r="X420" s="301">
        <v>5.5</v>
      </c>
      <c r="Y420" s="315">
        <f t="shared" si="229"/>
        <v>550</v>
      </c>
      <c r="Z420" s="176"/>
      <c r="AA420" s="137"/>
      <c r="AB420" s="175"/>
      <c r="AC420" s="228"/>
      <c r="AD420" s="312">
        <f t="shared" si="230"/>
        <v>4.5</v>
      </c>
      <c r="AE420" s="316">
        <f t="shared" si="231"/>
        <v>454</v>
      </c>
    </row>
    <row r="421" spans="1:32" hidden="1" outlineLevel="2" x14ac:dyDescent="0.35">
      <c r="A421" s="38"/>
      <c r="B421" s="328" t="s">
        <v>1271</v>
      </c>
      <c r="C421" s="126" t="s">
        <v>40</v>
      </c>
      <c r="D421" s="259">
        <v>6</v>
      </c>
      <c r="E421" s="38"/>
      <c r="F421" s="270">
        <f t="shared" si="222"/>
        <v>371</v>
      </c>
      <c r="G421" s="224">
        <v>2227.98</v>
      </c>
      <c r="H421" s="280"/>
      <c r="I421" s="228"/>
      <c r="J421" s="280"/>
      <c r="K421" s="203"/>
      <c r="L421" s="280"/>
      <c r="M421" s="228"/>
      <c r="N421" s="280"/>
      <c r="O421" s="203"/>
      <c r="P421" s="280">
        <v>6.31</v>
      </c>
      <c r="Q421" s="241">
        <f t="shared" si="223"/>
        <v>6</v>
      </c>
      <c r="R421" s="288">
        <f t="shared" si="224"/>
        <v>1863</v>
      </c>
      <c r="S421" s="206">
        <f t="shared" si="225"/>
        <v>11178</v>
      </c>
      <c r="T421" s="228"/>
      <c r="U421" s="298"/>
      <c r="V421" s="208"/>
      <c r="W421" s="228">
        <f t="shared" si="228"/>
        <v>6</v>
      </c>
      <c r="X421" s="301">
        <v>578</v>
      </c>
      <c r="Y421" s="315">
        <f t="shared" si="229"/>
        <v>3468</v>
      </c>
      <c r="Z421" s="176"/>
      <c r="AA421" s="137"/>
      <c r="AB421" s="175"/>
      <c r="AC421" s="228"/>
      <c r="AD421" s="312">
        <f t="shared" si="230"/>
        <v>1285</v>
      </c>
      <c r="AE421" s="316">
        <f t="shared" si="231"/>
        <v>7710</v>
      </c>
    </row>
    <row r="422" spans="1:32" ht="34.5" hidden="1" customHeight="1" outlineLevel="2" x14ac:dyDescent="0.35">
      <c r="A422" s="38"/>
      <c r="B422" s="310" t="s">
        <v>1272</v>
      </c>
      <c r="C422" s="126" t="s">
        <v>40</v>
      </c>
      <c r="D422" s="259">
        <v>1</v>
      </c>
      <c r="E422" s="178"/>
      <c r="F422" s="270">
        <f t="shared" si="222"/>
        <v>59</v>
      </c>
      <c r="G422" s="224">
        <v>58.77</v>
      </c>
      <c r="H422" s="281"/>
      <c r="I422" s="247"/>
      <c r="J422" s="281"/>
      <c r="K422" s="204"/>
      <c r="L422" s="281"/>
      <c r="M422" s="247"/>
      <c r="N422" s="281"/>
      <c r="O422" s="204"/>
      <c r="P422" s="280">
        <v>6.31</v>
      </c>
      <c r="Q422" s="241">
        <f t="shared" ref="Q422:Q423" si="238">D422-I422-M422</f>
        <v>1</v>
      </c>
      <c r="R422" s="288">
        <f t="shared" ref="R422:R423" si="239">ROUND(F422*P422*0.7958,0)</f>
        <v>296</v>
      </c>
      <c r="S422" s="206">
        <f t="shared" ref="S422:S423" si="240">ROUND(Q422*P422*F422*0.7958,0)</f>
        <v>296</v>
      </c>
      <c r="T422" s="228"/>
      <c r="U422" s="298"/>
      <c r="V422" s="208"/>
      <c r="W422" s="228">
        <f t="shared" si="228"/>
        <v>1</v>
      </c>
      <c r="X422" s="301">
        <v>49.6</v>
      </c>
      <c r="Y422" s="315">
        <f t="shared" si="229"/>
        <v>49.6</v>
      </c>
      <c r="Z422" s="176"/>
      <c r="AA422" s="137"/>
      <c r="AB422" s="175"/>
      <c r="AC422" s="228"/>
      <c r="AD422" s="312">
        <f t="shared" si="230"/>
        <v>246.4</v>
      </c>
      <c r="AE422" s="316">
        <f t="shared" si="231"/>
        <v>246.4</v>
      </c>
    </row>
    <row r="423" spans="1:32" ht="34.5" hidden="1" customHeight="1" outlineLevel="2" x14ac:dyDescent="0.35">
      <c r="A423" s="38"/>
      <c r="B423" s="310" t="s">
        <v>1273</v>
      </c>
      <c r="C423" s="126" t="s">
        <v>40</v>
      </c>
      <c r="D423" s="259">
        <v>1</v>
      </c>
      <c r="E423" s="178"/>
      <c r="F423" s="270">
        <f t="shared" si="222"/>
        <v>59</v>
      </c>
      <c r="G423" s="224">
        <v>58.77</v>
      </c>
      <c r="H423" s="281"/>
      <c r="I423" s="247"/>
      <c r="J423" s="281"/>
      <c r="K423" s="204"/>
      <c r="L423" s="281"/>
      <c r="M423" s="247"/>
      <c r="N423" s="281"/>
      <c r="O423" s="204"/>
      <c r="P423" s="280">
        <v>6.31</v>
      </c>
      <c r="Q423" s="241">
        <f t="shared" si="238"/>
        <v>1</v>
      </c>
      <c r="R423" s="288">
        <f t="shared" si="239"/>
        <v>296</v>
      </c>
      <c r="S423" s="206">
        <f t="shared" si="240"/>
        <v>296</v>
      </c>
      <c r="T423" s="228"/>
      <c r="U423" s="298"/>
      <c r="V423" s="208"/>
      <c r="W423" s="228">
        <f t="shared" si="228"/>
        <v>1</v>
      </c>
      <c r="X423" s="301">
        <v>247</v>
      </c>
      <c r="Y423" s="315">
        <f t="shared" si="229"/>
        <v>247</v>
      </c>
      <c r="Z423" s="176"/>
      <c r="AA423" s="137"/>
      <c r="AB423" s="175"/>
      <c r="AC423" s="228"/>
      <c r="AD423" s="312">
        <f t="shared" si="230"/>
        <v>49</v>
      </c>
      <c r="AE423" s="316">
        <f t="shared" si="231"/>
        <v>49</v>
      </c>
    </row>
    <row r="424" spans="1:32" ht="34.5" hidden="1" customHeight="1" outlineLevel="2" x14ac:dyDescent="0.35">
      <c r="A424" s="38"/>
      <c r="B424" s="310" t="s">
        <v>1274</v>
      </c>
      <c r="C424" s="126" t="s">
        <v>40</v>
      </c>
      <c r="D424" s="259">
        <v>44</v>
      </c>
      <c r="E424" s="38"/>
      <c r="F424" s="270">
        <f t="shared" si="222"/>
        <v>23</v>
      </c>
      <c r="G424" s="224">
        <f>22.77*44</f>
        <v>1001.88</v>
      </c>
      <c r="H424" s="280"/>
      <c r="I424" s="228"/>
      <c r="J424" s="280"/>
      <c r="K424" s="203"/>
      <c r="L424" s="280"/>
      <c r="M424" s="228"/>
      <c r="N424" s="280"/>
      <c r="O424" s="203"/>
      <c r="P424" s="280">
        <v>6.31</v>
      </c>
      <c r="Q424" s="241">
        <f t="shared" si="223"/>
        <v>44</v>
      </c>
      <c r="R424" s="288">
        <f t="shared" si="224"/>
        <v>115</v>
      </c>
      <c r="S424" s="206">
        <f t="shared" si="225"/>
        <v>5082</v>
      </c>
      <c r="T424" s="228"/>
      <c r="U424" s="298"/>
      <c r="V424" s="208"/>
      <c r="W424" s="228">
        <f t="shared" si="228"/>
        <v>44</v>
      </c>
      <c r="X424" s="301">
        <v>60</v>
      </c>
      <c r="Y424" s="315">
        <f t="shared" si="229"/>
        <v>2640</v>
      </c>
      <c r="Z424" s="176"/>
      <c r="AA424" s="137"/>
      <c r="AB424" s="175"/>
      <c r="AC424" s="228"/>
      <c r="AD424" s="312">
        <f t="shared" si="230"/>
        <v>55</v>
      </c>
      <c r="AE424" s="316">
        <f t="shared" si="231"/>
        <v>2442</v>
      </c>
    </row>
    <row r="425" spans="1:32" ht="34.5" hidden="1" customHeight="1" outlineLevel="2" x14ac:dyDescent="0.35">
      <c r="A425" s="38"/>
      <c r="B425" s="310" t="s">
        <v>1275</v>
      </c>
      <c r="C425" s="126" t="s">
        <v>40</v>
      </c>
      <c r="D425" s="259">
        <v>1</v>
      </c>
      <c r="E425" s="38"/>
      <c r="F425" s="270">
        <f t="shared" si="222"/>
        <v>23</v>
      </c>
      <c r="G425" s="224">
        <v>22.77</v>
      </c>
      <c r="H425" s="280"/>
      <c r="I425" s="228"/>
      <c r="J425" s="280"/>
      <c r="K425" s="203"/>
      <c r="L425" s="280"/>
      <c r="M425" s="228"/>
      <c r="N425" s="280"/>
      <c r="O425" s="203"/>
      <c r="P425" s="280">
        <v>6.31</v>
      </c>
      <c r="Q425" s="241">
        <f t="shared" si="223"/>
        <v>1</v>
      </c>
      <c r="R425" s="288">
        <f t="shared" si="224"/>
        <v>115</v>
      </c>
      <c r="S425" s="206">
        <f t="shared" si="225"/>
        <v>115</v>
      </c>
      <c r="T425" s="228"/>
      <c r="U425" s="298"/>
      <c r="V425" s="208"/>
      <c r="W425" s="228">
        <f t="shared" si="228"/>
        <v>1</v>
      </c>
      <c r="X425" s="301">
        <v>97</v>
      </c>
      <c r="Y425" s="315">
        <f t="shared" si="229"/>
        <v>97</v>
      </c>
      <c r="Z425" s="176"/>
      <c r="AA425" s="137"/>
      <c r="AB425" s="175"/>
      <c r="AC425" s="228"/>
      <c r="AD425" s="312">
        <f t="shared" si="230"/>
        <v>18</v>
      </c>
      <c r="AE425" s="316">
        <f t="shared" si="231"/>
        <v>18</v>
      </c>
    </row>
    <row r="426" spans="1:32" s="95" customFormat="1" hidden="1" outlineLevel="1" x14ac:dyDescent="0.3">
      <c r="A426" s="98"/>
      <c r="B426" s="160"/>
      <c r="C426" s="107"/>
      <c r="D426" s="253"/>
      <c r="E426" s="98"/>
      <c r="F426" s="154"/>
      <c r="G426" s="214"/>
      <c r="H426" s="154"/>
      <c r="I426" s="231"/>
      <c r="J426" s="154"/>
      <c r="K426" s="194"/>
      <c r="L426" s="154"/>
      <c r="M426" s="231"/>
      <c r="N426" s="154"/>
      <c r="O426" s="194"/>
      <c r="P426" s="154"/>
      <c r="Q426" s="231"/>
      <c r="R426" s="286"/>
      <c r="S426" s="194"/>
      <c r="T426" s="231"/>
      <c r="U426" s="155"/>
      <c r="V426" s="194"/>
      <c r="W426" s="231"/>
      <c r="X426" s="155"/>
      <c r="Y426" s="194"/>
      <c r="Z426" s="157"/>
      <c r="AA426" s="156"/>
      <c r="AB426" s="156"/>
      <c r="AC426" s="194"/>
      <c r="AD426" s="155"/>
      <c r="AE426" s="194"/>
    </row>
    <row r="427" spans="1:32" ht="44.25" hidden="1" customHeight="1" outlineLevel="1" x14ac:dyDescent="0.3">
      <c r="A427" s="399"/>
      <c r="B427" s="1082" t="s">
        <v>1327</v>
      </c>
      <c r="C427" s="1083"/>
      <c r="D427" s="1083"/>
      <c r="E427" s="1083"/>
      <c r="F427" s="1084"/>
      <c r="G427" s="333">
        <f>SUM(G428:G451)</f>
        <v>37591.120000000003</v>
      </c>
      <c r="H427" s="320"/>
      <c r="I427" s="320"/>
      <c r="J427" s="320"/>
      <c r="K427" s="321"/>
      <c r="L427" s="320"/>
      <c r="M427" s="320"/>
      <c r="N427" s="320"/>
      <c r="O427" s="321"/>
      <c r="P427" s="320"/>
      <c r="Q427" s="320"/>
      <c r="R427" s="320"/>
      <c r="S427" s="321">
        <f>SUM(S428:S451)</f>
        <v>189944</v>
      </c>
      <c r="T427" s="320"/>
      <c r="U427" s="322"/>
      <c r="V427" s="321"/>
      <c r="W427" s="320"/>
      <c r="X427" s="322"/>
      <c r="Y427" s="321">
        <f>SUM(Y428:Y451)</f>
        <v>171575.79396000001</v>
      </c>
      <c r="Z427" s="322"/>
      <c r="AA427" s="322"/>
      <c r="AB427" s="322"/>
      <c r="AC427" s="322"/>
      <c r="AD427" s="322"/>
      <c r="AE427" s="325">
        <f>SUM(AE428:AE451)</f>
        <v>18368.206039999997</v>
      </c>
      <c r="AF427" s="326">
        <f>AE427/S427</f>
        <v>9.6703270648191036E-2</v>
      </c>
    </row>
    <row r="428" spans="1:32" hidden="1" outlineLevel="2" x14ac:dyDescent="0.35">
      <c r="A428" s="179"/>
      <c r="B428" s="310" t="s">
        <v>1228</v>
      </c>
      <c r="C428" s="126" t="s">
        <v>20</v>
      </c>
      <c r="D428" s="259">
        <v>0.3</v>
      </c>
      <c r="E428" s="38"/>
      <c r="F428" s="270">
        <f t="shared" ref="F428:F449" si="241">ROUND(G428/D428,0)</f>
        <v>40</v>
      </c>
      <c r="G428" s="224">
        <v>12.08</v>
      </c>
      <c r="H428" s="280"/>
      <c r="I428" s="228"/>
      <c r="J428" s="280"/>
      <c r="K428" s="203"/>
      <c r="L428" s="280"/>
      <c r="M428" s="228"/>
      <c r="N428" s="280"/>
      <c r="O428" s="203"/>
      <c r="P428" s="280">
        <v>6.31</v>
      </c>
      <c r="Q428" s="241">
        <f t="shared" ref="Q428:Q449" si="242">D428-I428-M428</f>
        <v>0.3</v>
      </c>
      <c r="R428" s="288">
        <f t="shared" ref="R428:R449" si="243">ROUND(F428*P428*0.7958,0)</f>
        <v>201</v>
      </c>
      <c r="S428" s="206">
        <f t="shared" ref="S428:S449" si="244">ROUND(Q428*P428*F428*0.7958,0)</f>
        <v>60</v>
      </c>
      <c r="T428" s="228"/>
      <c r="U428" s="298"/>
      <c r="V428" s="208"/>
      <c r="W428" s="228">
        <v>0.3</v>
      </c>
      <c r="X428" s="298">
        <v>470.83</v>
      </c>
      <c r="Y428" s="208">
        <f>W428*X428</f>
        <v>141.249</v>
      </c>
      <c r="Z428" s="176"/>
      <c r="AA428" s="137"/>
      <c r="AB428" s="175"/>
      <c r="AC428" s="228"/>
      <c r="AD428" s="313">
        <f>R428-X428</f>
        <v>-269.83</v>
      </c>
      <c r="AE428" s="317">
        <f>S428-Y428</f>
        <v>-81.248999999999995</v>
      </c>
    </row>
    <row r="429" spans="1:32" ht="21" hidden="1" customHeight="1" outlineLevel="2" x14ac:dyDescent="0.35">
      <c r="A429" s="179"/>
      <c r="B429" s="328" t="s">
        <v>332</v>
      </c>
      <c r="C429" s="126" t="s">
        <v>17</v>
      </c>
      <c r="D429" s="259">
        <v>7.2800000000000004E-2</v>
      </c>
      <c r="E429" s="38"/>
      <c r="F429" s="270">
        <f t="shared" si="241"/>
        <v>644</v>
      </c>
      <c r="G429" s="224">
        <v>46.85</v>
      </c>
      <c r="H429" s="280"/>
      <c r="I429" s="228"/>
      <c r="J429" s="280"/>
      <c r="K429" s="203"/>
      <c r="L429" s="280"/>
      <c r="M429" s="228"/>
      <c r="N429" s="280"/>
      <c r="O429" s="203"/>
      <c r="P429" s="280">
        <v>6.31</v>
      </c>
      <c r="Q429" s="241">
        <f t="shared" si="242"/>
        <v>7.2800000000000004E-2</v>
      </c>
      <c r="R429" s="288">
        <f t="shared" si="243"/>
        <v>3234</v>
      </c>
      <c r="S429" s="206">
        <f t="shared" si="244"/>
        <v>235</v>
      </c>
      <c r="T429" s="228"/>
      <c r="U429" s="298"/>
      <c r="V429" s="208"/>
      <c r="W429" s="228">
        <v>7.2800000000000004E-2</v>
      </c>
      <c r="X429" s="391">
        <v>3200</v>
      </c>
      <c r="Y429" s="208">
        <f t="shared" ref="Y429:Y451" si="245">W429*X429</f>
        <v>232.96</v>
      </c>
      <c r="Z429" s="176"/>
      <c r="AA429" s="137"/>
      <c r="AB429" s="175"/>
      <c r="AC429" s="228"/>
      <c r="AD429" s="314">
        <f t="shared" ref="AD429:AD451" si="246">R429-X429</f>
        <v>34</v>
      </c>
      <c r="AE429" s="317">
        <f t="shared" ref="AE429:AE451" si="247">S429-Y429</f>
        <v>2.039999999999992</v>
      </c>
    </row>
    <row r="430" spans="1:32" hidden="1" outlineLevel="2" x14ac:dyDescent="0.35">
      <c r="A430" s="179"/>
      <c r="B430" s="310" t="s">
        <v>1319</v>
      </c>
      <c r="C430" s="126" t="s">
        <v>40</v>
      </c>
      <c r="D430" s="259">
        <v>50</v>
      </c>
      <c r="E430" s="38"/>
      <c r="F430" s="270">
        <f t="shared" si="241"/>
        <v>1</v>
      </c>
      <c r="G430" s="224">
        <v>71.7</v>
      </c>
      <c r="H430" s="280"/>
      <c r="I430" s="228"/>
      <c r="J430" s="280"/>
      <c r="K430" s="203"/>
      <c r="L430" s="280"/>
      <c r="M430" s="228"/>
      <c r="N430" s="280"/>
      <c r="O430" s="203"/>
      <c r="P430" s="280">
        <v>6.31</v>
      </c>
      <c r="Q430" s="241">
        <f t="shared" si="242"/>
        <v>50</v>
      </c>
      <c r="R430" s="288">
        <f t="shared" si="243"/>
        <v>5</v>
      </c>
      <c r="S430" s="206">
        <f t="shared" si="244"/>
        <v>251</v>
      </c>
      <c r="T430" s="228"/>
      <c r="U430" s="298"/>
      <c r="V430" s="208"/>
      <c r="W430" s="228">
        <v>50</v>
      </c>
      <c r="X430" s="301">
        <v>1245</v>
      </c>
      <c r="Y430" s="315">
        <f t="shared" si="245"/>
        <v>62250</v>
      </c>
      <c r="Z430" s="176"/>
      <c r="AA430" s="137"/>
      <c r="AB430" s="175"/>
      <c r="AC430" s="228"/>
      <c r="AD430" s="314">
        <f t="shared" si="246"/>
        <v>-1240</v>
      </c>
      <c r="AE430" s="317">
        <f t="shared" si="247"/>
        <v>-61999</v>
      </c>
    </row>
    <row r="431" spans="1:32" hidden="1" outlineLevel="2" x14ac:dyDescent="0.35">
      <c r="A431" s="179"/>
      <c r="B431" s="310" t="s">
        <v>1229</v>
      </c>
      <c r="C431" s="126" t="s">
        <v>40</v>
      </c>
      <c r="D431" s="259">
        <v>10</v>
      </c>
      <c r="E431" s="38"/>
      <c r="F431" s="270">
        <f t="shared" si="241"/>
        <v>44</v>
      </c>
      <c r="G431" s="224">
        <v>436.1</v>
      </c>
      <c r="H431" s="280"/>
      <c r="I431" s="228"/>
      <c r="J431" s="280"/>
      <c r="K431" s="203"/>
      <c r="L431" s="280"/>
      <c r="M431" s="228"/>
      <c r="N431" s="280"/>
      <c r="O431" s="203"/>
      <c r="P431" s="280">
        <v>6.31</v>
      </c>
      <c r="Q431" s="241">
        <f t="shared" si="242"/>
        <v>10</v>
      </c>
      <c r="R431" s="288">
        <f t="shared" si="243"/>
        <v>221</v>
      </c>
      <c r="S431" s="206">
        <f t="shared" si="244"/>
        <v>2209</v>
      </c>
      <c r="T431" s="228"/>
      <c r="U431" s="298"/>
      <c r="V431" s="208"/>
      <c r="W431" s="228">
        <v>10</v>
      </c>
      <c r="X431" s="301">
        <v>110</v>
      </c>
      <c r="Y431" s="315">
        <f t="shared" si="245"/>
        <v>1100</v>
      </c>
      <c r="Z431" s="176"/>
      <c r="AA431" s="137"/>
      <c r="AB431" s="175"/>
      <c r="AC431" s="228"/>
      <c r="AD431" s="312">
        <f t="shared" si="246"/>
        <v>111</v>
      </c>
      <c r="AE431" s="316">
        <f t="shared" si="247"/>
        <v>1109</v>
      </c>
    </row>
    <row r="432" spans="1:32" hidden="1" outlineLevel="2" x14ac:dyDescent="0.35">
      <c r="A432" s="179"/>
      <c r="B432" s="328" t="s">
        <v>1317</v>
      </c>
      <c r="C432" s="126" t="s">
        <v>5</v>
      </c>
      <c r="D432" s="259">
        <v>1030</v>
      </c>
      <c r="E432" s="38"/>
      <c r="F432" s="270">
        <f t="shared" si="241"/>
        <v>14</v>
      </c>
      <c r="G432" s="224">
        <v>14183.3</v>
      </c>
      <c r="H432" s="280"/>
      <c r="I432" s="228"/>
      <c r="J432" s="280"/>
      <c r="K432" s="203"/>
      <c r="L432" s="280"/>
      <c r="M432" s="228"/>
      <c r="N432" s="280"/>
      <c r="O432" s="203"/>
      <c r="P432" s="280">
        <v>6.31</v>
      </c>
      <c r="Q432" s="241">
        <f t="shared" si="242"/>
        <v>1030</v>
      </c>
      <c r="R432" s="288">
        <f t="shared" si="243"/>
        <v>70</v>
      </c>
      <c r="S432" s="206">
        <f t="shared" si="244"/>
        <v>72410</v>
      </c>
      <c r="T432" s="228"/>
      <c r="U432" s="298"/>
      <c r="V432" s="208"/>
      <c r="W432" s="369">
        <f>D432</f>
        <v>1030</v>
      </c>
      <c r="X432" s="301">
        <v>16.3</v>
      </c>
      <c r="Y432" s="315">
        <f t="shared" si="245"/>
        <v>16789</v>
      </c>
      <c r="Z432" s="176"/>
      <c r="AA432" s="137"/>
      <c r="AB432" s="175"/>
      <c r="AC432" s="228"/>
      <c r="AD432" s="312">
        <f t="shared" si="246"/>
        <v>53.7</v>
      </c>
      <c r="AE432" s="316">
        <f t="shared" si="247"/>
        <v>55621</v>
      </c>
    </row>
    <row r="433" spans="1:31" hidden="1" outlineLevel="2" x14ac:dyDescent="0.35">
      <c r="A433" s="179"/>
      <c r="B433" s="328" t="s">
        <v>1230</v>
      </c>
      <c r="C433" s="126" t="s">
        <v>5</v>
      </c>
      <c r="D433" s="259">
        <v>340</v>
      </c>
      <c r="E433" s="38"/>
      <c r="F433" s="270">
        <f t="shared" si="241"/>
        <v>27</v>
      </c>
      <c r="G433" s="224">
        <v>9231.9699999999993</v>
      </c>
      <c r="H433" s="280"/>
      <c r="I433" s="228"/>
      <c r="J433" s="280"/>
      <c r="K433" s="203"/>
      <c r="L433" s="280"/>
      <c r="M433" s="228"/>
      <c r="N433" s="280"/>
      <c r="O433" s="203"/>
      <c r="P433" s="280">
        <v>6.31</v>
      </c>
      <c r="Q433" s="241">
        <f t="shared" si="242"/>
        <v>340</v>
      </c>
      <c r="R433" s="288">
        <f t="shared" si="243"/>
        <v>136</v>
      </c>
      <c r="S433" s="206">
        <f t="shared" si="244"/>
        <v>46097</v>
      </c>
      <c r="T433" s="228"/>
      <c r="U433" s="298"/>
      <c r="V433" s="208"/>
      <c r="W433" s="369">
        <f t="shared" ref="W433:W451" si="248">D433</f>
        <v>340</v>
      </c>
      <c r="X433" s="301">
        <v>47</v>
      </c>
      <c r="Y433" s="315">
        <f t="shared" si="245"/>
        <v>15980</v>
      </c>
      <c r="Z433" s="176"/>
      <c r="AA433" s="137"/>
      <c r="AB433" s="175"/>
      <c r="AC433" s="228"/>
      <c r="AD433" s="312">
        <f t="shared" si="246"/>
        <v>89</v>
      </c>
      <c r="AE433" s="316">
        <f t="shared" si="247"/>
        <v>30117</v>
      </c>
    </row>
    <row r="434" spans="1:31" hidden="1" outlineLevel="2" x14ac:dyDescent="0.35">
      <c r="A434" s="179"/>
      <c r="B434" s="328" t="s">
        <v>1320</v>
      </c>
      <c r="C434" s="126" t="s">
        <v>37</v>
      </c>
      <c r="D434" s="259">
        <v>0.45600000000000002</v>
      </c>
      <c r="E434" s="38"/>
      <c r="F434" s="270">
        <f>ROUND(G434/D434,0)</f>
        <v>31</v>
      </c>
      <c r="G434" s="224">
        <v>14.12</v>
      </c>
      <c r="H434" s="280"/>
      <c r="I434" s="228"/>
      <c r="J434" s="280"/>
      <c r="K434" s="203"/>
      <c r="L434" s="280"/>
      <c r="M434" s="228"/>
      <c r="N434" s="280"/>
      <c r="O434" s="203"/>
      <c r="P434" s="280">
        <v>6.31</v>
      </c>
      <c r="Q434" s="241">
        <f t="shared" si="242"/>
        <v>0.45600000000000002</v>
      </c>
      <c r="R434" s="288">
        <f t="shared" si="243"/>
        <v>156</v>
      </c>
      <c r="S434" s="206">
        <f t="shared" si="244"/>
        <v>71</v>
      </c>
      <c r="T434" s="228"/>
      <c r="U434" s="298"/>
      <c r="V434" s="208"/>
      <c r="W434" s="369">
        <f t="shared" si="248"/>
        <v>0.45600000000000002</v>
      </c>
      <c r="X434" s="301">
        <v>45</v>
      </c>
      <c r="Y434" s="208">
        <f t="shared" si="245"/>
        <v>20.52</v>
      </c>
      <c r="Z434" s="176"/>
      <c r="AA434" s="137"/>
      <c r="AB434" s="175"/>
      <c r="AC434" s="228"/>
      <c r="AD434" s="312">
        <f t="shared" si="246"/>
        <v>111</v>
      </c>
      <c r="AE434" s="316">
        <f t="shared" si="247"/>
        <v>50.480000000000004</v>
      </c>
    </row>
    <row r="435" spans="1:31" hidden="1" outlineLevel="2" x14ac:dyDescent="0.35">
      <c r="A435" s="38"/>
      <c r="B435" s="328" t="s">
        <v>1321</v>
      </c>
      <c r="C435" s="126" t="s">
        <v>28</v>
      </c>
      <c r="D435" s="259">
        <v>1.4999999999999999E-2</v>
      </c>
      <c r="E435" s="38"/>
      <c r="F435" s="270">
        <f t="shared" si="241"/>
        <v>11573</v>
      </c>
      <c r="G435" s="224">
        <v>173.59</v>
      </c>
      <c r="H435" s="280"/>
      <c r="I435" s="228"/>
      <c r="J435" s="280"/>
      <c r="K435" s="203"/>
      <c r="L435" s="280"/>
      <c r="M435" s="228"/>
      <c r="N435" s="280"/>
      <c r="O435" s="203"/>
      <c r="P435" s="280">
        <v>6.31</v>
      </c>
      <c r="Q435" s="241">
        <f t="shared" si="242"/>
        <v>1.4999999999999999E-2</v>
      </c>
      <c r="R435" s="288">
        <f t="shared" si="243"/>
        <v>58114</v>
      </c>
      <c r="S435" s="206">
        <f t="shared" si="244"/>
        <v>872</v>
      </c>
      <c r="T435" s="228"/>
      <c r="U435" s="298"/>
      <c r="V435" s="208"/>
      <c r="W435" s="369">
        <f t="shared" si="248"/>
        <v>1.4999999999999999E-2</v>
      </c>
      <c r="X435" s="301">
        <v>135525</v>
      </c>
      <c r="Y435" s="315">
        <f t="shared" si="245"/>
        <v>2032.875</v>
      </c>
      <c r="Z435" s="176"/>
      <c r="AA435" s="137"/>
      <c r="AB435" s="175"/>
      <c r="AC435" s="228"/>
      <c r="AD435" s="314">
        <f t="shared" si="246"/>
        <v>-77411</v>
      </c>
      <c r="AE435" s="317">
        <f t="shared" si="247"/>
        <v>-1160.875</v>
      </c>
    </row>
    <row r="436" spans="1:31" hidden="1" outlineLevel="2" x14ac:dyDescent="0.35">
      <c r="A436" s="179"/>
      <c r="B436" s="328" t="s">
        <v>1316</v>
      </c>
      <c r="C436" s="126" t="s">
        <v>16</v>
      </c>
      <c r="D436" s="259">
        <v>3.5569999999999999</v>
      </c>
      <c r="E436" s="38"/>
      <c r="F436" s="270">
        <f t="shared" si="241"/>
        <v>33</v>
      </c>
      <c r="G436" s="224">
        <v>118.91</v>
      </c>
      <c r="H436" s="280"/>
      <c r="I436" s="228"/>
      <c r="J436" s="280"/>
      <c r="K436" s="203"/>
      <c r="L436" s="280"/>
      <c r="M436" s="228"/>
      <c r="N436" s="280"/>
      <c r="O436" s="203"/>
      <c r="P436" s="280">
        <v>6.31</v>
      </c>
      <c r="Q436" s="241">
        <f t="shared" si="242"/>
        <v>3.5569999999999999</v>
      </c>
      <c r="R436" s="288">
        <f t="shared" si="243"/>
        <v>166</v>
      </c>
      <c r="S436" s="206">
        <f t="shared" si="244"/>
        <v>589</v>
      </c>
      <c r="T436" s="228"/>
      <c r="U436" s="298"/>
      <c r="V436" s="208"/>
      <c r="W436" s="369">
        <f t="shared" si="248"/>
        <v>3.5569999999999999</v>
      </c>
      <c r="X436" s="301">
        <v>110</v>
      </c>
      <c r="Y436" s="208">
        <f t="shared" si="245"/>
        <v>391.27</v>
      </c>
      <c r="Z436" s="176"/>
      <c r="AA436" s="137"/>
      <c r="AB436" s="175"/>
      <c r="AC436" s="228"/>
      <c r="AD436" s="312">
        <f t="shared" si="246"/>
        <v>56</v>
      </c>
      <c r="AE436" s="316">
        <f t="shared" si="247"/>
        <v>197.73000000000002</v>
      </c>
    </row>
    <row r="437" spans="1:31" hidden="1" outlineLevel="2" x14ac:dyDescent="0.35">
      <c r="A437" s="179"/>
      <c r="B437" s="328" t="s">
        <v>1213</v>
      </c>
      <c r="C437" s="126" t="s">
        <v>40</v>
      </c>
      <c r="D437" s="259">
        <v>19</v>
      </c>
      <c r="E437" s="38"/>
      <c r="F437" s="270">
        <f t="shared" si="241"/>
        <v>62</v>
      </c>
      <c r="G437" s="224">
        <v>1183.1300000000001</v>
      </c>
      <c r="H437" s="280"/>
      <c r="I437" s="228"/>
      <c r="J437" s="280"/>
      <c r="K437" s="203"/>
      <c r="L437" s="280"/>
      <c r="M437" s="228"/>
      <c r="N437" s="280"/>
      <c r="O437" s="203"/>
      <c r="P437" s="280">
        <v>6.31</v>
      </c>
      <c r="Q437" s="241">
        <f t="shared" si="242"/>
        <v>19</v>
      </c>
      <c r="R437" s="288">
        <f t="shared" si="243"/>
        <v>311</v>
      </c>
      <c r="S437" s="206">
        <f t="shared" si="244"/>
        <v>5915</v>
      </c>
      <c r="T437" s="228"/>
      <c r="U437" s="298"/>
      <c r="V437" s="208"/>
      <c r="W437" s="369">
        <f t="shared" si="248"/>
        <v>19</v>
      </c>
      <c r="X437" s="301">
        <v>127</v>
      </c>
      <c r="Y437" s="315">
        <f t="shared" si="245"/>
        <v>2413</v>
      </c>
      <c r="Z437" s="176"/>
      <c r="AA437" s="137"/>
      <c r="AB437" s="175"/>
      <c r="AC437" s="228"/>
      <c r="AD437" s="312">
        <f t="shared" si="246"/>
        <v>184</v>
      </c>
      <c r="AE437" s="316">
        <f t="shared" si="247"/>
        <v>3502</v>
      </c>
    </row>
    <row r="438" spans="1:31" hidden="1" outlineLevel="2" x14ac:dyDescent="0.35">
      <c r="A438" s="179"/>
      <c r="B438" s="328" t="s">
        <v>1231</v>
      </c>
      <c r="C438" s="126" t="s">
        <v>40</v>
      </c>
      <c r="D438" s="259">
        <v>2</v>
      </c>
      <c r="E438" s="38"/>
      <c r="F438" s="270">
        <f t="shared" si="241"/>
        <v>3</v>
      </c>
      <c r="G438" s="224">
        <v>5.62</v>
      </c>
      <c r="H438" s="280"/>
      <c r="I438" s="228"/>
      <c r="J438" s="280"/>
      <c r="K438" s="203"/>
      <c r="L438" s="280"/>
      <c r="M438" s="228"/>
      <c r="N438" s="280"/>
      <c r="O438" s="203"/>
      <c r="P438" s="280">
        <v>6.31</v>
      </c>
      <c r="Q438" s="241">
        <f t="shared" si="242"/>
        <v>2</v>
      </c>
      <c r="R438" s="288">
        <f t="shared" si="243"/>
        <v>15</v>
      </c>
      <c r="S438" s="206">
        <f t="shared" si="244"/>
        <v>30</v>
      </c>
      <c r="T438" s="228"/>
      <c r="U438" s="298"/>
      <c r="V438" s="208"/>
      <c r="W438" s="369">
        <f t="shared" si="248"/>
        <v>2</v>
      </c>
      <c r="X438" s="298">
        <v>17.36</v>
      </c>
      <c r="Y438" s="208">
        <f t="shared" si="245"/>
        <v>34.72</v>
      </c>
      <c r="Z438" s="176"/>
      <c r="AA438" s="137"/>
      <c r="AB438" s="175"/>
      <c r="AC438" s="228"/>
      <c r="AD438" s="313">
        <f t="shared" si="246"/>
        <v>-2.3599999999999994</v>
      </c>
      <c r="AE438" s="317">
        <f t="shared" si="247"/>
        <v>-4.7199999999999989</v>
      </c>
    </row>
    <row r="439" spans="1:31" hidden="1" outlineLevel="2" x14ac:dyDescent="0.35">
      <c r="A439" s="38"/>
      <c r="B439" s="328" t="s">
        <v>437</v>
      </c>
      <c r="C439" s="126" t="s">
        <v>40</v>
      </c>
      <c r="D439" s="259">
        <v>24</v>
      </c>
      <c r="E439" s="38"/>
      <c r="F439" s="270">
        <f t="shared" si="241"/>
        <v>4</v>
      </c>
      <c r="G439" s="224">
        <v>88.08</v>
      </c>
      <c r="H439" s="280"/>
      <c r="I439" s="228"/>
      <c r="J439" s="280"/>
      <c r="K439" s="203"/>
      <c r="L439" s="280"/>
      <c r="M439" s="228"/>
      <c r="N439" s="280"/>
      <c r="O439" s="203"/>
      <c r="P439" s="280">
        <v>6.31</v>
      </c>
      <c r="Q439" s="241">
        <f t="shared" si="242"/>
        <v>24</v>
      </c>
      <c r="R439" s="288">
        <f t="shared" si="243"/>
        <v>20</v>
      </c>
      <c r="S439" s="206">
        <f t="shared" si="244"/>
        <v>482</v>
      </c>
      <c r="T439" s="228"/>
      <c r="U439" s="298"/>
      <c r="V439" s="208"/>
      <c r="W439" s="369">
        <f t="shared" si="248"/>
        <v>24</v>
      </c>
      <c r="X439" s="301">
        <v>39</v>
      </c>
      <c r="Y439" s="315">
        <f t="shared" si="245"/>
        <v>936</v>
      </c>
      <c r="Z439" s="176"/>
      <c r="AA439" s="137"/>
      <c r="AB439" s="175"/>
      <c r="AC439" s="228"/>
      <c r="AD439" s="314">
        <f t="shared" si="246"/>
        <v>-19</v>
      </c>
      <c r="AE439" s="317">
        <f t="shared" si="247"/>
        <v>-454</v>
      </c>
    </row>
    <row r="440" spans="1:31" ht="33.75" hidden="1" customHeight="1" outlineLevel="2" x14ac:dyDescent="0.35">
      <c r="A440" s="179"/>
      <c r="B440" s="310" t="s">
        <v>1232</v>
      </c>
      <c r="C440" s="126" t="s">
        <v>40</v>
      </c>
      <c r="D440" s="259">
        <v>10</v>
      </c>
      <c r="E440" s="38"/>
      <c r="F440" s="270">
        <f t="shared" si="241"/>
        <v>18</v>
      </c>
      <c r="G440" s="224">
        <v>177</v>
      </c>
      <c r="H440" s="280"/>
      <c r="I440" s="228"/>
      <c r="J440" s="280"/>
      <c r="K440" s="203"/>
      <c r="L440" s="280"/>
      <c r="M440" s="228"/>
      <c r="N440" s="280"/>
      <c r="O440" s="203"/>
      <c r="P440" s="280">
        <v>6.31</v>
      </c>
      <c r="Q440" s="241">
        <f t="shared" si="242"/>
        <v>10</v>
      </c>
      <c r="R440" s="288">
        <f t="shared" si="243"/>
        <v>90</v>
      </c>
      <c r="S440" s="206">
        <f t="shared" si="244"/>
        <v>904</v>
      </c>
      <c r="T440" s="228"/>
      <c r="U440" s="298"/>
      <c r="V440" s="208"/>
      <c r="W440" s="369">
        <f t="shared" si="248"/>
        <v>10</v>
      </c>
      <c r="X440" s="298">
        <v>60.14</v>
      </c>
      <c r="Y440" s="208">
        <f t="shared" si="245"/>
        <v>601.4</v>
      </c>
      <c r="Z440" s="176"/>
      <c r="AA440" s="137"/>
      <c r="AB440" s="175"/>
      <c r="AC440" s="228"/>
      <c r="AD440" s="311">
        <f t="shared" si="246"/>
        <v>29.86</v>
      </c>
      <c r="AE440" s="316">
        <f t="shared" si="247"/>
        <v>302.60000000000002</v>
      </c>
    </row>
    <row r="441" spans="1:31" hidden="1" outlineLevel="2" x14ac:dyDescent="0.35">
      <c r="A441" s="179"/>
      <c r="B441" s="328" t="s">
        <v>1233</v>
      </c>
      <c r="C441" s="126" t="s">
        <v>1208</v>
      </c>
      <c r="D441" s="259">
        <v>1.4999999999999999E-2</v>
      </c>
      <c r="E441" s="38"/>
      <c r="F441" s="270">
        <f t="shared" si="241"/>
        <v>8737</v>
      </c>
      <c r="G441" s="224">
        <v>131.05000000000001</v>
      </c>
      <c r="H441" s="280"/>
      <c r="I441" s="228"/>
      <c r="J441" s="280"/>
      <c r="K441" s="203"/>
      <c r="L441" s="280"/>
      <c r="M441" s="228"/>
      <c r="N441" s="280"/>
      <c r="O441" s="203"/>
      <c r="P441" s="280">
        <v>6.31</v>
      </c>
      <c r="Q441" s="241">
        <f t="shared" si="242"/>
        <v>1.4999999999999999E-2</v>
      </c>
      <c r="R441" s="288">
        <f t="shared" si="243"/>
        <v>43873</v>
      </c>
      <c r="S441" s="206">
        <f t="shared" si="244"/>
        <v>658</v>
      </c>
      <c r="T441" s="228"/>
      <c r="U441" s="298"/>
      <c r="V441" s="208"/>
      <c r="W441" s="369">
        <f t="shared" si="248"/>
        <v>1.4999999999999999E-2</v>
      </c>
      <c r="X441" s="301">
        <v>112000</v>
      </c>
      <c r="Y441" s="315">
        <f t="shared" si="245"/>
        <v>1680</v>
      </c>
      <c r="Z441" s="176"/>
      <c r="AA441" s="137"/>
      <c r="AB441" s="175"/>
      <c r="AC441" s="228"/>
      <c r="AD441" s="314">
        <f t="shared" si="246"/>
        <v>-68127</v>
      </c>
      <c r="AE441" s="317">
        <f t="shared" si="247"/>
        <v>-1022</v>
      </c>
    </row>
    <row r="442" spans="1:31" hidden="1" outlineLevel="2" x14ac:dyDescent="0.35">
      <c r="A442" s="179"/>
      <c r="B442" s="328" t="s">
        <v>1214</v>
      </c>
      <c r="C442" s="126" t="s">
        <v>1207</v>
      </c>
      <c r="D442" s="259">
        <v>0.46800000000000003</v>
      </c>
      <c r="E442" s="38"/>
      <c r="F442" s="270">
        <f t="shared" si="241"/>
        <v>142</v>
      </c>
      <c r="G442" s="224">
        <v>66.31</v>
      </c>
      <c r="H442" s="280"/>
      <c r="I442" s="228"/>
      <c r="J442" s="280"/>
      <c r="K442" s="203"/>
      <c r="L442" s="280"/>
      <c r="M442" s="228"/>
      <c r="N442" s="280"/>
      <c r="O442" s="203"/>
      <c r="P442" s="280">
        <v>6.31</v>
      </c>
      <c r="Q442" s="241">
        <f t="shared" si="242"/>
        <v>0.46800000000000003</v>
      </c>
      <c r="R442" s="288">
        <f t="shared" si="243"/>
        <v>713</v>
      </c>
      <c r="S442" s="206">
        <f t="shared" si="244"/>
        <v>334</v>
      </c>
      <c r="T442" s="228"/>
      <c r="U442" s="298"/>
      <c r="V442" s="208"/>
      <c r="W442" s="369">
        <f t="shared" si="248"/>
        <v>0.46800000000000003</v>
      </c>
      <c r="X442" s="298">
        <v>887.97</v>
      </c>
      <c r="Y442" s="208">
        <f t="shared" si="245"/>
        <v>415.56996000000004</v>
      </c>
      <c r="Z442" s="176"/>
      <c r="AA442" s="137"/>
      <c r="AB442" s="175"/>
      <c r="AC442" s="228"/>
      <c r="AD442" s="313">
        <f t="shared" si="246"/>
        <v>-174.97000000000003</v>
      </c>
      <c r="AE442" s="317">
        <f t="shared" si="247"/>
        <v>-81.569960000000037</v>
      </c>
    </row>
    <row r="443" spans="1:31" hidden="1" outlineLevel="2" x14ac:dyDescent="0.35">
      <c r="A443" s="179"/>
      <c r="B443" s="328" t="s">
        <v>1234</v>
      </c>
      <c r="C443" s="126" t="s">
        <v>40</v>
      </c>
      <c r="D443" s="259">
        <v>24</v>
      </c>
      <c r="E443" s="38"/>
      <c r="F443" s="270">
        <f t="shared" si="241"/>
        <v>3</v>
      </c>
      <c r="G443" s="224">
        <v>74.400000000000006</v>
      </c>
      <c r="H443" s="280"/>
      <c r="I443" s="228"/>
      <c r="J443" s="280"/>
      <c r="K443" s="203"/>
      <c r="L443" s="280"/>
      <c r="M443" s="228"/>
      <c r="N443" s="280"/>
      <c r="O443" s="203"/>
      <c r="P443" s="280">
        <v>6.31</v>
      </c>
      <c r="Q443" s="241">
        <f t="shared" si="242"/>
        <v>24</v>
      </c>
      <c r="R443" s="288">
        <f t="shared" si="243"/>
        <v>15</v>
      </c>
      <c r="S443" s="206">
        <f t="shared" si="244"/>
        <v>362</v>
      </c>
      <c r="T443" s="228"/>
      <c r="U443" s="298"/>
      <c r="V443" s="208"/>
      <c r="W443" s="369">
        <f t="shared" si="248"/>
        <v>24</v>
      </c>
      <c r="X443" s="298">
        <v>52.5</v>
      </c>
      <c r="Y443" s="315">
        <f t="shared" si="245"/>
        <v>1260</v>
      </c>
      <c r="Z443" s="176"/>
      <c r="AA443" s="137"/>
      <c r="AB443" s="175"/>
      <c r="AC443" s="228"/>
      <c r="AD443" s="314">
        <f t="shared" si="246"/>
        <v>-37.5</v>
      </c>
      <c r="AE443" s="317">
        <f t="shared" si="247"/>
        <v>-898</v>
      </c>
    </row>
    <row r="444" spans="1:31" hidden="1" outlineLevel="2" x14ac:dyDescent="0.35">
      <c r="A444" s="179"/>
      <c r="B444" s="328" t="s">
        <v>1318</v>
      </c>
      <c r="C444" s="126" t="s">
        <v>28</v>
      </c>
      <c r="D444" s="259">
        <v>4.82E-2</v>
      </c>
      <c r="E444" s="38"/>
      <c r="F444" s="270">
        <f t="shared" si="241"/>
        <v>5501</v>
      </c>
      <c r="G444" s="224">
        <v>265.14</v>
      </c>
      <c r="H444" s="280"/>
      <c r="I444" s="228"/>
      <c r="J444" s="280"/>
      <c r="K444" s="203"/>
      <c r="L444" s="280"/>
      <c r="M444" s="228"/>
      <c r="N444" s="280"/>
      <c r="O444" s="203"/>
      <c r="P444" s="280">
        <v>6.31</v>
      </c>
      <c r="Q444" s="241">
        <f t="shared" si="242"/>
        <v>4.82E-2</v>
      </c>
      <c r="R444" s="288">
        <f t="shared" si="243"/>
        <v>27623</v>
      </c>
      <c r="S444" s="206">
        <f t="shared" si="244"/>
        <v>1331</v>
      </c>
      <c r="T444" s="228"/>
      <c r="U444" s="298"/>
      <c r="V444" s="208"/>
      <c r="W444" s="369">
        <f t="shared" si="248"/>
        <v>4.82E-2</v>
      </c>
      <c r="X444" s="301">
        <v>37400</v>
      </c>
      <c r="Y444" s="208">
        <f t="shared" si="245"/>
        <v>1802.68</v>
      </c>
      <c r="Z444" s="176"/>
      <c r="AA444" s="137"/>
      <c r="AB444" s="175"/>
      <c r="AC444" s="228"/>
      <c r="AD444" s="314">
        <f t="shared" si="246"/>
        <v>-9777</v>
      </c>
      <c r="AE444" s="317">
        <f t="shared" si="247"/>
        <v>-471.68000000000006</v>
      </c>
    </row>
    <row r="445" spans="1:31" hidden="1" outlineLevel="2" x14ac:dyDescent="0.35">
      <c r="A445" s="179"/>
      <c r="B445" s="310" t="s">
        <v>1235</v>
      </c>
      <c r="C445" s="126" t="s">
        <v>181</v>
      </c>
      <c r="D445" s="259">
        <v>30.5</v>
      </c>
      <c r="E445" s="38"/>
      <c r="F445" s="270">
        <f t="shared" si="241"/>
        <v>305</v>
      </c>
      <c r="G445" s="224">
        <v>9304.33</v>
      </c>
      <c r="H445" s="280"/>
      <c r="I445" s="228"/>
      <c r="J445" s="280"/>
      <c r="K445" s="203"/>
      <c r="L445" s="280"/>
      <c r="M445" s="228"/>
      <c r="N445" s="280"/>
      <c r="O445" s="203"/>
      <c r="P445" s="280">
        <v>6.31</v>
      </c>
      <c r="Q445" s="241">
        <f t="shared" si="242"/>
        <v>30.5</v>
      </c>
      <c r="R445" s="288">
        <f t="shared" si="243"/>
        <v>1532</v>
      </c>
      <c r="S445" s="206">
        <f t="shared" si="244"/>
        <v>46712</v>
      </c>
      <c r="T445" s="228"/>
      <c r="U445" s="298"/>
      <c r="V445" s="208"/>
      <c r="W445" s="369">
        <f t="shared" si="248"/>
        <v>30.5</v>
      </c>
      <c r="X445" s="301">
        <v>840</v>
      </c>
      <c r="Y445" s="315">
        <f t="shared" si="245"/>
        <v>25620</v>
      </c>
      <c r="Z445" s="176"/>
      <c r="AA445" s="137"/>
      <c r="AB445" s="175"/>
      <c r="AC445" s="228"/>
      <c r="AD445" s="312">
        <f t="shared" si="246"/>
        <v>692</v>
      </c>
      <c r="AE445" s="316">
        <f t="shared" si="247"/>
        <v>21092</v>
      </c>
    </row>
    <row r="446" spans="1:31" hidden="1" outlineLevel="2" x14ac:dyDescent="0.35">
      <c r="A446" s="179"/>
      <c r="B446" s="310" t="s">
        <v>1322</v>
      </c>
      <c r="C446" s="126" t="s">
        <v>5</v>
      </c>
      <c r="D446" s="259">
        <v>180</v>
      </c>
      <c r="E446" s="38"/>
      <c r="F446" s="270">
        <f t="shared" si="241"/>
        <v>4</v>
      </c>
      <c r="G446" s="224">
        <v>651.6</v>
      </c>
      <c r="H446" s="280"/>
      <c r="I446" s="228"/>
      <c r="J446" s="280"/>
      <c r="K446" s="203"/>
      <c r="L446" s="280"/>
      <c r="M446" s="228"/>
      <c r="N446" s="280"/>
      <c r="O446" s="203"/>
      <c r="P446" s="280">
        <v>6.31</v>
      </c>
      <c r="Q446" s="241">
        <f t="shared" si="242"/>
        <v>180</v>
      </c>
      <c r="R446" s="288">
        <f t="shared" si="243"/>
        <v>20</v>
      </c>
      <c r="S446" s="206">
        <f t="shared" si="244"/>
        <v>3615</v>
      </c>
      <c r="T446" s="228"/>
      <c r="U446" s="298"/>
      <c r="V446" s="208"/>
      <c r="W446" s="369">
        <f t="shared" si="248"/>
        <v>180</v>
      </c>
      <c r="X446" s="298">
        <v>18.32</v>
      </c>
      <c r="Y446" s="208">
        <f t="shared" si="245"/>
        <v>3297.6</v>
      </c>
      <c r="Z446" s="176"/>
      <c r="AA446" s="137"/>
      <c r="AB446" s="175"/>
      <c r="AC446" s="228"/>
      <c r="AD446" s="311">
        <f t="shared" si="246"/>
        <v>1.6799999999999997</v>
      </c>
      <c r="AE446" s="316">
        <f t="shared" si="247"/>
        <v>317.40000000000009</v>
      </c>
    </row>
    <row r="447" spans="1:31" ht="30" hidden="1" customHeight="1" outlineLevel="2" x14ac:dyDescent="0.35">
      <c r="A447" s="179"/>
      <c r="B447" s="310" t="s">
        <v>1323</v>
      </c>
      <c r="C447" s="126" t="s">
        <v>181</v>
      </c>
      <c r="D447" s="259">
        <v>5.5</v>
      </c>
      <c r="E447" s="38"/>
      <c r="F447" s="270">
        <f t="shared" si="241"/>
        <v>36</v>
      </c>
      <c r="G447" s="224">
        <v>199.87</v>
      </c>
      <c r="H447" s="280"/>
      <c r="I447" s="228"/>
      <c r="J447" s="280"/>
      <c r="K447" s="203"/>
      <c r="L447" s="280"/>
      <c r="M447" s="228"/>
      <c r="N447" s="280"/>
      <c r="O447" s="203"/>
      <c r="P447" s="280">
        <v>6.31</v>
      </c>
      <c r="Q447" s="241">
        <f t="shared" si="242"/>
        <v>5.5</v>
      </c>
      <c r="R447" s="288">
        <f t="shared" si="243"/>
        <v>181</v>
      </c>
      <c r="S447" s="206">
        <f t="shared" si="244"/>
        <v>994</v>
      </c>
      <c r="T447" s="228"/>
      <c r="U447" s="298"/>
      <c r="V447" s="208"/>
      <c r="W447" s="369">
        <f t="shared" si="248"/>
        <v>5.5</v>
      </c>
      <c r="X447" s="298">
        <v>1119.8</v>
      </c>
      <c r="Y447" s="208">
        <f t="shared" si="245"/>
        <v>6158.9</v>
      </c>
      <c r="Z447" s="176"/>
      <c r="AA447" s="137"/>
      <c r="AB447" s="175"/>
      <c r="AC447" s="228"/>
      <c r="AD447" s="313">
        <f t="shared" si="246"/>
        <v>-938.8</v>
      </c>
      <c r="AE447" s="317">
        <f t="shared" si="247"/>
        <v>-5164.8999999999996</v>
      </c>
    </row>
    <row r="448" spans="1:31" hidden="1" outlineLevel="2" x14ac:dyDescent="0.35">
      <c r="A448" s="179"/>
      <c r="B448" s="328" t="s">
        <v>1238</v>
      </c>
      <c r="C448" s="126" t="s">
        <v>5</v>
      </c>
      <c r="D448" s="259">
        <v>3</v>
      </c>
      <c r="E448" s="38"/>
      <c r="F448" s="270">
        <f t="shared" si="241"/>
        <v>31</v>
      </c>
      <c r="G448" s="224">
        <v>92.43</v>
      </c>
      <c r="H448" s="280"/>
      <c r="I448" s="228"/>
      <c r="J448" s="280"/>
      <c r="K448" s="203"/>
      <c r="L448" s="280"/>
      <c r="M448" s="228"/>
      <c r="N448" s="280"/>
      <c r="O448" s="203"/>
      <c r="P448" s="280">
        <v>6.31</v>
      </c>
      <c r="Q448" s="241">
        <f t="shared" si="242"/>
        <v>3</v>
      </c>
      <c r="R448" s="288">
        <f t="shared" si="243"/>
        <v>156</v>
      </c>
      <c r="S448" s="206">
        <f t="shared" si="244"/>
        <v>467</v>
      </c>
      <c r="T448" s="228"/>
      <c r="U448" s="298"/>
      <c r="V448" s="208"/>
      <c r="W448" s="369">
        <f t="shared" si="248"/>
        <v>3</v>
      </c>
      <c r="X448" s="301">
        <v>390</v>
      </c>
      <c r="Y448" s="315">
        <f t="shared" si="245"/>
        <v>1170</v>
      </c>
      <c r="Z448" s="176"/>
      <c r="AA448" s="137"/>
      <c r="AB448" s="175"/>
      <c r="AC448" s="228"/>
      <c r="AD448" s="314">
        <f t="shared" si="246"/>
        <v>-234</v>
      </c>
      <c r="AE448" s="317">
        <f t="shared" si="247"/>
        <v>-703</v>
      </c>
    </row>
    <row r="449" spans="1:32" hidden="1" outlineLevel="2" x14ac:dyDescent="0.35">
      <c r="A449" s="179"/>
      <c r="B449" s="328" t="s">
        <v>410</v>
      </c>
      <c r="C449" s="126" t="s">
        <v>16</v>
      </c>
      <c r="D449" s="259">
        <v>7.92</v>
      </c>
      <c r="E449" s="38"/>
      <c r="F449" s="270">
        <f t="shared" si="241"/>
        <v>17</v>
      </c>
      <c r="G449" s="224">
        <v>133.13999999999999</v>
      </c>
      <c r="H449" s="280"/>
      <c r="I449" s="228"/>
      <c r="J449" s="280"/>
      <c r="K449" s="203"/>
      <c r="L449" s="280"/>
      <c r="M449" s="228"/>
      <c r="N449" s="280"/>
      <c r="O449" s="203"/>
      <c r="P449" s="280">
        <v>6.31</v>
      </c>
      <c r="Q449" s="241">
        <f t="shared" si="242"/>
        <v>7.92</v>
      </c>
      <c r="R449" s="288">
        <f t="shared" si="243"/>
        <v>85</v>
      </c>
      <c r="S449" s="206">
        <f t="shared" si="244"/>
        <v>676</v>
      </c>
      <c r="T449" s="228"/>
      <c r="U449" s="298"/>
      <c r="V449" s="208"/>
      <c r="W449" s="369">
        <f t="shared" si="248"/>
        <v>7.92</v>
      </c>
      <c r="X449" s="301">
        <v>330</v>
      </c>
      <c r="Y449" s="208">
        <f t="shared" si="245"/>
        <v>2613.6</v>
      </c>
      <c r="Z449" s="176"/>
      <c r="AA449" s="137"/>
      <c r="AB449" s="175"/>
      <c r="AC449" s="228"/>
      <c r="AD449" s="314">
        <f t="shared" si="246"/>
        <v>-245</v>
      </c>
      <c r="AE449" s="317">
        <f t="shared" si="247"/>
        <v>-1937.6</v>
      </c>
    </row>
    <row r="450" spans="1:32" hidden="1" outlineLevel="2" x14ac:dyDescent="0.35">
      <c r="A450" s="179"/>
      <c r="B450" s="328" t="s">
        <v>1236</v>
      </c>
      <c r="C450" s="126" t="s">
        <v>364</v>
      </c>
      <c r="D450" s="259">
        <v>5</v>
      </c>
      <c r="E450" s="38"/>
      <c r="F450" s="270">
        <f t="shared" ref="F450:F451" si="249">ROUND(G450/D450,0)</f>
        <v>48</v>
      </c>
      <c r="G450" s="224">
        <v>239.1</v>
      </c>
      <c r="H450" s="280"/>
      <c r="I450" s="228"/>
      <c r="J450" s="280"/>
      <c r="K450" s="203"/>
      <c r="L450" s="280"/>
      <c r="M450" s="228"/>
      <c r="N450" s="280"/>
      <c r="O450" s="203"/>
      <c r="P450" s="280">
        <v>6.31</v>
      </c>
      <c r="Q450" s="241">
        <f t="shared" ref="Q450:Q451" si="250">D450-I450-M450</f>
        <v>5</v>
      </c>
      <c r="R450" s="288">
        <f t="shared" ref="R450:R451" si="251">ROUND(F450*P450*0.7958,0)</f>
        <v>241</v>
      </c>
      <c r="S450" s="206">
        <f t="shared" ref="S450:S451" si="252">ROUND(Q450*P450*F450*0.7958,0)</f>
        <v>1205</v>
      </c>
      <c r="T450" s="228"/>
      <c r="U450" s="298"/>
      <c r="V450" s="208"/>
      <c r="W450" s="369">
        <f t="shared" si="248"/>
        <v>5</v>
      </c>
      <c r="X450" s="298">
        <v>76.89</v>
      </c>
      <c r="Y450" s="208">
        <f t="shared" si="245"/>
        <v>384.45</v>
      </c>
      <c r="Z450" s="176"/>
      <c r="AA450" s="137"/>
      <c r="AB450" s="175"/>
      <c r="AC450" s="228"/>
      <c r="AD450" s="311">
        <f t="shared" si="246"/>
        <v>164.11</v>
      </c>
      <c r="AE450" s="316">
        <f t="shared" si="247"/>
        <v>820.55</v>
      </c>
    </row>
    <row r="451" spans="1:32" hidden="1" outlineLevel="2" x14ac:dyDescent="0.35">
      <c r="A451" s="179"/>
      <c r="B451" s="310" t="s">
        <v>1237</v>
      </c>
      <c r="C451" s="126" t="s">
        <v>364</v>
      </c>
      <c r="D451" s="259">
        <v>5</v>
      </c>
      <c r="E451" s="38"/>
      <c r="F451" s="270">
        <f t="shared" si="249"/>
        <v>138</v>
      </c>
      <c r="G451" s="224">
        <v>691.3</v>
      </c>
      <c r="H451" s="280"/>
      <c r="I451" s="228"/>
      <c r="J451" s="280"/>
      <c r="K451" s="203"/>
      <c r="L451" s="280"/>
      <c r="M451" s="228"/>
      <c r="N451" s="280"/>
      <c r="O451" s="203"/>
      <c r="P451" s="280">
        <v>6.31</v>
      </c>
      <c r="Q451" s="241">
        <f t="shared" si="250"/>
        <v>5</v>
      </c>
      <c r="R451" s="288">
        <f t="shared" si="251"/>
        <v>693</v>
      </c>
      <c r="S451" s="206">
        <f t="shared" si="252"/>
        <v>3465</v>
      </c>
      <c r="T451" s="228"/>
      <c r="U451" s="298"/>
      <c r="V451" s="208"/>
      <c r="W451" s="369">
        <f t="shared" si="248"/>
        <v>5</v>
      </c>
      <c r="X451" s="301">
        <v>4850</v>
      </c>
      <c r="Y451" s="315">
        <f t="shared" si="245"/>
        <v>24250</v>
      </c>
      <c r="Z451" s="176"/>
      <c r="AA451" s="137"/>
      <c r="AB451" s="175"/>
      <c r="AC451" s="228"/>
      <c r="AD451" s="314">
        <f t="shared" si="246"/>
        <v>-4157</v>
      </c>
      <c r="AE451" s="317">
        <f t="shared" si="247"/>
        <v>-20785</v>
      </c>
    </row>
    <row r="452" spans="1:32" s="95" customFormat="1" hidden="1" outlineLevel="1" x14ac:dyDescent="0.3">
      <c r="A452" s="98"/>
      <c r="B452" s="160"/>
      <c r="C452" s="107"/>
      <c r="D452" s="253"/>
      <c r="E452" s="98"/>
      <c r="F452" s="154"/>
      <c r="G452" s="214"/>
      <c r="H452" s="154"/>
      <c r="I452" s="231"/>
      <c r="J452" s="154"/>
      <c r="K452" s="194"/>
      <c r="L452" s="154"/>
      <c r="M452" s="231"/>
      <c r="N452" s="154"/>
      <c r="O452" s="194"/>
      <c r="P452" s="154"/>
      <c r="Q452" s="231"/>
      <c r="R452" s="286"/>
      <c r="S452" s="194"/>
      <c r="T452" s="231"/>
      <c r="U452" s="155"/>
      <c r="V452" s="194"/>
      <c r="W452" s="231"/>
      <c r="X452" s="300"/>
      <c r="Y452" s="194"/>
      <c r="Z452" s="157"/>
      <c r="AA452" s="156"/>
      <c r="AB452" s="156"/>
      <c r="AC452" s="194"/>
      <c r="AD452" s="155"/>
      <c r="AE452" s="194"/>
    </row>
    <row r="453" spans="1:32" ht="26.25" hidden="1" customHeight="1" outlineLevel="1" x14ac:dyDescent="0.3">
      <c r="A453" s="399"/>
      <c r="B453" s="1082" t="s">
        <v>539</v>
      </c>
      <c r="C453" s="1083"/>
      <c r="D453" s="1083"/>
      <c r="E453" s="1083"/>
      <c r="F453" s="1084"/>
      <c r="G453" s="333">
        <f>SUM(G454:G459)</f>
        <v>1060.3699999999999</v>
      </c>
      <c r="H453" s="320"/>
      <c r="I453" s="320"/>
      <c r="J453" s="320"/>
      <c r="K453" s="321">
        <f>SUM(K454:K459)</f>
        <v>0</v>
      </c>
      <c r="L453" s="320"/>
      <c r="M453" s="320"/>
      <c r="N453" s="320"/>
      <c r="O453" s="321">
        <f>SUM(O454:O459)</f>
        <v>0</v>
      </c>
      <c r="P453" s="320"/>
      <c r="Q453" s="320"/>
      <c r="R453" s="320"/>
      <c r="S453" s="321">
        <f>SUM(S454:S459)</f>
        <v>5327</v>
      </c>
      <c r="T453" s="320"/>
      <c r="U453" s="322"/>
      <c r="V453" s="321">
        <f>SUM(V454:V459)</f>
        <v>0</v>
      </c>
      <c r="W453" s="320"/>
      <c r="X453" s="322"/>
      <c r="Y453" s="321">
        <f>SUM(Y454:Y459)</f>
        <v>1405.6179999999999</v>
      </c>
      <c r="Z453" s="322"/>
      <c r="AA453" s="322"/>
      <c r="AB453" s="322"/>
      <c r="AC453" s="322"/>
      <c r="AD453" s="322"/>
      <c r="AE453" s="325">
        <f>SUM(AE454:AE459)</f>
        <v>3921.3820000000001</v>
      </c>
      <c r="AF453" s="326">
        <f>AE453/S453</f>
        <v>0.73613328327388772</v>
      </c>
    </row>
    <row r="454" spans="1:32" ht="34.5" hidden="1" customHeight="1" outlineLevel="2" x14ac:dyDescent="0.3">
      <c r="A454" s="141"/>
      <c r="B454" s="334" t="s">
        <v>897</v>
      </c>
      <c r="C454" s="125" t="s">
        <v>5</v>
      </c>
      <c r="D454" s="255">
        <v>55</v>
      </c>
      <c r="E454" s="64" t="s">
        <v>898</v>
      </c>
      <c r="F454" s="265">
        <f>ROUND(G454/50,0)</f>
        <v>4</v>
      </c>
      <c r="G454" s="215">
        <v>209.42</v>
      </c>
      <c r="H454" s="272"/>
      <c r="I454" s="236"/>
      <c r="J454" s="265"/>
      <c r="K454" s="193"/>
      <c r="L454" s="272"/>
      <c r="M454" s="236"/>
      <c r="N454" s="265"/>
      <c r="O454" s="193"/>
      <c r="P454" s="282">
        <v>6.62</v>
      </c>
      <c r="Q454" s="236">
        <v>50</v>
      </c>
      <c r="R454" s="265">
        <f t="shared" ref="R454:R459" si="253">ROUND(F454*P454*0.7958,0)</f>
        <v>21</v>
      </c>
      <c r="S454" s="193">
        <f t="shared" ref="S454:S459" si="254">ROUND(Q454*P454*F454*0.7958,0)</f>
        <v>1054</v>
      </c>
      <c r="T454" s="230"/>
      <c r="U454" s="290"/>
      <c r="V454" s="200"/>
      <c r="W454" s="232">
        <f t="shared" ref="W454:W459" si="255">Q454</f>
        <v>50</v>
      </c>
      <c r="X454" s="289">
        <v>7.2</v>
      </c>
      <c r="Y454" s="199">
        <f t="shared" ref="Y454:Y459" si="256">W454*X454</f>
        <v>360</v>
      </c>
      <c r="Z454" s="153"/>
      <c r="AA454" s="147"/>
      <c r="AB454" s="101">
        <f t="shared" ref="AB454:AB459" si="257">ROUND(Z454*AA454,0)</f>
        <v>0</v>
      </c>
      <c r="AC454" s="226"/>
      <c r="AD454" s="304">
        <f t="shared" ref="AD454" si="258">R454-X454</f>
        <v>13.8</v>
      </c>
      <c r="AE454" s="305">
        <f t="shared" ref="AE454" si="259">S454-Y454</f>
        <v>694</v>
      </c>
    </row>
    <row r="455" spans="1:32" ht="34.5" hidden="1" customHeight="1" outlineLevel="2" x14ac:dyDescent="0.3">
      <c r="A455" s="141"/>
      <c r="B455" s="334" t="s">
        <v>899</v>
      </c>
      <c r="C455" s="125" t="s">
        <v>364</v>
      </c>
      <c r="D455" s="255">
        <v>10</v>
      </c>
      <c r="E455" s="64"/>
      <c r="F455" s="265">
        <f>ROUND(G455/D455,0)</f>
        <v>33</v>
      </c>
      <c r="G455" s="215">
        <v>333.7</v>
      </c>
      <c r="H455" s="272"/>
      <c r="I455" s="236"/>
      <c r="J455" s="265"/>
      <c r="K455" s="193"/>
      <c r="L455" s="272"/>
      <c r="M455" s="236"/>
      <c r="N455" s="265"/>
      <c r="O455" s="193"/>
      <c r="P455" s="282">
        <v>6.62</v>
      </c>
      <c r="Q455" s="236">
        <f>D455-I455-M455</f>
        <v>10</v>
      </c>
      <c r="R455" s="265">
        <f t="shared" si="253"/>
        <v>174</v>
      </c>
      <c r="S455" s="193">
        <f t="shared" si="254"/>
        <v>1739</v>
      </c>
      <c r="T455" s="230"/>
      <c r="U455" s="290"/>
      <c r="V455" s="200"/>
      <c r="W455" s="232">
        <f t="shared" si="255"/>
        <v>10</v>
      </c>
      <c r="X455" s="289">
        <v>32.44</v>
      </c>
      <c r="Y455" s="199">
        <f t="shared" si="256"/>
        <v>324.39999999999998</v>
      </c>
      <c r="Z455" s="153"/>
      <c r="AA455" s="147"/>
      <c r="AB455" s="101">
        <f t="shared" si="257"/>
        <v>0</v>
      </c>
      <c r="AC455" s="226"/>
      <c r="AD455" s="304">
        <f t="shared" ref="AD455:AD459" si="260">R455-X455</f>
        <v>141.56</v>
      </c>
      <c r="AE455" s="305">
        <f t="shared" ref="AE455:AE459" si="261">S455-Y455</f>
        <v>1414.6</v>
      </c>
    </row>
    <row r="456" spans="1:32" hidden="1" outlineLevel="2" x14ac:dyDescent="0.3">
      <c r="B456" s="334" t="s">
        <v>427</v>
      </c>
      <c r="C456" s="125" t="s">
        <v>16</v>
      </c>
      <c r="D456" s="255">
        <v>0.16899999999999998</v>
      </c>
      <c r="E456" s="64"/>
      <c r="F456" s="265">
        <f>ROUND(G456/D456,0)</f>
        <v>71</v>
      </c>
      <c r="G456" s="215">
        <v>12.079999999999998</v>
      </c>
      <c r="H456" s="272"/>
      <c r="I456" s="236"/>
      <c r="J456" s="265"/>
      <c r="K456" s="193"/>
      <c r="L456" s="272"/>
      <c r="M456" s="236"/>
      <c r="N456" s="265"/>
      <c r="O456" s="193"/>
      <c r="P456" s="282">
        <v>6.62</v>
      </c>
      <c r="Q456" s="236">
        <f>D456-I456-M456</f>
        <v>0.16899999999999998</v>
      </c>
      <c r="R456" s="265">
        <f t="shared" si="253"/>
        <v>374</v>
      </c>
      <c r="S456" s="193">
        <f t="shared" si="254"/>
        <v>63</v>
      </c>
      <c r="T456" s="230"/>
      <c r="U456" s="290"/>
      <c r="V456" s="200"/>
      <c r="W456" s="232">
        <f t="shared" si="255"/>
        <v>0.16899999999999998</v>
      </c>
      <c r="X456" s="289">
        <v>272</v>
      </c>
      <c r="Y456" s="199">
        <f t="shared" si="256"/>
        <v>45.967999999999996</v>
      </c>
      <c r="Z456" s="153"/>
      <c r="AA456" s="147"/>
      <c r="AB456" s="101">
        <f t="shared" si="257"/>
        <v>0</v>
      </c>
      <c r="AC456" s="226"/>
      <c r="AD456" s="304">
        <f t="shared" si="260"/>
        <v>102</v>
      </c>
      <c r="AE456" s="305">
        <f t="shared" si="261"/>
        <v>17.032000000000004</v>
      </c>
    </row>
    <row r="457" spans="1:32" hidden="1" outlineLevel="2" x14ac:dyDescent="0.3">
      <c r="B457" s="334" t="s">
        <v>438</v>
      </c>
      <c r="C457" s="125" t="s">
        <v>5</v>
      </c>
      <c r="D457" s="255">
        <v>120</v>
      </c>
      <c r="E457" s="64"/>
      <c r="F457" s="265">
        <f>ROUND(G457/D457,0)</f>
        <v>3</v>
      </c>
      <c r="G457" s="215">
        <v>396.76</v>
      </c>
      <c r="H457" s="272"/>
      <c r="I457" s="236"/>
      <c r="J457" s="265"/>
      <c r="K457" s="193"/>
      <c r="L457" s="272"/>
      <c r="M457" s="236"/>
      <c r="N457" s="265"/>
      <c r="O457" s="193"/>
      <c r="P457" s="282">
        <v>6.62</v>
      </c>
      <c r="Q457" s="236">
        <f>D457-I457-M457</f>
        <v>120</v>
      </c>
      <c r="R457" s="265">
        <f t="shared" si="253"/>
        <v>16</v>
      </c>
      <c r="S457" s="193">
        <f t="shared" si="254"/>
        <v>1897</v>
      </c>
      <c r="T457" s="230"/>
      <c r="U457" s="290"/>
      <c r="V457" s="200"/>
      <c r="W457" s="232">
        <f t="shared" si="255"/>
        <v>120</v>
      </c>
      <c r="X457" s="289">
        <v>2.5</v>
      </c>
      <c r="Y457" s="199">
        <f t="shared" si="256"/>
        <v>300</v>
      </c>
      <c r="Z457" s="153"/>
      <c r="AA457" s="147"/>
      <c r="AB457" s="101">
        <f t="shared" si="257"/>
        <v>0</v>
      </c>
      <c r="AC457" s="226"/>
      <c r="AD457" s="304">
        <f t="shared" si="260"/>
        <v>13.5</v>
      </c>
      <c r="AE457" s="305">
        <f t="shared" si="261"/>
        <v>1597</v>
      </c>
    </row>
    <row r="458" spans="1:32" hidden="1" outlineLevel="2" x14ac:dyDescent="0.3">
      <c r="A458" s="141"/>
      <c r="B458" s="334" t="s">
        <v>900</v>
      </c>
      <c r="C458" s="125" t="s">
        <v>40</v>
      </c>
      <c r="D458" s="255">
        <v>2</v>
      </c>
      <c r="E458" s="64"/>
      <c r="F458" s="265">
        <f>ROUND(G458/D458,0)</f>
        <v>9</v>
      </c>
      <c r="G458" s="215">
        <v>17.559999999999999</v>
      </c>
      <c r="H458" s="272"/>
      <c r="I458" s="236"/>
      <c r="J458" s="265"/>
      <c r="K458" s="193"/>
      <c r="L458" s="272"/>
      <c r="M458" s="236"/>
      <c r="N458" s="265"/>
      <c r="O458" s="193"/>
      <c r="P458" s="282">
        <v>6.62</v>
      </c>
      <c r="Q458" s="236">
        <f>D458-I458-M458</f>
        <v>2</v>
      </c>
      <c r="R458" s="265">
        <f t="shared" si="253"/>
        <v>47</v>
      </c>
      <c r="S458" s="193">
        <f t="shared" si="254"/>
        <v>95</v>
      </c>
      <c r="T458" s="230"/>
      <c r="U458" s="290"/>
      <c r="V458" s="200"/>
      <c r="W458" s="232">
        <f t="shared" si="255"/>
        <v>2</v>
      </c>
      <c r="X458" s="289">
        <v>46</v>
      </c>
      <c r="Y458" s="199">
        <f t="shared" si="256"/>
        <v>92</v>
      </c>
      <c r="Z458" s="153"/>
      <c r="AA458" s="147"/>
      <c r="AB458" s="101">
        <f t="shared" si="257"/>
        <v>0</v>
      </c>
      <c r="AC458" s="226"/>
      <c r="AD458" s="304">
        <f t="shared" si="260"/>
        <v>1</v>
      </c>
      <c r="AE458" s="305">
        <f t="shared" si="261"/>
        <v>3</v>
      </c>
    </row>
    <row r="459" spans="1:32" ht="18" hidden="1" customHeight="1" outlineLevel="2" x14ac:dyDescent="0.3">
      <c r="A459" s="141"/>
      <c r="B459" s="334" t="s">
        <v>447</v>
      </c>
      <c r="C459" s="125" t="s">
        <v>5</v>
      </c>
      <c r="D459" s="255">
        <v>25</v>
      </c>
      <c r="E459" s="64"/>
      <c r="F459" s="266">
        <f>G459/D459</f>
        <v>3.6339999999999999</v>
      </c>
      <c r="G459" s="215">
        <v>90.85</v>
      </c>
      <c r="H459" s="272"/>
      <c r="I459" s="236"/>
      <c r="J459" s="265"/>
      <c r="K459" s="193"/>
      <c r="L459" s="272"/>
      <c r="M459" s="236"/>
      <c r="N459" s="265"/>
      <c r="O459" s="193"/>
      <c r="P459" s="282">
        <v>6.62</v>
      </c>
      <c r="Q459" s="236">
        <f>D459-I459-M459</f>
        <v>25</v>
      </c>
      <c r="R459" s="265">
        <f t="shared" si="253"/>
        <v>19</v>
      </c>
      <c r="S459" s="193">
        <f t="shared" si="254"/>
        <v>479</v>
      </c>
      <c r="T459" s="230"/>
      <c r="U459" s="290"/>
      <c r="V459" s="200"/>
      <c r="W459" s="232">
        <f t="shared" si="255"/>
        <v>25</v>
      </c>
      <c r="X459" s="289">
        <v>11.33</v>
      </c>
      <c r="Y459" s="199">
        <f t="shared" si="256"/>
        <v>283.25</v>
      </c>
      <c r="Z459" s="153"/>
      <c r="AA459" s="147"/>
      <c r="AB459" s="101">
        <f t="shared" si="257"/>
        <v>0</v>
      </c>
      <c r="AC459" s="226"/>
      <c r="AD459" s="304">
        <f t="shared" si="260"/>
        <v>7.67</v>
      </c>
      <c r="AE459" s="305">
        <f t="shared" si="261"/>
        <v>195.75</v>
      </c>
    </row>
    <row r="460" spans="1:32" s="95" customFormat="1" hidden="1" outlineLevel="1" x14ac:dyDescent="0.3">
      <c r="A460" s="98"/>
      <c r="B460" s="160"/>
      <c r="C460" s="107"/>
      <c r="D460" s="253"/>
      <c r="E460" s="98"/>
      <c r="F460" s="154"/>
      <c r="G460" s="214"/>
      <c r="H460" s="154"/>
      <c r="I460" s="231"/>
      <c r="J460" s="154"/>
      <c r="K460" s="194"/>
      <c r="L460" s="154"/>
      <c r="M460" s="231"/>
      <c r="N460" s="154"/>
      <c r="O460" s="194"/>
      <c r="P460" s="154"/>
      <c r="Q460" s="231"/>
      <c r="R460" s="286"/>
      <c r="S460" s="194"/>
      <c r="T460" s="231"/>
      <c r="U460" s="155"/>
      <c r="V460" s="194"/>
      <c r="W460" s="231"/>
      <c r="X460" s="155"/>
      <c r="Y460" s="194"/>
      <c r="Z460" s="157"/>
      <c r="AA460" s="156"/>
      <c r="AB460" s="156"/>
      <c r="AC460" s="194"/>
      <c r="AD460" s="155"/>
      <c r="AE460" s="194"/>
    </row>
    <row r="461" spans="1:32" ht="25.5" hidden="1" customHeight="1" outlineLevel="1" x14ac:dyDescent="0.3">
      <c r="A461" s="399"/>
      <c r="B461" s="1082" t="s">
        <v>1215</v>
      </c>
      <c r="C461" s="1083"/>
      <c r="D461" s="1083"/>
      <c r="E461" s="1083"/>
      <c r="F461" s="1084"/>
      <c r="G461" s="333">
        <f>SUM(G462:G473)</f>
        <v>1622.4999999999995</v>
      </c>
      <c r="H461" s="320"/>
      <c r="I461" s="320"/>
      <c r="J461" s="320"/>
      <c r="K461" s="321">
        <f>SUM(K462:K473)</f>
        <v>0</v>
      </c>
      <c r="L461" s="320"/>
      <c r="M461" s="320"/>
      <c r="N461" s="320"/>
      <c r="O461" s="321">
        <f>SUM(O462:O473)</f>
        <v>0</v>
      </c>
      <c r="P461" s="320"/>
      <c r="Q461" s="320"/>
      <c r="R461" s="320"/>
      <c r="S461" s="321">
        <f>SUM(S462:S473)</f>
        <v>8165</v>
      </c>
      <c r="T461" s="320"/>
      <c r="U461" s="322"/>
      <c r="V461" s="321">
        <f>SUM(V462:V473)</f>
        <v>0</v>
      </c>
      <c r="W461" s="320"/>
      <c r="X461" s="322"/>
      <c r="Y461" s="321">
        <f>SUM(Y462:Y473)</f>
        <v>9734.5119999999988</v>
      </c>
      <c r="Z461" s="322"/>
      <c r="AA461" s="322"/>
      <c r="AB461" s="322"/>
      <c r="AC461" s="322"/>
      <c r="AD461" s="322"/>
      <c r="AE461" s="323">
        <f>SUM(AE462:AE473)</f>
        <v>-1569.5119999999999</v>
      </c>
      <c r="AF461" s="324">
        <f>AE461/S461</f>
        <v>-0.1922243723208818</v>
      </c>
    </row>
    <row r="462" spans="1:32" hidden="1" outlineLevel="2" x14ac:dyDescent="0.35">
      <c r="A462" s="38"/>
      <c r="B462" s="328" t="s">
        <v>1206</v>
      </c>
      <c r="C462" s="126" t="s">
        <v>28</v>
      </c>
      <c r="D462" s="259">
        <v>1.9199999999999998E-2</v>
      </c>
      <c r="E462" s="38"/>
      <c r="F462" s="270">
        <f t="shared" ref="F462:F473" si="262">ROUND(G462/D462,0)</f>
        <v>4938</v>
      </c>
      <c r="G462" s="224">
        <v>94.8</v>
      </c>
      <c r="H462" s="280"/>
      <c r="I462" s="228"/>
      <c r="J462" s="280"/>
      <c r="K462" s="203"/>
      <c r="L462" s="280"/>
      <c r="M462" s="228"/>
      <c r="N462" s="280"/>
      <c r="O462" s="203"/>
      <c r="P462" s="280">
        <v>6.31</v>
      </c>
      <c r="Q462" s="241">
        <f t="shared" ref="Q462:Q473" si="263">D462-I462-M462</f>
        <v>1.9199999999999998E-2</v>
      </c>
      <c r="R462" s="288">
        <f t="shared" ref="R462:R473" si="264">ROUND(F462*P462*0.7958,0)</f>
        <v>24796</v>
      </c>
      <c r="S462" s="206">
        <f t="shared" ref="S462:S473" si="265">ROUND(Q462*P462*F462*0.7958,0)</f>
        <v>476</v>
      </c>
      <c r="T462" s="228"/>
      <c r="U462" s="298"/>
      <c r="V462" s="208"/>
      <c r="W462" s="234">
        <v>1.9199999999999998E-2</v>
      </c>
      <c r="X462" s="301">
        <v>45000</v>
      </c>
      <c r="Y462" s="208">
        <f>X462*W462</f>
        <v>863.99999999999989</v>
      </c>
      <c r="Z462" s="176"/>
      <c r="AA462" s="137"/>
      <c r="AB462" s="175"/>
      <c r="AC462" s="228"/>
      <c r="AD462" s="309">
        <f>R462-X462</f>
        <v>-20204</v>
      </c>
      <c r="AE462" s="317">
        <f>S462-Y462</f>
        <v>-387.99999999999989</v>
      </c>
    </row>
    <row r="463" spans="1:32" hidden="1" outlineLevel="2" x14ac:dyDescent="0.35">
      <c r="A463" s="38"/>
      <c r="B463" s="328" t="s">
        <v>1226</v>
      </c>
      <c r="C463" s="126" t="s">
        <v>16</v>
      </c>
      <c r="D463" s="259">
        <f>0.6054+1.7638</f>
        <v>2.3692000000000002</v>
      </c>
      <c r="E463" s="38"/>
      <c r="F463" s="270">
        <f t="shared" si="262"/>
        <v>15</v>
      </c>
      <c r="G463" s="224">
        <f>18.78+17</f>
        <v>35.78</v>
      </c>
      <c r="H463" s="280"/>
      <c r="I463" s="228"/>
      <c r="J463" s="280"/>
      <c r="K463" s="203"/>
      <c r="L463" s="280"/>
      <c r="M463" s="228"/>
      <c r="N463" s="280"/>
      <c r="O463" s="203"/>
      <c r="P463" s="280">
        <v>6.31</v>
      </c>
      <c r="Q463" s="241">
        <f t="shared" si="263"/>
        <v>2.3692000000000002</v>
      </c>
      <c r="R463" s="288">
        <f t="shared" si="264"/>
        <v>75</v>
      </c>
      <c r="S463" s="206">
        <f t="shared" si="265"/>
        <v>178</v>
      </c>
      <c r="T463" s="228"/>
      <c r="U463" s="298"/>
      <c r="V463" s="208"/>
      <c r="W463" s="234">
        <f>0.6054+1.7638</f>
        <v>2.3692000000000002</v>
      </c>
      <c r="X463" s="301">
        <v>110</v>
      </c>
      <c r="Y463" s="208">
        <f t="shared" ref="Y463:Y473" si="266">X463*W463</f>
        <v>260.61200000000002</v>
      </c>
      <c r="Z463" s="176"/>
      <c r="AA463" s="137"/>
      <c r="AB463" s="175"/>
      <c r="AC463" s="228"/>
      <c r="AD463" s="309">
        <f t="shared" ref="AD463:AD473" si="267">R463-X463</f>
        <v>-35</v>
      </c>
      <c r="AE463" s="317">
        <f t="shared" ref="AE463:AE473" si="268">S463-Y463</f>
        <v>-82.612000000000023</v>
      </c>
    </row>
    <row r="464" spans="1:32" hidden="1" outlineLevel="2" x14ac:dyDescent="0.35">
      <c r="A464" s="38"/>
      <c r="B464" s="328" t="s">
        <v>1216</v>
      </c>
      <c r="C464" s="126" t="s">
        <v>5</v>
      </c>
      <c r="D464" s="259">
        <v>80</v>
      </c>
      <c r="E464" s="38"/>
      <c r="F464" s="270">
        <f t="shared" si="262"/>
        <v>1</v>
      </c>
      <c r="G464" s="224">
        <v>88</v>
      </c>
      <c r="H464" s="280"/>
      <c r="I464" s="228"/>
      <c r="J464" s="280"/>
      <c r="K464" s="203"/>
      <c r="L464" s="280"/>
      <c r="M464" s="228"/>
      <c r="N464" s="280"/>
      <c r="O464" s="203"/>
      <c r="P464" s="280">
        <v>6.31</v>
      </c>
      <c r="Q464" s="241">
        <f t="shared" si="263"/>
        <v>80</v>
      </c>
      <c r="R464" s="288">
        <f t="shared" si="264"/>
        <v>5</v>
      </c>
      <c r="S464" s="206">
        <f t="shared" si="265"/>
        <v>402</v>
      </c>
      <c r="T464" s="228"/>
      <c r="U464" s="298"/>
      <c r="V464" s="208"/>
      <c r="W464" s="234">
        <v>80</v>
      </c>
      <c r="X464" s="298">
        <v>37.26</v>
      </c>
      <c r="Y464" s="208">
        <f t="shared" si="266"/>
        <v>2980.7999999999997</v>
      </c>
      <c r="Z464" s="176"/>
      <c r="AA464" s="137"/>
      <c r="AB464" s="175"/>
      <c r="AC464" s="228"/>
      <c r="AD464" s="309">
        <f t="shared" si="267"/>
        <v>-32.26</v>
      </c>
      <c r="AE464" s="317">
        <f t="shared" si="268"/>
        <v>-2578.7999999999997</v>
      </c>
    </row>
    <row r="465" spans="1:32" hidden="1" outlineLevel="2" x14ac:dyDescent="0.35">
      <c r="A465" s="38"/>
      <c r="B465" s="328" t="s">
        <v>1227</v>
      </c>
      <c r="C465" s="126" t="s">
        <v>5</v>
      </c>
      <c r="D465" s="259">
        <v>40</v>
      </c>
      <c r="E465" s="38"/>
      <c r="F465" s="270">
        <f t="shared" si="262"/>
        <v>8</v>
      </c>
      <c r="G465" s="224">
        <v>314.76</v>
      </c>
      <c r="H465" s="280"/>
      <c r="I465" s="228"/>
      <c r="J465" s="280"/>
      <c r="K465" s="203"/>
      <c r="L465" s="280"/>
      <c r="M465" s="228"/>
      <c r="N465" s="280"/>
      <c r="O465" s="203"/>
      <c r="P465" s="280">
        <v>6.31</v>
      </c>
      <c r="Q465" s="241">
        <f t="shared" si="263"/>
        <v>40</v>
      </c>
      <c r="R465" s="288">
        <f t="shared" si="264"/>
        <v>40</v>
      </c>
      <c r="S465" s="206">
        <f t="shared" si="265"/>
        <v>1607</v>
      </c>
      <c r="T465" s="228"/>
      <c r="U465" s="298"/>
      <c r="V465" s="208"/>
      <c r="W465" s="234">
        <v>40</v>
      </c>
      <c r="X465" s="298">
        <v>34.6</v>
      </c>
      <c r="Y465" s="315">
        <f t="shared" si="266"/>
        <v>1384</v>
      </c>
      <c r="Z465" s="176"/>
      <c r="AA465" s="137"/>
      <c r="AB465" s="175"/>
      <c r="AC465" s="228"/>
      <c r="AD465" s="301">
        <f t="shared" si="267"/>
        <v>5.3999999999999986</v>
      </c>
      <c r="AE465" s="316">
        <f t="shared" si="268"/>
        <v>223</v>
      </c>
    </row>
    <row r="466" spans="1:32" hidden="1" outlineLevel="2" x14ac:dyDescent="0.35">
      <c r="A466" s="38"/>
      <c r="B466" s="328" t="s">
        <v>1217</v>
      </c>
      <c r="C466" s="126" t="s">
        <v>40</v>
      </c>
      <c r="D466" s="259">
        <v>24.48</v>
      </c>
      <c r="E466" s="38"/>
      <c r="F466" s="270">
        <f t="shared" si="262"/>
        <v>40</v>
      </c>
      <c r="G466" s="224">
        <v>976.26</v>
      </c>
      <c r="H466" s="280"/>
      <c r="I466" s="228"/>
      <c r="J466" s="280"/>
      <c r="K466" s="203"/>
      <c r="L466" s="280"/>
      <c r="M466" s="228"/>
      <c r="N466" s="280"/>
      <c r="O466" s="203"/>
      <c r="P466" s="280">
        <v>6.31</v>
      </c>
      <c r="Q466" s="241">
        <f t="shared" si="263"/>
        <v>24.48</v>
      </c>
      <c r="R466" s="288">
        <f t="shared" si="264"/>
        <v>201</v>
      </c>
      <c r="S466" s="206">
        <f t="shared" si="265"/>
        <v>4917</v>
      </c>
      <c r="T466" s="228"/>
      <c r="U466" s="298"/>
      <c r="V466" s="208"/>
      <c r="W466" s="234">
        <v>24.48</v>
      </c>
      <c r="X466" s="301">
        <v>130</v>
      </c>
      <c r="Y466" s="208">
        <f t="shared" si="266"/>
        <v>3182.4</v>
      </c>
      <c r="Z466" s="176"/>
      <c r="AA466" s="137"/>
      <c r="AB466" s="175"/>
      <c r="AC466" s="228"/>
      <c r="AD466" s="301">
        <f t="shared" si="267"/>
        <v>71</v>
      </c>
      <c r="AE466" s="316">
        <f t="shared" si="268"/>
        <v>1734.6</v>
      </c>
    </row>
    <row r="467" spans="1:32" hidden="1" outlineLevel="2" x14ac:dyDescent="0.35">
      <c r="A467" s="38"/>
      <c r="B467" s="328" t="s">
        <v>437</v>
      </c>
      <c r="C467" s="126" t="s">
        <v>40</v>
      </c>
      <c r="D467" s="259">
        <v>6</v>
      </c>
      <c r="E467" s="38"/>
      <c r="F467" s="270">
        <f t="shared" si="262"/>
        <v>4</v>
      </c>
      <c r="G467" s="224">
        <v>22.02</v>
      </c>
      <c r="H467" s="280"/>
      <c r="I467" s="228"/>
      <c r="J467" s="280"/>
      <c r="K467" s="203"/>
      <c r="L467" s="280"/>
      <c r="M467" s="228"/>
      <c r="N467" s="280"/>
      <c r="O467" s="203"/>
      <c r="P467" s="280">
        <v>6.31</v>
      </c>
      <c r="Q467" s="241">
        <f t="shared" si="263"/>
        <v>6</v>
      </c>
      <c r="R467" s="288">
        <f t="shared" si="264"/>
        <v>20</v>
      </c>
      <c r="S467" s="206">
        <f t="shared" si="265"/>
        <v>121</v>
      </c>
      <c r="T467" s="228"/>
      <c r="U467" s="298"/>
      <c r="V467" s="208"/>
      <c r="W467" s="234">
        <v>6</v>
      </c>
      <c r="X467" s="301">
        <v>32</v>
      </c>
      <c r="Y467" s="315">
        <f t="shared" si="266"/>
        <v>192</v>
      </c>
      <c r="Z467" s="176"/>
      <c r="AA467" s="137"/>
      <c r="AB467" s="175"/>
      <c r="AC467" s="228"/>
      <c r="AD467" s="309">
        <f t="shared" si="267"/>
        <v>-12</v>
      </c>
      <c r="AE467" s="317">
        <f t="shared" si="268"/>
        <v>-71</v>
      </c>
    </row>
    <row r="468" spans="1:32" hidden="1" outlineLevel="2" x14ac:dyDescent="0.35">
      <c r="A468" s="38"/>
      <c r="B468" s="328" t="s">
        <v>375</v>
      </c>
      <c r="C468" s="126" t="s">
        <v>40</v>
      </c>
      <c r="D468" s="259">
        <v>2</v>
      </c>
      <c r="E468" s="38"/>
      <c r="F468" s="270">
        <f t="shared" si="262"/>
        <v>4</v>
      </c>
      <c r="G468" s="224">
        <v>7.84</v>
      </c>
      <c r="H468" s="280"/>
      <c r="I468" s="228"/>
      <c r="J468" s="280"/>
      <c r="K468" s="203"/>
      <c r="L468" s="280"/>
      <c r="M468" s="228"/>
      <c r="N468" s="280"/>
      <c r="O468" s="203"/>
      <c r="P468" s="280">
        <v>6.31</v>
      </c>
      <c r="Q468" s="241">
        <f t="shared" si="263"/>
        <v>2</v>
      </c>
      <c r="R468" s="288">
        <f t="shared" si="264"/>
        <v>20</v>
      </c>
      <c r="S468" s="206">
        <f t="shared" si="265"/>
        <v>40</v>
      </c>
      <c r="T468" s="228"/>
      <c r="U468" s="298"/>
      <c r="V468" s="208"/>
      <c r="W468" s="234">
        <v>2</v>
      </c>
      <c r="X468" s="301">
        <v>20</v>
      </c>
      <c r="Y468" s="315">
        <f t="shared" si="266"/>
        <v>40</v>
      </c>
      <c r="Z468" s="176"/>
      <c r="AA468" s="137"/>
      <c r="AB468" s="175"/>
      <c r="AC468" s="228"/>
      <c r="AD468" s="301">
        <f>R468-X468</f>
        <v>0</v>
      </c>
      <c r="AE468" s="316">
        <f t="shared" si="268"/>
        <v>0</v>
      </c>
    </row>
    <row r="469" spans="1:32" hidden="1" outlineLevel="2" x14ac:dyDescent="0.35">
      <c r="A469" s="38"/>
      <c r="B469" s="328" t="s">
        <v>434</v>
      </c>
      <c r="C469" s="126" t="s">
        <v>16</v>
      </c>
      <c r="D469" s="259">
        <f>0.3+0.015</f>
        <v>0.315</v>
      </c>
      <c r="E469" s="38"/>
      <c r="F469" s="270">
        <f t="shared" si="262"/>
        <v>75</v>
      </c>
      <c r="G469" s="224">
        <f>21.68+2</f>
        <v>23.68</v>
      </c>
      <c r="H469" s="280"/>
      <c r="I469" s="228"/>
      <c r="J469" s="280"/>
      <c r="K469" s="203"/>
      <c r="L469" s="280"/>
      <c r="M469" s="228"/>
      <c r="N469" s="280"/>
      <c r="O469" s="203"/>
      <c r="P469" s="280">
        <v>6.31</v>
      </c>
      <c r="Q469" s="241">
        <f t="shared" si="263"/>
        <v>0.315</v>
      </c>
      <c r="R469" s="288">
        <f t="shared" si="264"/>
        <v>377</v>
      </c>
      <c r="S469" s="206">
        <f t="shared" si="265"/>
        <v>119</v>
      </c>
      <c r="T469" s="228"/>
      <c r="U469" s="298"/>
      <c r="V469" s="208"/>
      <c r="W469" s="234">
        <f>0.3+0.015</f>
        <v>0.315</v>
      </c>
      <c r="X469" s="301">
        <v>272</v>
      </c>
      <c r="Y469" s="208">
        <f t="shared" si="266"/>
        <v>85.68</v>
      </c>
      <c r="Z469" s="176"/>
      <c r="AA469" s="137"/>
      <c r="AB469" s="175"/>
      <c r="AC469" s="228"/>
      <c r="AD469" s="301">
        <f t="shared" si="267"/>
        <v>105</v>
      </c>
      <c r="AE469" s="316">
        <f t="shared" si="268"/>
        <v>33.319999999999993</v>
      </c>
    </row>
    <row r="470" spans="1:32" hidden="1" outlineLevel="2" x14ac:dyDescent="0.35">
      <c r="A470" s="38"/>
      <c r="B470" s="328" t="s">
        <v>1218</v>
      </c>
      <c r="C470" s="126" t="s">
        <v>40</v>
      </c>
      <c r="D470" s="259">
        <v>4</v>
      </c>
      <c r="E470" s="38"/>
      <c r="F470" s="270">
        <f t="shared" si="262"/>
        <v>9</v>
      </c>
      <c r="G470" s="224">
        <v>35.119999999999997</v>
      </c>
      <c r="H470" s="280"/>
      <c r="I470" s="228"/>
      <c r="J470" s="280"/>
      <c r="K470" s="203"/>
      <c r="L470" s="280"/>
      <c r="M470" s="228"/>
      <c r="N470" s="280"/>
      <c r="O470" s="203"/>
      <c r="P470" s="280">
        <v>6.31</v>
      </c>
      <c r="Q470" s="241">
        <f t="shared" si="263"/>
        <v>4</v>
      </c>
      <c r="R470" s="288">
        <f t="shared" si="264"/>
        <v>45</v>
      </c>
      <c r="S470" s="206">
        <f t="shared" si="265"/>
        <v>181</v>
      </c>
      <c r="T470" s="228"/>
      <c r="U470" s="298"/>
      <c r="V470" s="208"/>
      <c r="W470" s="234">
        <v>4</v>
      </c>
      <c r="X470" s="301">
        <v>130</v>
      </c>
      <c r="Y470" s="315">
        <f t="shared" si="266"/>
        <v>520</v>
      </c>
      <c r="Z470" s="176"/>
      <c r="AA470" s="137"/>
      <c r="AB470" s="175"/>
      <c r="AC470" s="228"/>
      <c r="AD470" s="309">
        <f t="shared" si="267"/>
        <v>-85</v>
      </c>
      <c r="AE470" s="317">
        <f t="shared" si="268"/>
        <v>-339</v>
      </c>
    </row>
    <row r="471" spans="1:32" hidden="1" outlineLevel="2" x14ac:dyDescent="0.35">
      <c r="A471" s="38"/>
      <c r="B471" s="328" t="s">
        <v>1219</v>
      </c>
      <c r="C471" s="126" t="s">
        <v>40</v>
      </c>
      <c r="D471" s="259">
        <v>2</v>
      </c>
      <c r="E471" s="38"/>
      <c r="F471" s="270">
        <f t="shared" si="262"/>
        <v>8</v>
      </c>
      <c r="G471" s="224">
        <v>15.36</v>
      </c>
      <c r="H471" s="280"/>
      <c r="I471" s="228"/>
      <c r="J471" s="280"/>
      <c r="K471" s="203"/>
      <c r="L471" s="280"/>
      <c r="M471" s="228"/>
      <c r="N471" s="280"/>
      <c r="O471" s="203"/>
      <c r="P471" s="280">
        <v>6.31</v>
      </c>
      <c r="Q471" s="241">
        <f t="shared" si="263"/>
        <v>2</v>
      </c>
      <c r="R471" s="288">
        <f t="shared" si="264"/>
        <v>40</v>
      </c>
      <c r="S471" s="206">
        <f t="shared" si="265"/>
        <v>80</v>
      </c>
      <c r="T471" s="228"/>
      <c r="U471" s="298"/>
      <c r="V471" s="208"/>
      <c r="W471" s="234">
        <v>2</v>
      </c>
      <c r="X471" s="301">
        <v>91</v>
      </c>
      <c r="Y471" s="315">
        <f t="shared" si="266"/>
        <v>182</v>
      </c>
      <c r="Z471" s="176"/>
      <c r="AA471" s="137"/>
      <c r="AB471" s="175"/>
      <c r="AC471" s="228"/>
      <c r="AD471" s="309">
        <f t="shared" si="267"/>
        <v>-51</v>
      </c>
      <c r="AE471" s="317">
        <f t="shared" si="268"/>
        <v>-102</v>
      </c>
    </row>
    <row r="472" spans="1:32" hidden="1" outlineLevel="2" x14ac:dyDescent="0.35">
      <c r="A472" s="179"/>
      <c r="B472" s="328" t="s">
        <v>403</v>
      </c>
      <c r="C472" s="126" t="s">
        <v>28</v>
      </c>
      <c r="D472" s="259">
        <v>8.0000000000000004E-4</v>
      </c>
      <c r="E472" s="38"/>
      <c r="F472" s="270">
        <f t="shared" si="262"/>
        <v>4800</v>
      </c>
      <c r="G472" s="224">
        <v>3.84</v>
      </c>
      <c r="H472" s="280"/>
      <c r="I472" s="228"/>
      <c r="J472" s="280"/>
      <c r="K472" s="203"/>
      <c r="L472" s="280"/>
      <c r="M472" s="228"/>
      <c r="N472" s="280"/>
      <c r="O472" s="203"/>
      <c r="P472" s="280">
        <v>6.31</v>
      </c>
      <c r="Q472" s="241">
        <f t="shared" si="263"/>
        <v>8.0000000000000004E-4</v>
      </c>
      <c r="R472" s="288">
        <f t="shared" si="264"/>
        <v>24103</v>
      </c>
      <c r="S472" s="206">
        <f t="shared" si="265"/>
        <v>19</v>
      </c>
      <c r="T472" s="228"/>
      <c r="U472" s="298"/>
      <c r="V472" s="208"/>
      <c r="W472" s="234">
        <v>8.0000000000000004E-4</v>
      </c>
      <c r="X472" s="298">
        <v>37575</v>
      </c>
      <c r="Y472" s="208">
        <f t="shared" si="266"/>
        <v>30.060000000000002</v>
      </c>
      <c r="Z472" s="176"/>
      <c r="AA472" s="137"/>
      <c r="AB472" s="175"/>
      <c r="AC472" s="228"/>
      <c r="AD472" s="309">
        <f t="shared" si="267"/>
        <v>-13472</v>
      </c>
      <c r="AE472" s="317">
        <f t="shared" si="268"/>
        <v>-11.060000000000002</v>
      </c>
    </row>
    <row r="473" spans="1:32" hidden="1" outlineLevel="2" x14ac:dyDescent="0.35">
      <c r="A473" s="38"/>
      <c r="B473" s="328" t="s">
        <v>1220</v>
      </c>
      <c r="C473" s="126" t="s">
        <v>16</v>
      </c>
      <c r="D473" s="259">
        <v>0.12</v>
      </c>
      <c r="E473" s="38"/>
      <c r="F473" s="270">
        <f t="shared" si="262"/>
        <v>42</v>
      </c>
      <c r="G473" s="224">
        <v>5.04</v>
      </c>
      <c r="H473" s="280"/>
      <c r="I473" s="228"/>
      <c r="J473" s="280"/>
      <c r="K473" s="203"/>
      <c r="L473" s="280"/>
      <c r="M473" s="228"/>
      <c r="N473" s="280"/>
      <c r="O473" s="203"/>
      <c r="P473" s="280">
        <v>6.31</v>
      </c>
      <c r="Q473" s="241">
        <f t="shared" si="263"/>
        <v>0.12</v>
      </c>
      <c r="R473" s="288">
        <f t="shared" si="264"/>
        <v>211</v>
      </c>
      <c r="S473" s="206">
        <f t="shared" si="265"/>
        <v>25</v>
      </c>
      <c r="T473" s="228"/>
      <c r="U473" s="298"/>
      <c r="V473" s="208"/>
      <c r="W473" s="234">
        <v>0.12</v>
      </c>
      <c r="X473" s="301">
        <v>108</v>
      </c>
      <c r="Y473" s="208">
        <f t="shared" si="266"/>
        <v>12.959999999999999</v>
      </c>
      <c r="Z473" s="176"/>
      <c r="AA473" s="137"/>
      <c r="AB473" s="175"/>
      <c r="AC473" s="228"/>
      <c r="AD473" s="301">
        <f t="shared" si="267"/>
        <v>103</v>
      </c>
      <c r="AE473" s="316">
        <f t="shared" si="268"/>
        <v>12.040000000000001</v>
      </c>
    </row>
    <row r="474" spans="1:32" s="95" customFormat="1" hidden="1" outlineLevel="1" x14ac:dyDescent="0.3">
      <c r="A474" s="98"/>
      <c r="B474" s="160"/>
      <c r="C474" s="107"/>
      <c r="D474" s="253"/>
      <c r="E474" s="98"/>
      <c r="F474" s="154"/>
      <c r="G474" s="214"/>
      <c r="H474" s="154"/>
      <c r="I474" s="231"/>
      <c r="J474" s="154"/>
      <c r="K474" s="194"/>
      <c r="L474" s="154"/>
      <c r="M474" s="231"/>
      <c r="N474" s="154"/>
      <c r="O474" s="194"/>
      <c r="P474" s="154"/>
      <c r="Q474" s="231"/>
      <c r="R474" s="286"/>
      <c r="S474" s="194"/>
      <c r="T474" s="231"/>
      <c r="U474" s="155"/>
      <c r="V474" s="194"/>
      <c r="W474" s="231"/>
      <c r="X474" s="155"/>
      <c r="Y474" s="194"/>
      <c r="Z474" s="157"/>
      <c r="AA474" s="156"/>
      <c r="AB474" s="156"/>
      <c r="AC474" s="194"/>
      <c r="AD474" s="155"/>
      <c r="AE474" s="194"/>
    </row>
    <row r="475" spans="1:32" ht="26.25" hidden="1" customHeight="1" outlineLevel="1" x14ac:dyDescent="0.3">
      <c r="A475" s="399"/>
      <c r="B475" s="1082" t="s">
        <v>538</v>
      </c>
      <c r="C475" s="1083"/>
      <c r="D475" s="1083"/>
      <c r="E475" s="1083"/>
      <c r="F475" s="1084"/>
      <c r="G475" s="333">
        <f>SUM(G476:G489)</f>
        <v>11227.38</v>
      </c>
      <c r="H475" s="320"/>
      <c r="I475" s="320"/>
      <c r="J475" s="320"/>
      <c r="K475" s="321">
        <f>SUM(K476:K489)</f>
        <v>0</v>
      </c>
      <c r="L475" s="320"/>
      <c r="M475" s="320"/>
      <c r="N475" s="320"/>
      <c r="O475" s="321">
        <f>SUM(O476:O489)</f>
        <v>0</v>
      </c>
      <c r="P475" s="320"/>
      <c r="Q475" s="320"/>
      <c r="R475" s="320"/>
      <c r="S475" s="321">
        <f>SUM(S476:S489)</f>
        <v>59739</v>
      </c>
      <c r="T475" s="320"/>
      <c r="U475" s="322"/>
      <c r="V475" s="321">
        <f>SUM(V476:V489)</f>
        <v>0</v>
      </c>
      <c r="W475" s="320"/>
      <c r="X475" s="322"/>
      <c r="Y475" s="321">
        <f>SUM(Y476:Y489)</f>
        <v>48827.060000000005</v>
      </c>
      <c r="Z475" s="322"/>
      <c r="AA475" s="322"/>
      <c r="AB475" s="322"/>
      <c r="AC475" s="322"/>
      <c r="AD475" s="322"/>
      <c r="AE475" s="325">
        <f>SUM(AE476:AE489)</f>
        <v>10911.940000000002</v>
      </c>
      <c r="AF475" s="326">
        <f>AE475/S475</f>
        <v>0.18266023870503359</v>
      </c>
    </row>
    <row r="476" spans="1:32" hidden="1" outlineLevel="2" x14ac:dyDescent="0.3">
      <c r="B476" s="334" t="s">
        <v>439</v>
      </c>
      <c r="C476" s="78" t="s">
        <v>40</v>
      </c>
      <c r="D476" s="255">
        <v>3</v>
      </c>
      <c r="E476" s="64"/>
      <c r="F476" s="265">
        <f>ROUND(G476/D476,0)</f>
        <v>4</v>
      </c>
      <c r="G476" s="215">
        <v>11.4</v>
      </c>
      <c r="H476" s="272"/>
      <c r="I476" s="236"/>
      <c r="J476" s="265"/>
      <c r="K476" s="193"/>
      <c r="L476" s="272"/>
      <c r="M476" s="236"/>
      <c r="N476" s="265"/>
      <c r="O476" s="193"/>
      <c r="P476" s="282">
        <v>6.62</v>
      </c>
      <c r="Q476" s="236">
        <f>D476-I476-M476</f>
        <v>3</v>
      </c>
      <c r="R476" s="265">
        <f t="shared" ref="R476:R481" si="269">ROUND(F476*P476*0.7958,0)</f>
        <v>21</v>
      </c>
      <c r="S476" s="193">
        <f t="shared" ref="S476:S481" si="270">ROUND(Q476*P476*F476*0.7958,0)</f>
        <v>63</v>
      </c>
      <c r="T476" s="230"/>
      <c r="U476" s="290"/>
      <c r="V476" s="200"/>
      <c r="W476" s="232">
        <f t="shared" ref="W476:W489" si="271">Q476</f>
        <v>3</v>
      </c>
      <c r="X476" s="289">
        <v>27.28</v>
      </c>
      <c r="Y476" s="199">
        <f t="shared" ref="Y476:Y489" si="272">W476*X476</f>
        <v>81.84</v>
      </c>
      <c r="Z476" s="153"/>
      <c r="AA476" s="147"/>
      <c r="AB476" s="101">
        <f t="shared" ref="AB476:AB481" si="273">ROUND(Z476*AA476,0)</f>
        <v>0</v>
      </c>
      <c r="AC476" s="226"/>
      <c r="AD476" s="302">
        <f t="shared" ref="AD476" si="274">R476-X476</f>
        <v>-6.2800000000000011</v>
      </c>
      <c r="AE476" s="202">
        <f t="shared" ref="AE476" si="275">S476-Y476</f>
        <v>-18.840000000000003</v>
      </c>
    </row>
    <row r="477" spans="1:32" hidden="1" outlineLevel="2" x14ac:dyDescent="0.3">
      <c r="A477" s="142"/>
      <c r="B477" s="334" t="s">
        <v>440</v>
      </c>
      <c r="C477" s="78" t="s">
        <v>40</v>
      </c>
      <c r="D477" s="255">
        <v>90</v>
      </c>
      <c r="E477" s="64"/>
      <c r="F477" s="267">
        <f>G477/D477</f>
        <v>0.26911111111111108</v>
      </c>
      <c r="G477" s="215">
        <v>24.22</v>
      </c>
      <c r="H477" s="272"/>
      <c r="I477" s="236"/>
      <c r="J477" s="265"/>
      <c r="K477" s="193"/>
      <c r="L477" s="272"/>
      <c r="M477" s="236"/>
      <c r="N477" s="265"/>
      <c r="O477" s="193"/>
      <c r="P477" s="282">
        <v>6.62</v>
      </c>
      <c r="Q477" s="236">
        <f>D477-I477-M477</f>
        <v>90</v>
      </c>
      <c r="R477" s="265">
        <f t="shared" si="269"/>
        <v>1</v>
      </c>
      <c r="S477" s="193">
        <f t="shared" si="270"/>
        <v>128</v>
      </c>
      <c r="T477" s="230"/>
      <c r="U477" s="290"/>
      <c r="V477" s="200"/>
      <c r="W477" s="232">
        <f t="shared" si="271"/>
        <v>90</v>
      </c>
      <c r="X477" s="289">
        <v>1.78</v>
      </c>
      <c r="Y477" s="199">
        <f t="shared" si="272"/>
        <v>160.19999999999999</v>
      </c>
      <c r="Z477" s="153"/>
      <c r="AA477" s="147"/>
      <c r="AB477" s="101">
        <f t="shared" si="273"/>
        <v>0</v>
      </c>
      <c r="AC477" s="226"/>
      <c r="AD477" s="302">
        <f t="shared" ref="AD477:AD489" si="276">R477-X477</f>
        <v>-0.78</v>
      </c>
      <c r="AE477" s="202">
        <f t="shared" ref="AE477:AE489" si="277">S477-Y477</f>
        <v>-32.199999999999989</v>
      </c>
    </row>
    <row r="478" spans="1:32" ht="35.25" hidden="1" customHeight="1" outlineLevel="2" x14ac:dyDescent="0.3">
      <c r="A478" s="141"/>
      <c r="B478" s="334" t="s">
        <v>915</v>
      </c>
      <c r="C478" s="78" t="s">
        <v>5</v>
      </c>
      <c r="D478" s="255">
        <v>250</v>
      </c>
      <c r="E478" s="64" t="s">
        <v>916</v>
      </c>
      <c r="F478" s="265">
        <f>ROUND(G478/240,0)</f>
        <v>12</v>
      </c>
      <c r="G478" s="215">
        <v>2783.33</v>
      </c>
      <c r="H478" s="272"/>
      <c r="I478" s="236"/>
      <c r="J478" s="265"/>
      <c r="K478" s="193"/>
      <c r="L478" s="272"/>
      <c r="M478" s="236"/>
      <c r="N478" s="265"/>
      <c r="O478" s="193"/>
      <c r="P478" s="282">
        <v>6.62</v>
      </c>
      <c r="Q478" s="236">
        <v>240</v>
      </c>
      <c r="R478" s="265">
        <f t="shared" si="269"/>
        <v>63</v>
      </c>
      <c r="S478" s="193">
        <f t="shared" si="270"/>
        <v>15172</v>
      </c>
      <c r="T478" s="230"/>
      <c r="U478" s="290"/>
      <c r="V478" s="200"/>
      <c r="W478" s="232">
        <v>250</v>
      </c>
      <c r="X478" s="289">
        <v>37.26</v>
      </c>
      <c r="Y478" s="199">
        <f t="shared" si="272"/>
        <v>9315</v>
      </c>
      <c r="Z478" s="153"/>
      <c r="AA478" s="147"/>
      <c r="AB478" s="101">
        <f t="shared" si="273"/>
        <v>0</v>
      </c>
      <c r="AC478" s="226"/>
      <c r="AD478" s="304">
        <f t="shared" si="276"/>
        <v>25.740000000000002</v>
      </c>
      <c r="AE478" s="305">
        <f t="shared" si="277"/>
        <v>5857</v>
      </c>
    </row>
    <row r="479" spans="1:32" ht="35.25" hidden="1" customHeight="1" outlineLevel="2" x14ac:dyDescent="0.3">
      <c r="A479" s="141"/>
      <c r="B479" s="334" t="s">
        <v>441</v>
      </c>
      <c r="C479" s="78" t="s">
        <v>5</v>
      </c>
      <c r="D479" s="255">
        <v>90</v>
      </c>
      <c r="E479" s="64" t="s">
        <v>917</v>
      </c>
      <c r="F479" s="265">
        <f>ROUND(G479/60,0)</f>
        <v>23</v>
      </c>
      <c r="G479" s="215">
        <v>1388.92</v>
      </c>
      <c r="H479" s="272"/>
      <c r="I479" s="236"/>
      <c r="J479" s="265"/>
      <c r="K479" s="193"/>
      <c r="L479" s="272"/>
      <c r="M479" s="236"/>
      <c r="N479" s="265"/>
      <c r="O479" s="193"/>
      <c r="P479" s="282">
        <v>6.62</v>
      </c>
      <c r="Q479" s="236">
        <v>60</v>
      </c>
      <c r="R479" s="265">
        <f t="shared" si="269"/>
        <v>121</v>
      </c>
      <c r="S479" s="193">
        <f t="shared" si="270"/>
        <v>7270</v>
      </c>
      <c r="T479" s="230"/>
      <c r="U479" s="290"/>
      <c r="V479" s="200"/>
      <c r="W479" s="232">
        <v>90</v>
      </c>
      <c r="X479" s="289">
        <v>43.38</v>
      </c>
      <c r="Y479" s="199">
        <f t="shared" si="272"/>
        <v>3904.2000000000003</v>
      </c>
      <c r="Z479" s="153"/>
      <c r="AA479" s="147"/>
      <c r="AB479" s="101">
        <f t="shared" si="273"/>
        <v>0</v>
      </c>
      <c r="AC479" s="226"/>
      <c r="AD479" s="304">
        <f t="shared" si="276"/>
        <v>77.62</v>
      </c>
      <c r="AE479" s="305">
        <f t="shared" si="277"/>
        <v>3365.7999999999997</v>
      </c>
    </row>
    <row r="480" spans="1:32" ht="31.5" hidden="1" customHeight="1" outlineLevel="2" x14ac:dyDescent="0.3">
      <c r="A480" s="141"/>
      <c r="B480" s="334" t="s">
        <v>442</v>
      </c>
      <c r="C480" s="78" t="s">
        <v>5</v>
      </c>
      <c r="D480" s="255">
        <v>100</v>
      </c>
      <c r="E480" s="64" t="s">
        <v>917</v>
      </c>
      <c r="F480" s="265">
        <f>ROUND(G480/60,0)</f>
        <v>7</v>
      </c>
      <c r="G480" s="215">
        <v>400.61</v>
      </c>
      <c r="H480" s="272"/>
      <c r="I480" s="236"/>
      <c r="J480" s="265"/>
      <c r="K480" s="193"/>
      <c r="L480" s="272"/>
      <c r="M480" s="236"/>
      <c r="N480" s="265"/>
      <c r="O480" s="193"/>
      <c r="P480" s="282">
        <v>6.62</v>
      </c>
      <c r="Q480" s="236">
        <v>60</v>
      </c>
      <c r="R480" s="265">
        <f t="shared" si="269"/>
        <v>37</v>
      </c>
      <c r="S480" s="193">
        <f t="shared" si="270"/>
        <v>2213</v>
      </c>
      <c r="T480" s="230"/>
      <c r="U480" s="290"/>
      <c r="V480" s="200"/>
      <c r="W480" s="232">
        <v>100</v>
      </c>
      <c r="X480" s="289">
        <v>25.6</v>
      </c>
      <c r="Y480" s="199">
        <f t="shared" si="272"/>
        <v>2560</v>
      </c>
      <c r="Z480" s="153"/>
      <c r="AA480" s="147"/>
      <c r="AB480" s="101">
        <f t="shared" si="273"/>
        <v>0</v>
      </c>
      <c r="AC480" s="226"/>
      <c r="AD480" s="304">
        <f t="shared" si="276"/>
        <v>11.399999999999999</v>
      </c>
      <c r="AE480" s="305">
        <f t="shared" si="277"/>
        <v>-347</v>
      </c>
    </row>
    <row r="481" spans="1:32" ht="30" hidden="1" customHeight="1" outlineLevel="2" x14ac:dyDescent="0.3">
      <c r="A481" s="141"/>
      <c r="B481" s="334" t="s">
        <v>443</v>
      </c>
      <c r="C481" s="78" t="s">
        <v>5</v>
      </c>
      <c r="D481" s="255">
        <v>40</v>
      </c>
      <c r="E481" s="64"/>
      <c r="F481" s="265">
        <f>ROUND(G481/D481,0)</f>
        <v>12</v>
      </c>
      <c r="G481" s="215">
        <v>461.54</v>
      </c>
      <c r="H481" s="272"/>
      <c r="I481" s="236"/>
      <c r="J481" s="265"/>
      <c r="K481" s="193"/>
      <c r="L481" s="272"/>
      <c r="M481" s="236"/>
      <c r="N481" s="265"/>
      <c r="O481" s="193"/>
      <c r="P481" s="282">
        <v>6.62</v>
      </c>
      <c r="Q481" s="236">
        <f>D481-I481-M481</f>
        <v>40</v>
      </c>
      <c r="R481" s="265">
        <f t="shared" si="269"/>
        <v>63</v>
      </c>
      <c r="S481" s="193">
        <f t="shared" si="270"/>
        <v>2529</v>
      </c>
      <c r="T481" s="230"/>
      <c r="U481" s="290"/>
      <c r="V481" s="200"/>
      <c r="W481" s="232">
        <f t="shared" si="271"/>
        <v>40</v>
      </c>
      <c r="X481" s="289">
        <v>53.28</v>
      </c>
      <c r="Y481" s="199">
        <f t="shared" si="272"/>
        <v>2131.1999999999998</v>
      </c>
      <c r="Z481" s="153"/>
      <c r="AA481" s="147"/>
      <c r="AB481" s="101">
        <f t="shared" si="273"/>
        <v>0</v>
      </c>
      <c r="AC481" s="226"/>
      <c r="AD481" s="304">
        <f t="shared" si="276"/>
        <v>9.7199999999999989</v>
      </c>
      <c r="AE481" s="305">
        <f t="shared" si="277"/>
        <v>397.80000000000018</v>
      </c>
    </row>
    <row r="482" spans="1:32" ht="28.5" hidden="1" customHeight="1" outlineLevel="2" x14ac:dyDescent="0.3">
      <c r="A482" s="141"/>
      <c r="B482" s="334" t="s">
        <v>918</v>
      </c>
      <c r="C482" s="78" t="s">
        <v>5</v>
      </c>
      <c r="D482" s="255">
        <v>70</v>
      </c>
      <c r="E482" s="144" t="s">
        <v>914</v>
      </c>
      <c r="F482" s="265"/>
      <c r="G482" s="215"/>
      <c r="H482" s="272"/>
      <c r="I482" s="236"/>
      <c r="J482" s="265"/>
      <c r="K482" s="193"/>
      <c r="L482" s="272"/>
      <c r="M482" s="236"/>
      <c r="N482" s="265"/>
      <c r="O482" s="193"/>
      <c r="P482" s="282"/>
      <c r="Q482" s="236"/>
      <c r="R482" s="265"/>
      <c r="S482" s="193"/>
      <c r="T482" s="230"/>
      <c r="U482" s="290"/>
      <c r="V482" s="200"/>
      <c r="W482" s="232">
        <v>70</v>
      </c>
      <c r="X482" s="289">
        <v>56.47</v>
      </c>
      <c r="Y482" s="199">
        <f t="shared" si="272"/>
        <v>3952.9</v>
      </c>
      <c r="Z482" s="153"/>
      <c r="AA482" s="147"/>
      <c r="AB482" s="101">
        <f t="shared" ref="AB482" si="278">ROUND(Z482*AA482,0)</f>
        <v>0</v>
      </c>
      <c r="AC482" s="226"/>
      <c r="AD482" s="302">
        <f t="shared" si="276"/>
        <v>-56.47</v>
      </c>
      <c r="AE482" s="202">
        <f t="shared" si="277"/>
        <v>-3952.9</v>
      </c>
    </row>
    <row r="483" spans="1:32" hidden="1" outlineLevel="2" x14ac:dyDescent="0.3">
      <c r="A483" s="141"/>
      <c r="B483" s="334" t="s">
        <v>919</v>
      </c>
      <c r="C483" s="78" t="s">
        <v>5</v>
      </c>
      <c r="D483" s="255">
        <v>40</v>
      </c>
      <c r="E483" s="64"/>
      <c r="F483" s="265">
        <f t="shared" ref="F483:F489" si="279">ROUND(G483/D483,0)</f>
        <v>43</v>
      </c>
      <c r="G483" s="215">
        <v>1731.2</v>
      </c>
      <c r="H483" s="272"/>
      <c r="I483" s="236"/>
      <c r="J483" s="265"/>
      <c r="K483" s="193"/>
      <c r="L483" s="272"/>
      <c r="M483" s="236"/>
      <c r="N483" s="265"/>
      <c r="O483" s="193"/>
      <c r="P483" s="282">
        <v>6.62</v>
      </c>
      <c r="Q483" s="236">
        <f t="shared" ref="Q483:Q489" si="280">D483-I483-M483</f>
        <v>40</v>
      </c>
      <c r="R483" s="265">
        <f t="shared" ref="R483:R489" si="281">ROUND(F483*P483*0.7958,0)</f>
        <v>227</v>
      </c>
      <c r="S483" s="193">
        <f t="shared" ref="S483:S489" si="282">ROUND(Q483*P483*F483*0.7958,0)</f>
        <v>9061</v>
      </c>
      <c r="T483" s="230"/>
      <c r="U483" s="290"/>
      <c r="V483" s="200"/>
      <c r="W483" s="232">
        <f t="shared" si="271"/>
        <v>40</v>
      </c>
      <c r="X483" s="289">
        <v>46</v>
      </c>
      <c r="Y483" s="199">
        <f t="shared" si="272"/>
        <v>1840</v>
      </c>
      <c r="Z483" s="153"/>
      <c r="AA483" s="147"/>
      <c r="AB483" s="101">
        <f t="shared" ref="AB483:AB489" si="283">ROUND(Z483*AA483,0)</f>
        <v>0</v>
      </c>
      <c r="AC483" s="226"/>
      <c r="AD483" s="304">
        <f t="shared" si="276"/>
        <v>181</v>
      </c>
      <c r="AE483" s="305">
        <f t="shared" si="277"/>
        <v>7221</v>
      </c>
    </row>
    <row r="484" spans="1:32" hidden="1" outlineLevel="2" x14ac:dyDescent="0.3">
      <c r="B484" s="334" t="s">
        <v>444</v>
      </c>
      <c r="C484" s="78" t="s">
        <v>40</v>
      </c>
      <c r="D484" s="255">
        <v>10</v>
      </c>
      <c r="E484" s="64"/>
      <c r="F484" s="265">
        <f t="shared" si="279"/>
        <v>2</v>
      </c>
      <c r="G484" s="215">
        <v>20.399999999999999</v>
      </c>
      <c r="H484" s="272"/>
      <c r="I484" s="236"/>
      <c r="J484" s="265"/>
      <c r="K484" s="193"/>
      <c r="L484" s="272"/>
      <c r="M484" s="236"/>
      <c r="N484" s="265"/>
      <c r="O484" s="193"/>
      <c r="P484" s="282">
        <v>6.62</v>
      </c>
      <c r="Q484" s="236">
        <f t="shared" si="280"/>
        <v>10</v>
      </c>
      <c r="R484" s="265">
        <f t="shared" si="281"/>
        <v>11</v>
      </c>
      <c r="S484" s="193">
        <f t="shared" si="282"/>
        <v>105</v>
      </c>
      <c r="T484" s="230"/>
      <c r="U484" s="290"/>
      <c r="V484" s="200"/>
      <c r="W484" s="232">
        <f t="shared" si="271"/>
        <v>10</v>
      </c>
      <c r="X484" s="289">
        <v>3.9</v>
      </c>
      <c r="Y484" s="199">
        <f t="shared" si="272"/>
        <v>39</v>
      </c>
      <c r="Z484" s="153"/>
      <c r="AA484" s="147"/>
      <c r="AB484" s="101">
        <f t="shared" si="283"/>
        <v>0</v>
      </c>
      <c r="AC484" s="226"/>
      <c r="AD484" s="304">
        <f t="shared" si="276"/>
        <v>7.1</v>
      </c>
      <c r="AE484" s="305">
        <f t="shared" si="277"/>
        <v>66</v>
      </c>
    </row>
    <row r="485" spans="1:32" hidden="1" outlineLevel="2" x14ac:dyDescent="0.3">
      <c r="B485" s="334" t="s">
        <v>427</v>
      </c>
      <c r="C485" s="78" t="s">
        <v>16</v>
      </c>
      <c r="D485" s="255">
        <v>1.66</v>
      </c>
      <c r="E485" s="64"/>
      <c r="F485" s="265">
        <f t="shared" si="279"/>
        <v>70</v>
      </c>
      <c r="G485" s="215">
        <v>115.6</v>
      </c>
      <c r="H485" s="272"/>
      <c r="I485" s="236"/>
      <c r="J485" s="265"/>
      <c r="K485" s="193"/>
      <c r="L485" s="272"/>
      <c r="M485" s="236"/>
      <c r="N485" s="265"/>
      <c r="O485" s="193"/>
      <c r="P485" s="282">
        <v>6.62</v>
      </c>
      <c r="Q485" s="236">
        <f t="shared" si="280"/>
        <v>1.66</v>
      </c>
      <c r="R485" s="265">
        <f t="shared" si="281"/>
        <v>369</v>
      </c>
      <c r="S485" s="193">
        <f t="shared" si="282"/>
        <v>612</v>
      </c>
      <c r="T485" s="230"/>
      <c r="U485" s="290"/>
      <c r="V485" s="200"/>
      <c r="W485" s="232">
        <f t="shared" si="271"/>
        <v>1.66</v>
      </c>
      <c r="X485" s="289">
        <v>272</v>
      </c>
      <c r="Y485" s="199">
        <f t="shared" si="272"/>
        <v>451.52</v>
      </c>
      <c r="Z485" s="153"/>
      <c r="AA485" s="147"/>
      <c r="AB485" s="101">
        <f t="shared" si="283"/>
        <v>0</v>
      </c>
      <c r="AC485" s="226"/>
      <c r="AD485" s="304">
        <f t="shared" si="276"/>
        <v>97</v>
      </c>
      <c r="AE485" s="305">
        <f t="shared" si="277"/>
        <v>160.48000000000002</v>
      </c>
    </row>
    <row r="486" spans="1:32" hidden="1" outlineLevel="2" x14ac:dyDescent="0.3">
      <c r="B486" s="334" t="s">
        <v>445</v>
      </c>
      <c r="C486" s="78" t="s">
        <v>28</v>
      </c>
      <c r="D486" s="255">
        <v>0.56399999999999995</v>
      </c>
      <c r="E486" s="64"/>
      <c r="F486" s="265">
        <f t="shared" si="279"/>
        <v>5968</v>
      </c>
      <c r="G486" s="215">
        <v>3365.82</v>
      </c>
      <c r="H486" s="272"/>
      <c r="I486" s="236"/>
      <c r="J486" s="265"/>
      <c r="K486" s="193"/>
      <c r="L486" s="272"/>
      <c r="M486" s="236"/>
      <c r="N486" s="265"/>
      <c r="O486" s="193"/>
      <c r="P486" s="282">
        <v>6.62</v>
      </c>
      <c r="Q486" s="236">
        <f t="shared" si="280"/>
        <v>0.56399999999999995</v>
      </c>
      <c r="R486" s="265">
        <f t="shared" si="281"/>
        <v>31441</v>
      </c>
      <c r="S486" s="193">
        <f t="shared" si="282"/>
        <v>17732</v>
      </c>
      <c r="T486" s="230"/>
      <c r="U486" s="290"/>
      <c r="V486" s="200"/>
      <c r="W486" s="232">
        <f t="shared" si="271"/>
        <v>0.56399999999999995</v>
      </c>
      <c r="X486" s="289">
        <v>37400</v>
      </c>
      <c r="Y486" s="199">
        <f t="shared" si="272"/>
        <v>21093.599999999999</v>
      </c>
      <c r="Z486" s="153"/>
      <c r="AA486" s="147"/>
      <c r="AB486" s="101">
        <f t="shared" si="283"/>
        <v>0</v>
      </c>
      <c r="AC486" s="226"/>
      <c r="AD486" s="302">
        <f t="shared" si="276"/>
        <v>-5959</v>
      </c>
      <c r="AE486" s="202">
        <f t="shared" si="277"/>
        <v>-3361.5999999999985</v>
      </c>
    </row>
    <row r="487" spans="1:32" ht="30" hidden="1" customHeight="1" outlineLevel="2" x14ac:dyDescent="0.3">
      <c r="A487" s="141"/>
      <c r="B487" s="334" t="s">
        <v>1341</v>
      </c>
      <c r="C487" s="78" t="s">
        <v>5</v>
      </c>
      <c r="D487" s="255">
        <v>80</v>
      </c>
      <c r="E487" s="64"/>
      <c r="F487" s="265">
        <f t="shared" si="279"/>
        <v>7</v>
      </c>
      <c r="G487" s="215">
        <v>574.88</v>
      </c>
      <c r="H487" s="272"/>
      <c r="I487" s="236"/>
      <c r="J487" s="265"/>
      <c r="K487" s="193"/>
      <c r="L487" s="272"/>
      <c r="M487" s="236"/>
      <c r="N487" s="265"/>
      <c r="O487" s="193"/>
      <c r="P487" s="282">
        <v>6.62</v>
      </c>
      <c r="Q487" s="236">
        <f t="shared" si="280"/>
        <v>80</v>
      </c>
      <c r="R487" s="265">
        <f t="shared" si="281"/>
        <v>37</v>
      </c>
      <c r="S487" s="193">
        <f t="shared" si="282"/>
        <v>2950</v>
      </c>
      <c r="T487" s="230"/>
      <c r="U487" s="290"/>
      <c r="V487" s="200"/>
      <c r="W487" s="232">
        <f t="shared" si="271"/>
        <v>80</v>
      </c>
      <c r="X487" s="289">
        <v>21.6</v>
      </c>
      <c r="Y487" s="199">
        <f t="shared" si="272"/>
        <v>1728</v>
      </c>
      <c r="Z487" s="153"/>
      <c r="AA487" s="147"/>
      <c r="AB487" s="101">
        <f t="shared" si="283"/>
        <v>0</v>
      </c>
      <c r="AC487" s="226"/>
      <c r="AD487" s="304">
        <f t="shared" si="276"/>
        <v>15.399999999999999</v>
      </c>
      <c r="AE487" s="305">
        <f t="shared" si="277"/>
        <v>1222</v>
      </c>
    </row>
    <row r="488" spans="1:32" hidden="1" outlineLevel="2" x14ac:dyDescent="0.3">
      <c r="A488" s="142"/>
      <c r="B488" s="334" t="s">
        <v>410</v>
      </c>
      <c r="C488" s="78" t="s">
        <v>16</v>
      </c>
      <c r="D488" s="255">
        <v>4.32</v>
      </c>
      <c r="E488" s="64"/>
      <c r="F488" s="265">
        <f t="shared" si="279"/>
        <v>17</v>
      </c>
      <c r="G488" s="215">
        <v>72.62</v>
      </c>
      <c r="H488" s="272"/>
      <c r="I488" s="236"/>
      <c r="J488" s="265"/>
      <c r="K488" s="193"/>
      <c r="L488" s="272"/>
      <c r="M488" s="236"/>
      <c r="N488" s="265"/>
      <c r="O488" s="193"/>
      <c r="P488" s="282">
        <v>6.62</v>
      </c>
      <c r="Q488" s="236">
        <f t="shared" si="280"/>
        <v>4.32</v>
      </c>
      <c r="R488" s="265">
        <f t="shared" si="281"/>
        <v>90</v>
      </c>
      <c r="S488" s="193">
        <f t="shared" si="282"/>
        <v>387</v>
      </c>
      <c r="T488" s="230"/>
      <c r="U488" s="290"/>
      <c r="V488" s="200"/>
      <c r="W488" s="232">
        <f t="shared" si="271"/>
        <v>4.32</v>
      </c>
      <c r="X488" s="289">
        <v>330</v>
      </c>
      <c r="Y488" s="199">
        <f t="shared" si="272"/>
        <v>1425.6000000000001</v>
      </c>
      <c r="Z488" s="153"/>
      <c r="AA488" s="147"/>
      <c r="AB488" s="101">
        <f t="shared" si="283"/>
        <v>0</v>
      </c>
      <c r="AC488" s="226"/>
      <c r="AD488" s="302">
        <f t="shared" si="276"/>
        <v>-240</v>
      </c>
      <c r="AE488" s="202">
        <f t="shared" si="277"/>
        <v>-1038.6000000000001</v>
      </c>
    </row>
    <row r="489" spans="1:32" hidden="1" outlineLevel="2" x14ac:dyDescent="0.3">
      <c r="B489" s="334" t="s">
        <v>446</v>
      </c>
      <c r="C489" s="78" t="s">
        <v>40</v>
      </c>
      <c r="D489" s="255">
        <v>36</v>
      </c>
      <c r="E489" s="64"/>
      <c r="F489" s="265">
        <f t="shared" si="279"/>
        <v>8</v>
      </c>
      <c r="G489" s="215">
        <v>276.83999999999997</v>
      </c>
      <c r="H489" s="272"/>
      <c r="I489" s="236"/>
      <c r="J489" s="265"/>
      <c r="K489" s="193"/>
      <c r="L489" s="272"/>
      <c r="M489" s="236"/>
      <c r="N489" s="265"/>
      <c r="O489" s="193"/>
      <c r="P489" s="282">
        <v>6.62</v>
      </c>
      <c r="Q489" s="236">
        <f t="shared" si="280"/>
        <v>36</v>
      </c>
      <c r="R489" s="265">
        <f t="shared" si="281"/>
        <v>42</v>
      </c>
      <c r="S489" s="193">
        <f t="shared" si="282"/>
        <v>1517</v>
      </c>
      <c r="T489" s="230"/>
      <c r="U489" s="290"/>
      <c r="V489" s="200"/>
      <c r="W489" s="232">
        <f t="shared" si="271"/>
        <v>36</v>
      </c>
      <c r="X489" s="289">
        <v>4</v>
      </c>
      <c r="Y489" s="199">
        <f t="shared" si="272"/>
        <v>144</v>
      </c>
      <c r="Z489" s="153"/>
      <c r="AA489" s="147"/>
      <c r="AB489" s="101">
        <f t="shared" si="283"/>
        <v>0</v>
      </c>
      <c r="AC489" s="226"/>
      <c r="AD489" s="304">
        <f t="shared" si="276"/>
        <v>38</v>
      </c>
      <c r="AE489" s="305">
        <f t="shared" si="277"/>
        <v>1373</v>
      </c>
    </row>
    <row r="490" spans="1:32" s="95" customFormat="1" hidden="1" outlineLevel="1" x14ac:dyDescent="0.3">
      <c r="A490" s="98"/>
      <c r="B490" s="160"/>
      <c r="C490" s="107"/>
      <c r="D490" s="253"/>
      <c r="E490" s="98"/>
      <c r="F490" s="154"/>
      <c r="G490" s="214"/>
      <c r="H490" s="154"/>
      <c r="I490" s="231"/>
      <c r="J490" s="154"/>
      <c r="K490" s="194"/>
      <c r="L490" s="154"/>
      <c r="M490" s="231"/>
      <c r="N490" s="154"/>
      <c r="O490" s="194"/>
      <c r="P490" s="154"/>
      <c r="Q490" s="231"/>
      <c r="R490" s="286"/>
      <c r="S490" s="194"/>
      <c r="T490" s="231"/>
      <c r="U490" s="155"/>
      <c r="V490" s="194"/>
      <c r="W490" s="231"/>
      <c r="X490" s="155"/>
      <c r="Y490" s="194"/>
      <c r="Z490" s="157"/>
      <c r="AA490" s="156"/>
      <c r="AB490" s="156"/>
      <c r="AC490" s="194"/>
      <c r="AD490" s="155"/>
      <c r="AE490" s="194"/>
    </row>
    <row r="491" spans="1:32" s="142" customFormat="1" ht="26.25" hidden="1" customHeight="1" collapsed="1" x14ac:dyDescent="0.3">
      <c r="A491" s="393"/>
      <c r="B491" s="996" t="s">
        <v>1359</v>
      </c>
      <c r="C491" s="997"/>
      <c r="D491" s="997"/>
      <c r="E491" s="997"/>
      <c r="F491" s="998"/>
      <c r="G491" s="401">
        <f>G701+G751+G759+G774+G789+G809+G492+G613+G824+G835</f>
        <v>5247778.5399999991</v>
      </c>
      <c r="H491" s="402"/>
      <c r="I491" s="402"/>
      <c r="J491" s="402"/>
      <c r="K491" s="397">
        <f ca="1">SUM(K490:K607)</f>
        <v>10180800</v>
      </c>
      <c r="L491" s="402"/>
      <c r="M491" s="402"/>
      <c r="N491" s="402"/>
      <c r="O491" s="397">
        <f ca="1">SUM(O490:O607)</f>
        <v>5237398</v>
      </c>
      <c r="P491" s="402"/>
      <c r="Q491" s="402"/>
      <c r="R491" s="402"/>
      <c r="S491" s="397">
        <f ca="1">SUM(S490:S607)</f>
        <v>10063897.197999999</v>
      </c>
      <c r="T491" s="402"/>
      <c r="U491" s="403"/>
      <c r="V491" s="401">
        <f>V701+V751+V759+V774+V789+V809+V492+V613+V824+V835</f>
        <v>12715633.575794</v>
      </c>
      <c r="W491" s="402"/>
      <c r="X491" s="403"/>
      <c r="Y491" s="401">
        <f>Y701+Y751+Y759+Y774+Y789+Y809+Y492+Y613+Y824+Y835</f>
        <v>22310077.591520667</v>
      </c>
      <c r="Z491" s="404"/>
      <c r="AA491" s="403"/>
      <c r="AB491" s="403"/>
      <c r="AC491" s="403"/>
      <c r="AD491" s="403"/>
      <c r="AE491" s="407">
        <f>AE701+AE751+AE759+AE774+AE789+AE809+AE492+AE613+AE824+AE835</f>
        <v>-9234390.705314666</v>
      </c>
      <c r="AF491" s="398">
        <f ca="1">AE491/S491</f>
        <v>-0.91757601688835011</v>
      </c>
    </row>
    <row r="492" spans="1:32" ht="27.75" hidden="1" customHeight="1" outlineLevel="1" x14ac:dyDescent="0.3">
      <c r="A492" s="400"/>
      <c r="B492" s="1082" t="s">
        <v>544</v>
      </c>
      <c r="C492" s="1083"/>
      <c r="D492" s="1083"/>
      <c r="E492" s="1083"/>
      <c r="F492" s="1084"/>
      <c r="G492" s="333">
        <f>SUM(G493:G611)</f>
        <v>2588597.8699999987</v>
      </c>
      <c r="H492" s="320"/>
      <c r="I492" s="320"/>
      <c r="J492" s="320"/>
      <c r="K492" s="336">
        <f>SUM(K493:K611)</f>
        <v>5094476</v>
      </c>
      <c r="L492" s="320"/>
      <c r="M492" s="320"/>
      <c r="N492" s="320"/>
      <c r="O492" s="336">
        <f>SUM(O493:O611)</f>
        <v>2628893</v>
      </c>
      <c r="P492" s="320"/>
      <c r="Q492" s="320"/>
      <c r="R492" s="320"/>
      <c r="S492" s="336">
        <f>SUM(S493:S611)</f>
        <v>5055673.0989999995</v>
      </c>
      <c r="T492" s="320"/>
      <c r="U492" s="322"/>
      <c r="V492" s="321">
        <f>SUM(V493:V611)</f>
        <v>11801103.83127</v>
      </c>
      <c r="W492" s="320"/>
      <c r="X492" s="322"/>
      <c r="Y492" s="321">
        <f>SUM(Y493:Y611)</f>
        <v>10614193.662136665</v>
      </c>
      <c r="Z492" s="322"/>
      <c r="AA492" s="322"/>
      <c r="AB492" s="322"/>
      <c r="AC492" s="322"/>
      <c r="AD492" s="322"/>
      <c r="AE492" s="338">
        <f>SUM(AE493:AE611)</f>
        <v>-9320785.0314066671</v>
      </c>
      <c r="AF492" s="324">
        <f>AE492/S492</f>
        <v>-1.8436288994338452</v>
      </c>
    </row>
    <row r="493" spans="1:32" s="173" customFormat="1" ht="36.75" hidden="1" customHeight="1" outlineLevel="2" x14ac:dyDescent="0.3">
      <c r="A493" s="167"/>
      <c r="B493" s="381" t="s">
        <v>324</v>
      </c>
      <c r="C493" s="168" t="s">
        <v>40</v>
      </c>
      <c r="D493" s="258">
        <v>243</v>
      </c>
      <c r="E493" s="169"/>
      <c r="F493" s="268">
        <f t="shared" ref="F493:F553" si="284">ROUND(G493/D493,0)</f>
        <v>1202</v>
      </c>
      <c r="G493" s="220">
        <v>292168.62</v>
      </c>
      <c r="H493" s="276">
        <v>5.52</v>
      </c>
      <c r="I493" s="243">
        <v>235</v>
      </c>
      <c r="J493" s="268">
        <f t="shared" ref="J493:J549" si="285">ROUND(F493*H493*0.7958,0)</f>
        <v>5280</v>
      </c>
      <c r="K493" s="195">
        <f t="shared" ref="K493:K549" si="286">ROUND(I493*H493*F493*0.7958,0)</f>
        <v>1240839</v>
      </c>
      <c r="L493" s="276">
        <v>5.72</v>
      </c>
      <c r="M493" s="243">
        <v>8</v>
      </c>
      <c r="N493" s="268">
        <f t="shared" ref="N493:N549" si="287">ROUND(F493*L493*0.7958,0)</f>
        <v>5471</v>
      </c>
      <c r="O493" s="195">
        <f t="shared" ref="O493:O549" si="288">ROUND(M493*L493*F493*0.7958,0)</f>
        <v>43772</v>
      </c>
      <c r="P493" s="276"/>
      <c r="Q493" s="239"/>
      <c r="R493" s="268"/>
      <c r="S493" s="195"/>
      <c r="T493" s="370">
        <f>D493</f>
        <v>243</v>
      </c>
      <c r="U493" s="294">
        <v>7713</v>
      </c>
      <c r="V493" s="201">
        <f>T493*U493</f>
        <v>1874259</v>
      </c>
      <c r="W493" s="370"/>
      <c r="X493" s="294"/>
      <c r="Y493" s="201"/>
      <c r="Z493" s="170"/>
      <c r="AA493" s="171"/>
      <c r="AB493" s="172">
        <f t="shared" ref="AB493:AB553" si="289">ROUND(Z493*AA493,0)</f>
        <v>0</v>
      </c>
      <c r="AC493" s="227"/>
      <c r="AD493" s="372">
        <f>N493-U493</f>
        <v>-2242</v>
      </c>
      <c r="AE493" s="373">
        <f>K493+O493+S493-V493-Y493</f>
        <v>-589648</v>
      </c>
    </row>
    <row r="494" spans="1:32" s="173" customFormat="1" ht="36.75" hidden="1" customHeight="1" outlineLevel="2" x14ac:dyDescent="0.3">
      <c r="A494" s="167"/>
      <c r="B494" s="381" t="s">
        <v>545</v>
      </c>
      <c r="C494" s="168" t="s">
        <v>40</v>
      </c>
      <c r="D494" s="258">
        <v>296</v>
      </c>
      <c r="E494" s="174" t="s">
        <v>987</v>
      </c>
      <c r="F494" s="268">
        <f t="shared" si="284"/>
        <v>1598</v>
      </c>
      <c r="G494" s="220">
        <v>473076.08</v>
      </c>
      <c r="H494" s="276">
        <v>5.52</v>
      </c>
      <c r="I494" s="243">
        <v>288</v>
      </c>
      <c r="J494" s="268">
        <f t="shared" si="285"/>
        <v>7020</v>
      </c>
      <c r="K494" s="195">
        <f t="shared" si="286"/>
        <v>2021679</v>
      </c>
      <c r="L494" s="276">
        <v>5.72</v>
      </c>
      <c r="M494" s="243">
        <v>8</v>
      </c>
      <c r="N494" s="268">
        <f t="shared" si="287"/>
        <v>7274</v>
      </c>
      <c r="O494" s="195">
        <f t="shared" si="288"/>
        <v>58192</v>
      </c>
      <c r="P494" s="276"/>
      <c r="Q494" s="239"/>
      <c r="R494" s="268"/>
      <c r="S494" s="195"/>
      <c r="T494" s="370">
        <f>D494</f>
        <v>296</v>
      </c>
      <c r="U494" s="294">
        <v>10119</v>
      </c>
      <c r="V494" s="201">
        <f>T494*U494</f>
        <v>2995224</v>
      </c>
      <c r="W494" s="370"/>
      <c r="X494" s="294"/>
      <c r="Y494" s="201"/>
      <c r="Z494" s="170"/>
      <c r="AA494" s="171"/>
      <c r="AB494" s="172">
        <f t="shared" si="289"/>
        <v>0</v>
      </c>
      <c r="AC494" s="227"/>
      <c r="AD494" s="372">
        <f>N494-U494</f>
        <v>-2845</v>
      </c>
      <c r="AE494" s="373">
        <f>K494+O494+S494-V494-Y494</f>
        <v>-915353</v>
      </c>
    </row>
    <row r="495" spans="1:32" s="173" customFormat="1" ht="36.75" hidden="1" customHeight="1" outlineLevel="2" x14ac:dyDescent="0.3">
      <c r="A495" s="167"/>
      <c r="B495" s="381" t="s">
        <v>260</v>
      </c>
      <c r="C495" s="168" t="s">
        <v>40</v>
      </c>
      <c r="D495" s="258">
        <v>12</v>
      </c>
      <c r="E495" s="169"/>
      <c r="F495" s="268">
        <f t="shared" si="284"/>
        <v>843</v>
      </c>
      <c r="G495" s="220">
        <v>10110</v>
      </c>
      <c r="H495" s="276">
        <v>5.52</v>
      </c>
      <c r="I495" s="243">
        <v>12</v>
      </c>
      <c r="J495" s="268">
        <f t="shared" si="285"/>
        <v>3703</v>
      </c>
      <c r="K495" s="195">
        <f t="shared" si="286"/>
        <v>44438</v>
      </c>
      <c r="L495" s="276"/>
      <c r="M495" s="243"/>
      <c r="N495" s="268"/>
      <c r="O495" s="195"/>
      <c r="P495" s="276"/>
      <c r="Q495" s="239"/>
      <c r="R495" s="268"/>
      <c r="S495" s="195"/>
      <c r="T495" s="370">
        <f>D495</f>
        <v>12</v>
      </c>
      <c r="U495" s="294">
        <v>6252</v>
      </c>
      <c r="V495" s="201">
        <f>T495*U495</f>
        <v>75024</v>
      </c>
      <c r="W495" s="370"/>
      <c r="X495" s="294"/>
      <c r="Y495" s="201"/>
      <c r="Z495" s="170"/>
      <c r="AA495" s="171"/>
      <c r="AB495" s="172">
        <f t="shared" si="289"/>
        <v>0</v>
      </c>
      <c r="AC495" s="227"/>
      <c r="AD495" s="372">
        <f t="shared" ref="AD495" si="290">N495-U495</f>
        <v>-6252</v>
      </c>
      <c r="AE495" s="373">
        <f>K495+O495+S495-V495-Y495</f>
        <v>-30586</v>
      </c>
    </row>
    <row r="496" spans="1:32" ht="22.5" hidden="1" customHeight="1" outlineLevel="2" x14ac:dyDescent="0.3">
      <c r="A496" s="141"/>
      <c r="B496" s="334" t="s">
        <v>1009</v>
      </c>
      <c r="C496" s="126" t="s">
        <v>1000</v>
      </c>
      <c r="D496" s="259" t="s">
        <v>1010</v>
      </c>
      <c r="E496" s="1132" t="s">
        <v>1011</v>
      </c>
      <c r="F496" s="1026">
        <f>ROUND(G496/7.966,0)</f>
        <v>11010</v>
      </c>
      <c r="G496" s="1151">
        <v>87708.37000000001</v>
      </c>
      <c r="H496" s="1075">
        <v>6.11</v>
      </c>
      <c r="I496" s="1111">
        <v>4.4999999999999998E-2</v>
      </c>
      <c r="J496" s="1026">
        <f>ROUND(F496*H496*0.7958,0)</f>
        <v>53534</v>
      </c>
      <c r="K496" s="1008">
        <f>ROUND(I496*H496*F496*0.7958,0)</f>
        <v>2409</v>
      </c>
      <c r="L496" s="1075">
        <v>6.31</v>
      </c>
      <c r="M496" s="1111">
        <v>4.3760000000000003</v>
      </c>
      <c r="N496" s="1026">
        <f t="shared" ref="N496:N498" si="291">ROUND(F493*L496*0.7958,0)</f>
        <v>6036</v>
      </c>
      <c r="O496" s="1008">
        <f>ROUND(M496*L496*F496*0.7958,0)</f>
        <v>241935</v>
      </c>
      <c r="P496" s="1075">
        <v>6.31</v>
      </c>
      <c r="Q496" s="1111">
        <f>7.966-I496-M496</f>
        <v>3.5449999999999999</v>
      </c>
      <c r="R496" s="1026">
        <f t="shared" ref="R496:R498" si="292">ROUND(F493*P496*0.7958,0)</f>
        <v>6036</v>
      </c>
      <c r="S496" s="1008">
        <f>ROUND(Q496*P496*F496*0.7958,0)</f>
        <v>195991</v>
      </c>
      <c r="T496" s="232"/>
      <c r="U496" s="289"/>
      <c r="V496" s="199"/>
      <c r="W496" s="232">
        <v>48</v>
      </c>
      <c r="X496" s="289">
        <v>200</v>
      </c>
      <c r="Y496" s="199">
        <f t="shared" ref="Y496:Y559" si="293">W496*X496</f>
        <v>9600</v>
      </c>
      <c r="Z496" s="153"/>
      <c r="AA496" s="147"/>
      <c r="AB496" s="101"/>
      <c r="AC496" s="226"/>
      <c r="AD496" s="1055"/>
      <c r="AE496" s="1061">
        <f>K496+O496+S496-Y496-Y497-Y498-Y499</f>
        <v>-608681</v>
      </c>
    </row>
    <row r="497" spans="1:32" ht="22.5" hidden="1" customHeight="1" outlineLevel="2" x14ac:dyDescent="0.3">
      <c r="A497" s="141"/>
      <c r="B497" s="334" t="s">
        <v>1012</v>
      </c>
      <c r="C497" s="126" t="s">
        <v>1000</v>
      </c>
      <c r="D497" s="259" t="s">
        <v>1013</v>
      </c>
      <c r="E497" s="1133"/>
      <c r="F497" s="1100"/>
      <c r="G497" s="1186"/>
      <c r="H497" s="1081"/>
      <c r="I497" s="1112"/>
      <c r="J497" s="1100"/>
      <c r="K497" s="1077"/>
      <c r="L497" s="1081">
        <v>6.31</v>
      </c>
      <c r="M497" s="1112">
        <v>4.3760000000000003</v>
      </c>
      <c r="N497" s="1100">
        <f t="shared" si="291"/>
        <v>8024</v>
      </c>
      <c r="O497" s="1077">
        <f t="shared" ref="O497:O498" si="294">ROUND(M497*L497*F494*0.7958,0)</f>
        <v>35115</v>
      </c>
      <c r="P497" s="1081">
        <v>4.3099999999999996</v>
      </c>
      <c r="Q497" s="1112" t="e">
        <f t="shared" ref="Q497:Q498" si="295">D497-I494-M497</f>
        <v>#VALUE!</v>
      </c>
      <c r="R497" s="1100">
        <f t="shared" si="292"/>
        <v>5481</v>
      </c>
      <c r="S497" s="1077"/>
      <c r="T497" s="232"/>
      <c r="U497" s="289"/>
      <c r="V497" s="199"/>
      <c r="W497" s="232">
        <v>20</v>
      </c>
      <c r="X497" s="289">
        <v>470</v>
      </c>
      <c r="Y497" s="199">
        <f t="shared" si="293"/>
        <v>9400</v>
      </c>
      <c r="Z497" s="153"/>
      <c r="AA497" s="147"/>
      <c r="AB497" s="101"/>
      <c r="AC497" s="226"/>
      <c r="AD497" s="1056"/>
      <c r="AE497" s="1062"/>
    </row>
    <row r="498" spans="1:32" ht="22.5" hidden="1" customHeight="1" outlineLevel="2" x14ac:dyDescent="0.3">
      <c r="A498" s="141"/>
      <c r="B498" s="334" t="s">
        <v>1014</v>
      </c>
      <c r="C498" s="126" t="s">
        <v>1000</v>
      </c>
      <c r="D498" s="259" t="s">
        <v>1015</v>
      </c>
      <c r="E498" s="1133"/>
      <c r="F498" s="1100"/>
      <c r="G498" s="1186"/>
      <c r="H498" s="1081"/>
      <c r="I498" s="1112"/>
      <c r="J498" s="1100"/>
      <c r="K498" s="1077"/>
      <c r="L498" s="1081">
        <v>6.31</v>
      </c>
      <c r="M498" s="1112">
        <v>4.3760000000000003</v>
      </c>
      <c r="N498" s="1100">
        <f t="shared" si="291"/>
        <v>4233</v>
      </c>
      <c r="O498" s="1077">
        <f t="shared" si="294"/>
        <v>18524</v>
      </c>
      <c r="P498" s="1081">
        <v>5.31</v>
      </c>
      <c r="Q498" s="1112" t="e">
        <f t="shared" si="295"/>
        <v>#VALUE!</v>
      </c>
      <c r="R498" s="1100">
        <f t="shared" si="292"/>
        <v>3562</v>
      </c>
      <c r="S498" s="1077"/>
      <c r="T498" s="232"/>
      <c r="U498" s="289"/>
      <c r="V498" s="199"/>
      <c r="W498" s="232">
        <v>64</v>
      </c>
      <c r="X498" s="289">
        <v>1664</v>
      </c>
      <c r="Y498" s="199">
        <f t="shared" si="293"/>
        <v>106496</v>
      </c>
      <c r="Z498" s="153"/>
      <c r="AA498" s="147"/>
      <c r="AB498" s="101"/>
      <c r="AC498" s="226"/>
      <c r="AD498" s="1056"/>
      <c r="AE498" s="1062"/>
    </row>
    <row r="499" spans="1:32" ht="22.5" hidden="1" customHeight="1" outlineLevel="2" x14ac:dyDescent="0.3">
      <c r="A499" s="141"/>
      <c r="B499" s="334" t="s">
        <v>1016</v>
      </c>
      <c r="C499" s="126" t="s">
        <v>1000</v>
      </c>
      <c r="D499" s="259" t="s">
        <v>1017</v>
      </c>
      <c r="E499" s="1134"/>
      <c r="F499" s="1027"/>
      <c r="G499" s="1152"/>
      <c r="H499" s="1076"/>
      <c r="I499" s="1113"/>
      <c r="J499" s="1027"/>
      <c r="K499" s="1009"/>
      <c r="L499" s="1076">
        <v>6.31</v>
      </c>
      <c r="M499" s="1113">
        <v>4.3760000000000003</v>
      </c>
      <c r="N499" s="1027">
        <f>ROUND(F496*L499*0.7958,0)</f>
        <v>55287</v>
      </c>
      <c r="O499" s="1009">
        <f>ROUND(M499*L499*F496*0.7958,0)</f>
        <v>241935</v>
      </c>
      <c r="P499" s="1076">
        <v>6.31</v>
      </c>
      <c r="Q499" s="1113" t="e">
        <f>D499-I496-M499</f>
        <v>#VALUE!</v>
      </c>
      <c r="R499" s="1027">
        <f>ROUND(F496*P499*0.7958,0)</f>
        <v>55287</v>
      </c>
      <c r="S499" s="1009"/>
      <c r="T499" s="232"/>
      <c r="U499" s="289"/>
      <c r="V499" s="199"/>
      <c r="W499" s="232">
        <v>370</v>
      </c>
      <c r="X499" s="289">
        <v>2496</v>
      </c>
      <c r="Y499" s="199">
        <f t="shared" si="293"/>
        <v>923520</v>
      </c>
      <c r="Z499" s="153"/>
      <c r="AA499" s="147"/>
      <c r="AB499" s="101">
        <f t="shared" si="289"/>
        <v>0</v>
      </c>
      <c r="AC499" s="226"/>
      <c r="AD499" s="1057"/>
      <c r="AE499" s="1063"/>
    </row>
    <row r="500" spans="1:32" ht="22.5" hidden="1" customHeight="1" outlineLevel="2" x14ac:dyDescent="0.3">
      <c r="A500" s="141"/>
      <c r="B500" s="334" t="s">
        <v>92</v>
      </c>
      <c r="C500" s="126" t="s">
        <v>28</v>
      </c>
      <c r="D500" s="259">
        <v>0.71399999999999997</v>
      </c>
      <c r="E500" s="64"/>
      <c r="F500" s="265">
        <f t="shared" si="284"/>
        <v>456</v>
      </c>
      <c r="G500" s="216">
        <v>325.66000000000003</v>
      </c>
      <c r="H500" s="274"/>
      <c r="I500" s="238"/>
      <c r="J500" s="265"/>
      <c r="K500" s="193"/>
      <c r="L500" s="274"/>
      <c r="M500" s="238"/>
      <c r="N500" s="265"/>
      <c r="O500" s="193"/>
      <c r="P500" s="272">
        <v>6.31</v>
      </c>
      <c r="Q500" s="236">
        <f t="shared" ref="Q500:Q553" si="296">D500-I500-M500</f>
        <v>0.71399999999999997</v>
      </c>
      <c r="R500" s="265">
        <f t="shared" ref="R500:R553" si="297">ROUND(F500*P500*0.7958,0)</f>
        <v>2290</v>
      </c>
      <c r="S500" s="193">
        <f t="shared" ref="S500:S553" si="298">ROUND(Q500*P500*F500*0.7958,0)</f>
        <v>1635</v>
      </c>
      <c r="T500" s="232"/>
      <c r="U500" s="289"/>
      <c r="V500" s="199"/>
      <c r="W500" s="232">
        <f>D500</f>
        <v>0.71399999999999997</v>
      </c>
      <c r="X500" s="161">
        <v>4300</v>
      </c>
      <c r="Y500" s="199">
        <f t="shared" si="293"/>
        <v>3070.2</v>
      </c>
      <c r="Z500" s="153"/>
      <c r="AA500" s="147"/>
      <c r="AB500" s="101">
        <f t="shared" si="289"/>
        <v>0</v>
      </c>
      <c r="AC500" s="226"/>
      <c r="AD500" s="372">
        <f>R500-X500</f>
        <v>-2010</v>
      </c>
      <c r="AE500" s="373">
        <f t="shared" ref="AE500:AE505" si="299">K500+O500+S500-V500-Y500</f>
        <v>-1435.1999999999998</v>
      </c>
    </row>
    <row r="501" spans="1:32" ht="22.5" hidden="1" customHeight="1" outlineLevel="2" x14ac:dyDescent="0.3">
      <c r="A501" s="141"/>
      <c r="B501" s="334" t="s">
        <v>546</v>
      </c>
      <c r="C501" s="126" t="s">
        <v>17</v>
      </c>
      <c r="D501" s="259">
        <v>1.22</v>
      </c>
      <c r="E501" s="64"/>
      <c r="F501" s="265">
        <f t="shared" si="284"/>
        <v>493</v>
      </c>
      <c r="G501" s="216">
        <v>601.46</v>
      </c>
      <c r="H501" s="274"/>
      <c r="I501" s="238"/>
      <c r="J501" s="265"/>
      <c r="K501" s="193"/>
      <c r="L501" s="274"/>
      <c r="M501" s="238"/>
      <c r="N501" s="265"/>
      <c r="O501" s="193"/>
      <c r="P501" s="272">
        <v>6.31</v>
      </c>
      <c r="Q501" s="236">
        <f t="shared" si="296"/>
        <v>1.22</v>
      </c>
      <c r="R501" s="265">
        <f t="shared" si="297"/>
        <v>2476</v>
      </c>
      <c r="S501" s="193">
        <f t="shared" si="298"/>
        <v>3020</v>
      </c>
      <c r="T501" s="232"/>
      <c r="U501" s="289"/>
      <c r="V501" s="199"/>
      <c r="W501" s="232">
        <f>D501</f>
        <v>1.22</v>
      </c>
      <c r="X501" s="289">
        <v>2500</v>
      </c>
      <c r="Y501" s="199">
        <f t="shared" si="293"/>
        <v>3050</v>
      </c>
      <c r="Z501" s="153"/>
      <c r="AA501" s="147"/>
      <c r="AB501" s="101">
        <f t="shared" si="289"/>
        <v>0</v>
      </c>
      <c r="AC501" s="226"/>
      <c r="AD501" s="372">
        <f>R501-X501</f>
        <v>-24</v>
      </c>
      <c r="AE501" s="373">
        <f t="shared" si="299"/>
        <v>-30</v>
      </c>
    </row>
    <row r="502" spans="1:32" ht="22.5" hidden="1" customHeight="1" outlineLevel="2" x14ac:dyDescent="0.3">
      <c r="A502" s="141"/>
      <c r="B502" s="334" t="s">
        <v>547</v>
      </c>
      <c r="C502" s="126" t="s">
        <v>17</v>
      </c>
      <c r="D502" s="259">
        <v>64.501500000000007</v>
      </c>
      <c r="E502" s="64"/>
      <c r="F502" s="265">
        <f t="shared" si="284"/>
        <v>511</v>
      </c>
      <c r="G502" s="216">
        <v>32971.64</v>
      </c>
      <c r="H502" s="277">
        <v>6.11</v>
      </c>
      <c r="I502" s="244">
        <v>26.948</v>
      </c>
      <c r="J502" s="265">
        <f t="shared" si="285"/>
        <v>2485</v>
      </c>
      <c r="K502" s="193">
        <f t="shared" si="286"/>
        <v>66956</v>
      </c>
      <c r="L502" s="277">
        <v>6.31</v>
      </c>
      <c r="M502" s="244">
        <v>18.832000000000001</v>
      </c>
      <c r="N502" s="265">
        <f t="shared" si="287"/>
        <v>2566</v>
      </c>
      <c r="O502" s="193">
        <f t="shared" si="288"/>
        <v>48323</v>
      </c>
      <c r="P502" s="272">
        <v>6.31</v>
      </c>
      <c r="Q502" s="236">
        <f t="shared" si="296"/>
        <v>18.721500000000006</v>
      </c>
      <c r="R502" s="265">
        <f t="shared" si="297"/>
        <v>2566</v>
      </c>
      <c r="S502" s="193">
        <f t="shared" si="298"/>
        <v>48039</v>
      </c>
      <c r="T502" s="232">
        <f>M502+I502</f>
        <v>45.78</v>
      </c>
      <c r="U502" s="296">
        <v>2667</v>
      </c>
      <c r="V502" s="199">
        <f t="shared" ref="V502:V508" si="300">T502*U502</f>
        <v>122095.26000000001</v>
      </c>
      <c r="W502" s="232"/>
      <c r="X502" s="289"/>
      <c r="Y502" s="199"/>
      <c r="Z502" s="153"/>
      <c r="AA502" s="147"/>
      <c r="AB502" s="101">
        <f t="shared" si="289"/>
        <v>0</v>
      </c>
      <c r="AC502" s="226"/>
      <c r="AD502" s="362">
        <f>R502-U502</f>
        <v>-101</v>
      </c>
      <c r="AE502" s="363">
        <f t="shared" si="299"/>
        <v>41222.739999999991</v>
      </c>
    </row>
    <row r="503" spans="1:32" ht="22.5" hidden="1" customHeight="1" outlineLevel="2" x14ac:dyDescent="0.3">
      <c r="A503" s="141"/>
      <c r="B503" s="334" t="s">
        <v>548</v>
      </c>
      <c r="C503" s="126" t="s">
        <v>17</v>
      </c>
      <c r="D503" s="259">
        <v>2.7</v>
      </c>
      <c r="E503" s="64"/>
      <c r="F503" s="265">
        <f t="shared" si="284"/>
        <v>569</v>
      </c>
      <c r="G503" s="216">
        <v>1535.89</v>
      </c>
      <c r="H503" s="274"/>
      <c r="I503" s="238"/>
      <c r="J503" s="265"/>
      <c r="K503" s="193"/>
      <c r="L503" s="274"/>
      <c r="M503" s="238"/>
      <c r="N503" s="265"/>
      <c r="O503" s="193"/>
      <c r="P503" s="272">
        <v>6.31</v>
      </c>
      <c r="Q503" s="236">
        <f t="shared" si="296"/>
        <v>2.7</v>
      </c>
      <c r="R503" s="265">
        <f t="shared" si="297"/>
        <v>2857</v>
      </c>
      <c r="S503" s="193">
        <f t="shared" si="298"/>
        <v>7715</v>
      </c>
      <c r="T503" s="232"/>
      <c r="U503" s="289"/>
      <c r="V503" s="199"/>
      <c r="W503" s="232">
        <f>D503</f>
        <v>2.7</v>
      </c>
      <c r="X503" s="289">
        <v>3500</v>
      </c>
      <c r="Y503" s="199">
        <f>W503*X503</f>
        <v>9450</v>
      </c>
      <c r="Z503" s="153"/>
      <c r="AA503" s="147"/>
      <c r="AB503" s="101">
        <f t="shared" si="289"/>
        <v>0</v>
      </c>
      <c r="AC503" s="226"/>
      <c r="AD503" s="372">
        <f>R503-X503</f>
        <v>-643</v>
      </c>
      <c r="AE503" s="373">
        <f t="shared" si="299"/>
        <v>-1735</v>
      </c>
    </row>
    <row r="504" spans="1:32" ht="22.5" hidden="1" customHeight="1" outlineLevel="2" x14ac:dyDescent="0.3">
      <c r="A504" s="141"/>
      <c r="B504" s="334" t="s">
        <v>411</v>
      </c>
      <c r="C504" s="126" t="s">
        <v>17</v>
      </c>
      <c r="D504" s="259">
        <v>8.3000000000000007</v>
      </c>
      <c r="E504" s="64"/>
      <c r="F504" s="265">
        <f t="shared" si="284"/>
        <v>595</v>
      </c>
      <c r="G504" s="216">
        <v>4940.3899999999994</v>
      </c>
      <c r="H504" s="274"/>
      <c r="I504" s="238"/>
      <c r="J504" s="265"/>
      <c r="K504" s="193"/>
      <c r="L504" s="274">
        <v>6.31</v>
      </c>
      <c r="M504" s="238">
        <v>2.17</v>
      </c>
      <c r="N504" s="265">
        <f t="shared" si="287"/>
        <v>2988</v>
      </c>
      <c r="O504" s="193">
        <f t="shared" si="288"/>
        <v>6484</v>
      </c>
      <c r="P504" s="272">
        <v>6.31</v>
      </c>
      <c r="Q504" s="236">
        <f t="shared" si="296"/>
        <v>6.1300000000000008</v>
      </c>
      <c r="R504" s="265">
        <f t="shared" si="297"/>
        <v>2988</v>
      </c>
      <c r="S504" s="193">
        <f t="shared" si="298"/>
        <v>18315</v>
      </c>
      <c r="T504" s="232">
        <f t="shared" ref="T504:T508" si="301">M504+I504</f>
        <v>2.17</v>
      </c>
      <c r="U504" s="289">
        <v>2720</v>
      </c>
      <c r="V504" s="199">
        <f t="shared" si="300"/>
        <v>5902.4</v>
      </c>
      <c r="W504" s="232"/>
      <c r="X504" s="290"/>
      <c r="Y504" s="199"/>
      <c r="Z504" s="153"/>
      <c r="AA504" s="147"/>
      <c r="AB504" s="101">
        <f t="shared" si="289"/>
        <v>0</v>
      </c>
      <c r="AC504" s="226"/>
      <c r="AD504" s="362">
        <f>R504-U504</f>
        <v>268</v>
      </c>
      <c r="AE504" s="363">
        <f t="shared" si="299"/>
        <v>18896.599999999999</v>
      </c>
    </row>
    <row r="505" spans="1:32" ht="22.5" hidden="1" customHeight="1" outlineLevel="2" x14ac:dyDescent="0.3">
      <c r="A505" s="141"/>
      <c r="B505" s="334" t="s">
        <v>549</v>
      </c>
      <c r="C505" s="126" t="s">
        <v>17</v>
      </c>
      <c r="D505" s="259">
        <v>1E-3</v>
      </c>
      <c r="E505" s="64"/>
      <c r="F505" s="265">
        <f t="shared" si="284"/>
        <v>630</v>
      </c>
      <c r="G505" s="221">
        <v>0.63</v>
      </c>
      <c r="H505" s="274"/>
      <c r="I505" s="238"/>
      <c r="J505" s="265"/>
      <c r="K505" s="193"/>
      <c r="L505" s="274"/>
      <c r="M505" s="238"/>
      <c r="N505" s="265"/>
      <c r="O505" s="193"/>
      <c r="P505" s="272">
        <v>6.31</v>
      </c>
      <c r="Q505" s="236">
        <f t="shared" si="296"/>
        <v>1E-3</v>
      </c>
      <c r="R505" s="265">
        <f t="shared" si="297"/>
        <v>3164</v>
      </c>
      <c r="S505" s="193">
        <f t="shared" si="298"/>
        <v>3</v>
      </c>
      <c r="T505" s="232"/>
      <c r="V505" s="199"/>
      <c r="W505" s="232">
        <f>Q505</f>
        <v>1E-3</v>
      </c>
      <c r="X505" s="289">
        <v>4074</v>
      </c>
      <c r="Y505" s="199">
        <f t="shared" si="293"/>
        <v>4.0739999999999998</v>
      </c>
      <c r="Z505" s="153"/>
      <c r="AA505" s="147"/>
      <c r="AB505" s="101">
        <f t="shared" si="289"/>
        <v>0</v>
      </c>
      <c r="AC505" s="226"/>
      <c r="AD505" s="372">
        <f>R505-X505</f>
        <v>-910</v>
      </c>
      <c r="AE505" s="373">
        <f t="shared" si="299"/>
        <v>-1.0739999999999998</v>
      </c>
    </row>
    <row r="506" spans="1:32" ht="22.5" hidden="1" customHeight="1" outlineLevel="2" x14ac:dyDescent="0.3">
      <c r="A506" s="141"/>
      <c r="B506" s="334" t="s">
        <v>1348</v>
      </c>
      <c r="C506" s="126" t="s">
        <v>17</v>
      </c>
      <c r="D506" s="259">
        <v>6.4960000000000004</v>
      </c>
      <c r="E506" s="64"/>
      <c r="F506" s="265">
        <f t="shared" si="284"/>
        <v>692</v>
      </c>
      <c r="G506" s="216">
        <v>4492.8900000000003</v>
      </c>
      <c r="H506" s="274"/>
      <c r="I506" s="238"/>
      <c r="J506" s="265"/>
      <c r="K506" s="193"/>
      <c r="L506" s="274"/>
      <c r="M506" s="238"/>
      <c r="N506" s="265"/>
      <c r="O506" s="193"/>
      <c r="P506" s="272">
        <v>6.31</v>
      </c>
      <c r="Q506" s="236">
        <f t="shared" si="296"/>
        <v>6.4960000000000004</v>
      </c>
      <c r="R506" s="265">
        <f t="shared" si="297"/>
        <v>3475</v>
      </c>
      <c r="S506" s="193">
        <f t="shared" si="298"/>
        <v>22573</v>
      </c>
      <c r="T506" s="232"/>
      <c r="U506" s="289"/>
      <c r="V506" s="199"/>
      <c r="W506" s="232">
        <f>Q506</f>
        <v>6.4960000000000004</v>
      </c>
      <c r="X506" s="289">
        <v>3440</v>
      </c>
      <c r="Y506" s="199">
        <f>W506*X506</f>
        <v>22346.240000000002</v>
      </c>
      <c r="Z506" s="153"/>
      <c r="AA506" s="147"/>
      <c r="AB506" s="101">
        <f t="shared" si="289"/>
        <v>0</v>
      </c>
      <c r="AC506" s="226"/>
      <c r="AD506" s="362">
        <f>R506-X506</f>
        <v>35</v>
      </c>
      <c r="AE506" s="363">
        <f>O506+S506-V506-Y506</f>
        <v>226.7599999999984</v>
      </c>
    </row>
    <row r="507" spans="1:32" ht="22.5" hidden="1" customHeight="1" outlineLevel="2" x14ac:dyDescent="0.3">
      <c r="A507" s="141"/>
      <c r="B507" s="334" t="s">
        <v>550</v>
      </c>
      <c r="C507" s="126" t="s">
        <v>17</v>
      </c>
      <c r="D507" s="259">
        <v>328.988</v>
      </c>
      <c r="E507" s="64"/>
      <c r="F507" s="265">
        <f t="shared" si="284"/>
        <v>717</v>
      </c>
      <c r="G507" s="216">
        <v>236019.6</v>
      </c>
      <c r="H507" s="274">
        <v>6.11</v>
      </c>
      <c r="I507" s="238">
        <v>143.52099999999999</v>
      </c>
      <c r="J507" s="265">
        <f t="shared" si="285"/>
        <v>3486</v>
      </c>
      <c r="K507" s="193">
        <f t="shared" si="286"/>
        <v>500357</v>
      </c>
      <c r="L507" s="274">
        <v>6.31</v>
      </c>
      <c r="M507" s="238">
        <v>106.812</v>
      </c>
      <c r="N507" s="265">
        <f t="shared" si="287"/>
        <v>3600</v>
      </c>
      <c r="O507" s="193">
        <f t="shared" si="288"/>
        <v>384567</v>
      </c>
      <c r="P507" s="272">
        <v>6.31</v>
      </c>
      <c r="Q507" s="236">
        <f t="shared" si="296"/>
        <v>78.655000000000015</v>
      </c>
      <c r="R507" s="265">
        <f t="shared" si="297"/>
        <v>3600</v>
      </c>
      <c r="S507" s="193">
        <f t="shared" si="298"/>
        <v>283191</v>
      </c>
      <c r="T507" s="232">
        <f t="shared" si="301"/>
        <v>250.33299999999997</v>
      </c>
      <c r="U507" s="289">
        <v>3417</v>
      </c>
      <c r="V507" s="199">
        <f t="shared" si="300"/>
        <v>855387.86099999992</v>
      </c>
      <c r="W507" s="232">
        <f>Q507</f>
        <v>78.655000000000015</v>
      </c>
      <c r="X507" s="289">
        <v>3417</v>
      </c>
      <c r="Y507" s="199">
        <f t="shared" si="293"/>
        <v>268764.13500000007</v>
      </c>
      <c r="Z507" s="153"/>
      <c r="AA507" s="147"/>
      <c r="AB507" s="101">
        <f t="shared" si="289"/>
        <v>0</v>
      </c>
      <c r="AC507" s="226"/>
      <c r="AD507" s="362">
        <f>R507-X507</f>
        <v>183</v>
      </c>
      <c r="AE507" s="363">
        <f t="shared" ref="AE507:AE512" si="302">K507+O507+S507-V507-Y507</f>
        <v>43963.004000000015</v>
      </c>
    </row>
    <row r="508" spans="1:32" ht="22.5" hidden="1" customHeight="1" outlineLevel="2" x14ac:dyDescent="0.3">
      <c r="A508" s="141"/>
      <c r="B508" s="334" t="s">
        <v>1349</v>
      </c>
      <c r="C508" s="126" t="s">
        <v>17</v>
      </c>
      <c r="D508" s="259">
        <v>37.555</v>
      </c>
      <c r="E508" s="64"/>
      <c r="F508" s="265">
        <f t="shared" si="284"/>
        <v>717</v>
      </c>
      <c r="G508" s="216">
        <v>26912.29</v>
      </c>
      <c r="H508" s="274">
        <v>6.11</v>
      </c>
      <c r="I508" s="238">
        <v>37.555</v>
      </c>
      <c r="J508" s="265">
        <f t="shared" si="285"/>
        <v>3486</v>
      </c>
      <c r="K508" s="193">
        <f t="shared" si="286"/>
        <v>130928</v>
      </c>
      <c r="L508" s="274"/>
      <c r="M508" s="238"/>
      <c r="N508" s="265"/>
      <c r="O508" s="193"/>
      <c r="P508" s="272"/>
      <c r="Q508" s="236"/>
      <c r="R508" s="265"/>
      <c r="S508" s="193"/>
      <c r="T508" s="232">
        <f t="shared" si="301"/>
        <v>37.555</v>
      </c>
      <c r="U508" s="289">
        <v>3584</v>
      </c>
      <c r="V508" s="199">
        <f t="shared" si="300"/>
        <v>134597.12</v>
      </c>
      <c r="W508" s="232"/>
      <c r="X508" s="289"/>
      <c r="Y508" s="199"/>
      <c r="Z508" s="153"/>
      <c r="AA508" s="147"/>
      <c r="AB508" s="101">
        <f t="shared" si="289"/>
        <v>0</v>
      </c>
      <c r="AC508" s="226"/>
      <c r="AD508" s="372">
        <f>J508-U508</f>
        <v>-98</v>
      </c>
      <c r="AE508" s="373">
        <f t="shared" si="302"/>
        <v>-3669.1199999999953</v>
      </c>
    </row>
    <row r="509" spans="1:32" ht="22.5" hidden="1" customHeight="1" outlineLevel="2" x14ac:dyDescent="0.3">
      <c r="A509" s="141"/>
      <c r="B509" s="334" t="s">
        <v>551</v>
      </c>
      <c r="C509" s="126" t="s">
        <v>17</v>
      </c>
      <c r="D509" s="259">
        <v>2.8919999999999999</v>
      </c>
      <c r="E509" s="64"/>
      <c r="F509" s="265">
        <f t="shared" si="284"/>
        <v>503</v>
      </c>
      <c r="G509" s="216">
        <v>1453.85</v>
      </c>
      <c r="H509" s="274">
        <v>6.11</v>
      </c>
      <c r="I509" s="238">
        <v>0.54</v>
      </c>
      <c r="J509" s="265">
        <f t="shared" si="285"/>
        <v>2446</v>
      </c>
      <c r="K509" s="193">
        <f t="shared" si="286"/>
        <v>1321</v>
      </c>
      <c r="L509" s="274"/>
      <c r="M509" s="238"/>
      <c r="N509" s="265"/>
      <c r="O509" s="193"/>
      <c r="P509" s="272">
        <v>6.31</v>
      </c>
      <c r="Q509" s="236">
        <f t="shared" si="296"/>
        <v>2.3519999999999999</v>
      </c>
      <c r="R509" s="265">
        <f t="shared" si="297"/>
        <v>2526</v>
      </c>
      <c r="S509" s="193">
        <f t="shared" si="298"/>
        <v>5941</v>
      </c>
      <c r="T509" s="232">
        <f>M509+I509</f>
        <v>0.54</v>
      </c>
      <c r="U509" s="289">
        <v>2500</v>
      </c>
      <c r="V509" s="199"/>
      <c r="W509" s="232">
        <f t="shared" ref="W509:W553" si="303">Q509</f>
        <v>2.3519999999999999</v>
      </c>
      <c r="X509" s="289">
        <v>2500</v>
      </c>
      <c r="Y509" s="199">
        <f t="shared" si="293"/>
        <v>5880</v>
      </c>
      <c r="Z509" s="153"/>
      <c r="AA509" s="147"/>
      <c r="AB509" s="101">
        <f t="shared" si="289"/>
        <v>0</v>
      </c>
      <c r="AC509" s="226"/>
      <c r="AD509" s="362">
        <f>R509-X509</f>
        <v>26</v>
      </c>
      <c r="AE509" s="363">
        <f t="shared" si="302"/>
        <v>1382</v>
      </c>
    </row>
    <row r="510" spans="1:32" ht="22.5" hidden="1" customHeight="1" outlineLevel="2" x14ac:dyDescent="0.3">
      <c r="A510" s="141"/>
      <c r="B510" s="334" t="s">
        <v>552</v>
      </c>
      <c r="C510" s="126" t="s">
        <v>28</v>
      </c>
      <c r="D510" s="259">
        <v>2.9729999999999999</v>
      </c>
      <c r="E510" s="64"/>
      <c r="F510" s="265">
        <f t="shared" si="284"/>
        <v>1585</v>
      </c>
      <c r="G510" s="216">
        <v>4712.16</v>
      </c>
      <c r="H510" s="274">
        <v>6.11</v>
      </c>
      <c r="I510" s="238">
        <v>6.3E-2</v>
      </c>
      <c r="J510" s="265">
        <f t="shared" si="285"/>
        <v>7707</v>
      </c>
      <c r="K510" s="193">
        <f t="shared" si="286"/>
        <v>486</v>
      </c>
      <c r="L510" s="274">
        <v>6.31</v>
      </c>
      <c r="M510" s="238">
        <v>4.9000000000000002E-2</v>
      </c>
      <c r="N510" s="265">
        <f t="shared" si="287"/>
        <v>7959</v>
      </c>
      <c r="O510" s="193">
        <f t="shared" si="288"/>
        <v>390</v>
      </c>
      <c r="P510" s="272">
        <v>6.31</v>
      </c>
      <c r="Q510" s="236">
        <f t="shared" si="296"/>
        <v>2.8609999999999998</v>
      </c>
      <c r="R510" s="265">
        <f t="shared" si="297"/>
        <v>7959</v>
      </c>
      <c r="S510" s="193">
        <f t="shared" si="298"/>
        <v>22771</v>
      </c>
      <c r="T510" s="232">
        <f>M510+I510</f>
        <v>0.112</v>
      </c>
      <c r="U510" s="289">
        <v>46993</v>
      </c>
      <c r="V510" s="199">
        <f>T510*U510</f>
        <v>5263.2160000000003</v>
      </c>
      <c r="W510" s="232">
        <f t="shared" si="303"/>
        <v>2.8609999999999998</v>
      </c>
      <c r="X510" s="289">
        <v>46993</v>
      </c>
      <c r="Y510" s="199">
        <f t="shared" si="293"/>
        <v>134446.973</v>
      </c>
      <c r="Z510" s="153"/>
      <c r="AA510" s="147"/>
      <c r="AB510" s="101">
        <f t="shared" si="289"/>
        <v>0</v>
      </c>
      <c r="AC510" s="226"/>
      <c r="AD510" s="362">
        <f>R510-X510</f>
        <v>-39034</v>
      </c>
      <c r="AE510" s="363">
        <f t="shared" si="302"/>
        <v>-116063.189</v>
      </c>
    </row>
    <row r="511" spans="1:32" ht="22.5" hidden="1" customHeight="1" outlineLevel="2" x14ac:dyDescent="0.3">
      <c r="B511" s="334" t="s">
        <v>553</v>
      </c>
      <c r="C511" s="126" t="s">
        <v>17</v>
      </c>
      <c r="D511" s="259">
        <v>14.385999999999999</v>
      </c>
      <c r="E511" s="64"/>
      <c r="F511" s="265">
        <f t="shared" si="284"/>
        <v>926</v>
      </c>
      <c r="G511" s="216">
        <v>13318.46</v>
      </c>
      <c r="H511" s="274">
        <v>6.11</v>
      </c>
      <c r="I511" s="238">
        <v>4.4645000000000001</v>
      </c>
      <c r="J511" s="265">
        <f t="shared" si="285"/>
        <v>4503</v>
      </c>
      <c r="K511" s="193">
        <f t="shared" si="286"/>
        <v>20102</v>
      </c>
      <c r="L511" s="274">
        <v>6.31</v>
      </c>
      <c r="M511" s="238">
        <v>5.1976000000000004</v>
      </c>
      <c r="N511" s="265">
        <f t="shared" si="287"/>
        <v>4650</v>
      </c>
      <c r="O511" s="193">
        <f t="shared" si="288"/>
        <v>24168</v>
      </c>
      <c r="P511" s="272">
        <v>6.31</v>
      </c>
      <c r="Q511" s="236">
        <f t="shared" si="296"/>
        <v>4.7238999999999978</v>
      </c>
      <c r="R511" s="265">
        <f t="shared" si="297"/>
        <v>4650</v>
      </c>
      <c r="S511" s="193">
        <f t="shared" si="298"/>
        <v>21966</v>
      </c>
      <c r="T511" s="232">
        <f>M511+I511</f>
        <v>9.6621000000000006</v>
      </c>
      <c r="U511" s="289">
        <v>11500</v>
      </c>
      <c r="V511" s="199">
        <f>T511*U511</f>
        <v>111114.15000000001</v>
      </c>
      <c r="W511" s="232">
        <f t="shared" si="303"/>
        <v>4.7238999999999978</v>
      </c>
      <c r="X511" s="289">
        <v>11500</v>
      </c>
      <c r="Y511" s="199">
        <f t="shared" si="293"/>
        <v>54324.849999999977</v>
      </c>
      <c r="Z511" s="153"/>
      <c r="AA511" s="147"/>
      <c r="AB511" s="101">
        <f t="shared" si="289"/>
        <v>0</v>
      </c>
      <c r="AC511" s="226"/>
      <c r="AD511" s="372">
        <f>R511-X511</f>
        <v>-6850</v>
      </c>
      <c r="AE511" s="373">
        <f t="shared" si="302"/>
        <v>-99202.999999999985</v>
      </c>
    </row>
    <row r="512" spans="1:32" ht="22.5" hidden="1" customHeight="1" outlineLevel="2" x14ac:dyDescent="0.3">
      <c r="B512" s="334" t="s">
        <v>164</v>
      </c>
      <c r="C512" s="126" t="s">
        <v>17</v>
      </c>
      <c r="D512" s="259">
        <v>2.125</v>
      </c>
      <c r="E512" s="64"/>
      <c r="F512" s="265">
        <f t="shared" si="284"/>
        <v>1551</v>
      </c>
      <c r="G512" s="216">
        <v>3295.84</v>
      </c>
      <c r="H512" s="277">
        <v>5.52</v>
      </c>
      <c r="I512" s="244">
        <v>1.8889999999999998</v>
      </c>
      <c r="J512" s="265">
        <f t="shared" si="285"/>
        <v>6813</v>
      </c>
      <c r="K512" s="193">
        <f t="shared" si="286"/>
        <v>12870</v>
      </c>
      <c r="L512" s="277">
        <v>5.72</v>
      </c>
      <c r="M512" s="244">
        <v>6.0999999999999999E-2</v>
      </c>
      <c r="N512" s="265">
        <f t="shared" si="287"/>
        <v>7060</v>
      </c>
      <c r="O512" s="193">
        <f t="shared" si="288"/>
        <v>431</v>
      </c>
      <c r="P512" s="277">
        <v>5.72</v>
      </c>
      <c r="Q512" s="236">
        <f t="shared" si="296"/>
        <v>0.17500000000000021</v>
      </c>
      <c r="R512" s="265">
        <f t="shared" si="297"/>
        <v>7060</v>
      </c>
      <c r="S512" s="193">
        <f t="shared" si="298"/>
        <v>1236</v>
      </c>
      <c r="T512" s="232">
        <f>M512+I512</f>
        <v>1.9499999999999997</v>
      </c>
      <c r="U512" s="289">
        <v>1100</v>
      </c>
      <c r="V512" s="199">
        <f>T512*U512</f>
        <v>2144.9999999999995</v>
      </c>
      <c r="W512" s="232">
        <f t="shared" si="303"/>
        <v>0.17500000000000021</v>
      </c>
      <c r="X512" s="289">
        <v>11000</v>
      </c>
      <c r="Y512" s="199">
        <f t="shared" si="293"/>
        <v>1925.0000000000023</v>
      </c>
      <c r="Z512" s="153"/>
      <c r="AA512" s="147"/>
      <c r="AB512" s="101">
        <f t="shared" si="289"/>
        <v>0</v>
      </c>
      <c r="AC512" s="226"/>
      <c r="AD512" s="372">
        <f>R512-X512</f>
        <v>-3940</v>
      </c>
      <c r="AE512" s="373">
        <f t="shared" si="302"/>
        <v>10466.999999999998</v>
      </c>
      <c r="AF512" s="142"/>
    </row>
    <row r="513" spans="1:31" s="142" customFormat="1" ht="33.75" hidden="1" customHeight="1" outlineLevel="2" x14ac:dyDescent="0.3">
      <c r="A513" s="141"/>
      <c r="B513" s="341" t="s">
        <v>1134</v>
      </c>
      <c r="C513" s="184" t="s">
        <v>40</v>
      </c>
      <c r="D513" s="260">
        <v>533</v>
      </c>
      <c r="E513" s="1153" t="s">
        <v>1135</v>
      </c>
      <c r="F513" s="1120">
        <f>ROUND(G513/4.151,0)</f>
        <v>1500</v>
      </c>
      <c r="G513" s="1151">
        <v>6226.67</v>
      </c>
      <c r="H513" s="1101"/>
      <c r="I513" s="1123"/>
      <c r="J513" s="1101"/>
      <c r="K513" s="1008"/>
      <c r="L513" s="1101"/>
      <c r="M513" s="1123"/>
      <c r="N513" s="1101"/>
      <c r="O513" s="1008"/>
      <c r="P513" s="1101">
        <v>6.31</v>
      </c>
      <c r="Q513" s="1123">
        <v>4.1509999999999998</v>
      </c>
      <c r="R513" s="1101">
        <f>ROUND(F513*P513*0.7958,0)</f>
        <v>7532</v>
      </c>
      <c r="S513" s="1008">
        <f>ROUND(Q513*P513*F513*0.7958,0)</f>
        <v>31266</v>
      </c>
      <c r="T513" s="233"/>
      <c r="U513" s="296"/>
      <c r="V513" s="199"/>
      <c r="W513" s="371">
        <v>533</v>
      </c>
      <c r="X513" s="296">
        <v>320</v>
      </c>
      <c r="Y513" s="199">
        <f>W513*X513</f>
        <v>170560</v>
      </c>
      <c r="Z513" s="185"/>
      <c r="AA513" s="186"/>
      <c r="AB513" s="187">
        <f>ROUND(Z513*AA513,0)</f>
        <v>0</v>
      </c>
      <c r="AC513" s="210"/>
      <c r="AD513" s="1045"/>
      <c r="AE513" s="1039">
        <f>S513-Y513-Y514</f>
        <v>-151222</v>
      </c>
    </row>
    <row r="514" spans="1:31" s="142" customFormat="1" hidden="1" outlineLevel="2" x14ac:dyDescent="0.3">
      <c r="A514" s="141"/>
      <c r="B514" s="341" t="s">
        <v>1136</v>
      </c>
      <c r="C514" s="184" t="s">
        <v>40</v>
      </c>
      <c r="D514" s="260">
        <v>21</v>
      </c>
      <c r="E514" s="1154"/>
      <c r="F514" s="1122"/>
      <c r="G514" s="1152"/>
      <c r="H514" s="1103"/>
      <c r="I514" s="1125"/>
      <c r="J514" s="1103"/>
      <c r="K514" s="1009"/>
      <c r="L514" s="1103"/>
      <c r="M514" s="1125"/>
      <c r="N514" s="1103"/>
      <c r="O514" s="1009"/>
      <c r="P514" s="1103"/>
      <c r="Q514" s="1125"/>
      <c r="R514" s="1103"/>
      <c r="S514" s="1009"/>
      <c r="T514" s="233"/>
      <c r="U514" s="296"/>
      <c r="V514" s="199"/>
      <c r="W514" s="371">
        <v>21</v>
      </c>
      <c r="X514" s="296">
        <v>568</v>
      </c>
      <c r="Y514" s="199">
        <f>W514*X514</f>
        <v>11928</v>
      </c>
      <c r="Z514" s="185"/>
      <c r="AA514" s="186"/>
      <c r="AB514" s="187"/>
      <c r="AC514" s="210"/>
      <c r="AD514" s="1046"/>
      <c r="AE514" s="1047"/>
    </row>
    <row r="515" spans="1:31" s="142" customFormat="1" hidden="1" outlineLevel="2" x14ac:dyDescent="0.3">
      <c r="A515" s="141"/>
      <c r="B515" s="341" t="s">
        <v>1137</v>
      </c>
      <c r="C515" s="184" t="s">
        <v>1138</v>
      </c>
      <c r="D515" s="260" t="s">
        <v>1139</v>
      </c>
      <c r="E515" s="382" t="s">
        <v>1140</v>
      </c>
      <c r="F515" s="192">
        <f>ROUND(G515/22.4,0)</f>
        <v>1130</v>
      </c>
      <c r="G515" s="216">
        <v>25310.21</v>
      </c>
      <c r="H515" s="278"/>
      <c r="I515" s="245"/>
      <c r="J515" s="192"/>
      <c r="K515" s="193"/>
      <c r="L515" s="278"/>
      <c r="M515" s="245"/>
      <c r="N515" s="192"/>
      <c r="O515" s="193"/>
      <c r="P515" s="285">
        <v>6.31</v>
      </c>
      <c r="Q515" s="240">
        <v>22.4</v>
      </c>
      <c r="R515" s="192">
        <f t="shared" si="297"/>
        <v>5674</v>
      </c>
      <c r="S515" s="193">
        <f t="shared" si="298"/>
        <v>127104</v>
      </c>
      <c r="T515" s="233"/>
      <c r="U515" s="297"/>
      <c r="V515" s="199"/>
      <c r="W515" s="371">
        <v>52</v>
      </c>
      <c r="X515" s="296">
        <f>10445/1.2</f>
        <v>8704.1666666666679</v>
      </c>
      <c r="Y515" s="199">
        <f t="shared" si="293"/>
        <v>452616.66666666674</v>
      </c>
      <c r="Z515" s="185"/>
      <c r="AA515" s="186"/>
      <c r="AB515" s="187">
        <f t="shared" si="289"/>
        <v>0</v>
      </c>
      <c r="AC515" s="210"/>
      <c r="AD515" s="374">
        <f>R515-X515</f>
        <v>-3030.1666666666679</v>
      </c>
      <c r="AE515" s="202">
        <f>S515-Y515</f>
        <v>-325512.66666666674</v>
      </c>
    </row>
    <row r="516" spans="1:31" s="142" customFormat="1" ht="33.75" hidden="1" customHeight="1" outlineLevel="2" x14ac:dyDescent="0.3">
      <c r="A516" s="141"/>
      <c r="B516" s="341" t="s">
        <v>1141</v>
      </c>
      <c r="C516" s="184" t="s">
        <v>40</v>
      </c>
      <c r="D516" s="260">
        <v>79</v>
      </c>
      <c r="E516" s="1153" t="s">
        <v>1142</v>
      </c>
      <c r="F516" s="1120">
        <f>ROUND(G516/35.59,0)</f>
        <v>1127</v>
      </c>
      <c r="G516" s="1151">
        <v>40107</v>
      </c>
      <c r="H516" s="1101"/>
      <c r="I516" s="1123"/>
      <c r="J516" s="1101"/>
      <c r="K516" s="1008"/>
      <c r="L516" s="1101"/>
      <c r="M516" s="1123"/>
      <c r="N516" s="1101"/>
      <c r="O516" s="1008"/>
      <c r="P516" s="1101">
        <v>6.31</v>
      </c>
      <c r="Q516" s="1123">
        <v>35.590000000000003</v>
      </c>
      <c r="R516" s="1101">
        <f>ROUND(F516*P516*0.7958,0)</f>
        <v>5659</v>
      </c>
      <c r="S516" s="1008">
        <f t="shared" si="298"/>
        <v>201412</v>
      </c>
      <c r="T516" s="233"/>
      <c r="U516" s="297"/>
      <c r="V516" s="199"/>
      <c r="W516" s="371">
        <v>79</v>
      </c>
      <c r="X516" s="296">
        <v>5374</v>
      </c>
      <c r="Y516" s="199">
        <f t="shared" si="293"/>
        <v>424546</v>
      </c>
      <c r="Z516" s="185"/>
      <c r="AA516" s="186"/>
      <c r="AB516" s="187">
        <f t="shared" si="289"/>
        <v>0</v>
      </c>
      <c r="AC516" s="210"/>
      <c r="AD516" s="1058"/>
      <c r="AE516" s="1039">
        <f>S516-Y516-Y517-Y518</f>
        <v>-319414</v>
      </c>
    </row>
    <row r="517" spans="1:31" s="142" customFormat="1" hidden="1" outlineLevel="2" x14ac:dyDescent="0.3">
      <c r="A517" s="141"/>
      <c r="B517" s="341" t="s">
        <v>1143</v>
      </c>
      <c r="C517" s="184" t="s">
        <v>40</v>
      </c>
      <c r="D517" s="260">
        <v>8</v>
      </c>
      <c r="E517" s="1155"/>
      <c r="F517" s="1121"/>
      <c r="G517" s="1186"/>
      <c r="H517" s="1102"/>
      <c r="I517" s="1124"/>
      <c r="J517" s="1102"/>
      <c r="K517" s="1077"/>
      <c r="L517" s="1102"/>
      <c r="M517" s="1124"/>
      <c r="N517" s="1102"/>
      <c r="O517" s="1077"/>
      <c r="P517" s="1102"/>
      <c r="Q517" s="1124">
        <f t="shared" si="296"/>
        <v>8</v>
      </c>
      <c r="R517" s="1102"/>
      <c r="S517" s="1077"/>
      <c r="T517" s="233"/>
      <c r="U517" s="297"/>
      <c r="V517" s="199"/>
      <c r="W517" s="371">
        <f t="shared" si="303"/>
        <v>8</v>
      </c>
      <c r="X517" s="296">
        <v>4160</v>
      </c>
      <c r="Y517" s="199">
        <f t="shared" si="293"/>
        <v>33280</v>
      </c>
      <c r="Z517" s="185"/>
      <c r="AA517" s="186"/>
      <c r="AB517" s="187"/>
      <c r="AC517" s="210"/>
      <c r="AD517" s="1059"/>
      <c r="AE517" s="1040"/>
    </row>
    <row r="518" spans="1:31" s="142" customFormat="1" hidden="1" outlineLevel="2" x14ac:dyDescent="0.3">
      <c r="A518" s="141"/>
      <c r="B518" s="341" t="s">
        <v>1144</v>
      </c>
      <c r="C518" s="184" t="s">
        <v>40</v>
      </c>
      <c r="D518" s="260">
        <v>7</v>
      </c>
      <c r="E518" s="1154"/>
      <c r="F518" s="1122"/>
      <c r="G518" s="1152"/>
      <c r="H518" s="1103"/>
      <c r="I518" s="1125"/>
      <c r="J518" s="1103"/>
      <c r="K518" s="1009"/>
      <c r="L518" s="1103"/>
      <c r="M518" s="1125"/>
      <c r="N518" s="1103"/>
      <c r="O518" s="1009"/>
      <c r="P518" s="1103"/>
      <c r="Q518" s="1125">
        <f t="shared" si="296"/>
        <v>7</v>
      </c>
      <c r="R518" s="1103"/>
      <c r="S518" s="1009"/>
      <c r="T518" s="233"/>
      <c r="U518" s="297"/>
      <c r="V518" s="199"/>
      <c r="W518" s="371">
        <f t="shared" si="303"/>
        <v>7</v>
      </c>
      <c r="X518" s="296">
        <v>9000</v>
      </c>
      <c r="Y518" s="199">
        <f t="shared" si="293"/>
        <v>63000</v>
      </c>
      <c r="Z518" s="185"/>
      <c r="AA518" s="186"/>
      <c r="AB518" s="187"/>
      <c r="AC518" s="210"/>
      <c r="AD518" s="1060"/>
      <c r="AE518" s="1041"/>
    </row>
    <row r="519" spans="1:31" s="142" customFormat="1" ht="32.25" hidden="1" customHeight="1" outlineLevel="2" x14ac:dyDescent="0.3">
      <c r="A519" s="141"/>
      <c r="B519" s="341" t="s">
        <v>1145</v>
      </c>
      <c r="C519" s="184" t="s">
        <v>40</v>
      </c>
      <c r="D519" s="260">
        <v>479</v>
      </c>
      <c r="E519" s="1153" t="s">
        <v>1146</v>
      </c>
      <c r="F519" s="1120">
        <f>ROUND(G519/35.4,0)</f>
        <v>1972</v>
      </c>
      <c r="G519" s="1151">
        <v>69794.990000000005</v>
      </c>
      <c r="H519" s="1101"/>
      <c r="I519" s="1123"/>
      <c r="J519" s="1101"/>
      <c r="K519" s="1008"/>
      <c r="L519" s="1101"/>
      <c r="M519" s="1123"/>
      <c r="N519" s="1101"/>
      <c r="O519" s="1008"/>
      <c r="P519" s="1101">
        <v>6.31</v>
      </c>
      <c r="Q519" s="1123">
        <v>35.4</v>
      </c>
      <c r="R519" s="1101">
        <f>ROUND(F519*P509*0.7958,0)</f>
        <v>9902</v>
      </c>
      <c r="S519" s="1008">
        <f>ROUND(Q519*P519*F519*0.7958,0)</f>
        <v>350545</v>
      </c>
      <c r="T519" s="233"/>
      <c r="U519" s="297"/>
      <c r="V519" s="199"/>
      <c r="W519" s="371">
        <v>479</v>
      </c>
      <c r="X519" s="296">
        <v>1500</v>
      </c>
      <c r="Y519" s="199">
        <f t="shared" si="293"/>
        <v>718500</v>
      </c>
      <c r="Z519" s="185"/>
      <c r="AA519" s="186"/>
      <c r="AB519" s="187"/>
      <c r="AC519" s="210"/>
      <c r="AD519" s="1058"/>
      <c r="AE519" s="1039">
        <f>S519-Y519-Y520</f>
        <v>-400255</v>
      </c>
    </row>
    <row r="520" spans="1:31" s="142" customFormat="1" ht="36" hidden="1" customHeight="1" outlineLevel="2" x14ac:dyDescent="0.3">
      <c r="A520" s="141"/>
      <c r="B520" s="341" t="s">
        <v>1147</v>
      </c>
      <c r="C520" s="184" t="s">
        <v>40</v>
      </c>
      <c r="D520" s="260">
        <v>17</v>
      </c>
      <c r="E520" s="1154"/>
      <c r="F520" s="1122"/>
      <c r="G520" s="1152"/>
      <c r="H520" s="1103"/>
      <c r="I520" s="1125"/>
      <c r="J520" s="1103"/>
      <c r="K520" s="1009"/>
      <c r="L520" s="1103"/>
      <c r="M520" s="1125"/>
      <c r="N520" s="1103"/>
      <c r="O520" s="1009"/>
      <c r="P520" s="1103">
        <v>6.31</v>
      </c>
      <c r="Q520" s="1125">
        <f t="shared" si="296"/>
        <v>17</v>
      </c>
      <c r="R520" s="1103"/>
      <c r="S520" s="1009"/>
      <c r="T520" s="233"/>
      <c r="U520" s="297"/>
      <c r="V520" s="199"/>
      <c r="W520" s="371">
        <f t="shared" si="303"/>
        <v>17</v>
      </c>
      <c r="X520" s="296">
        <v>1900</v>
      </c>
      <c r="Y520" s="199">
        <f t="shared" si="293"/>
        <v>32300</v>
      </c>
      <c r="Z520" s="185"/>
      <c r="AA520" s="186"/>
      <c r="AB520" s="187">
        <f t="shared" si="289"/>
        <v>0</v>
      </c>
      <c r="AC520" s="210"/>
      <c r="AD520" s="1060"/>
      <c r="AE520" s="1041"/>
    </row>
    <row r="521" spans="1:31" s="142" customFormat="1" ht="33.75" hidden="1" customHeight="1" outlineLevel="2" x14ac:dyDescent="0.3">
      <c r="B521" s="341" t="s">
        <v>554</v>
      </c>
      <c r="C521" s="184" t="s">
        <v>364</v>
      </c>
      <c r="D521" s="260">
        <v>2</v>
      </c>
      <c r="E521" s="382" t="s">
        <v>1310</v>
      </c>
      <c r="F521" s="192">
        <f t="shared" si="284"/>
        <v>324</v>
      </c>
      <c r="G521" s="216">
        <v>648.96</v>
      </c>
      <c r="H521" s="278"/>
      <c r="I521" s="245"/>
      <c r="J521" s="192"/>
      <c r="K521" s="193"/>
      <c r="L521" s="278"/>
      <c r="M521" s="245"/>
      <c r="N521" s="192"/>
      <c r="O521" s="193"/>
      <c r="P521" s="285">
        <v>6.31</v>
      </c>
      <c r="Q521" s="240">
        <f t="shared" si="296"/>
        <v>2</v>
      </c>
      <c r="R521" s="192">
        <f t="shared" si="297"/>
        <v>1627</v>
      </c>
      <c r="S521" s="193">
        <f t="shared" si="298"/>
        <v>3254</v>
      </c>
      <c r="T521" s="233"/>
      <c r="U521" s="297"/>
      <c r="V521" s="199"/>
      <c r="W521" s="371">
        <f t="shared" si="303"/>
        <v>2</v>
      </c>
      <c r="X521" s="296">
        <v>1050</v>
      </c>
      <c r="Y521" s="199">
        <f t="shared" si="293"/>
        <v>2100</v>
      </c>
      <c r="Z521" s="185"/>
      <c r="AA521" s="186"/>
      <c r="AB521" s="187">
        <f t="shared" si="289"/>
        <v>0</v>
      </c>
      <c r="AC521" s="210"/>
      <c r="AD521" s="364">
        <f t="shared" ref="AD521:AD533" si="304">R521-X521</f>
        <v>577</v>
      </c>
      <c r="AE521" s="305">
        <f>S521-Y521</f>
        <v>1154</v>
      </c>
    </row>
    <row r="522" spans="1:31" s="142" customFormat="1" ht="32.25" hidden="1" customHeight="1" outlineLevel="2" x14ac:dyDescent="0.3">
      <c r="A522" s="141"/>
      <c r="B522" s="341" t="s">
        <v>1148</v>
      </c>
      <c r="C522" s="184" t="s">
        <v>40</v>
      </c>
      <c r="D522" s="260">
        <v>28</v>
      </c>
      <c r="E522" s="1153" t="s">
        <v>1149</v>
      </c>
      <c r="F522" s="1120">
        <f>ROUND(G522/15.576,0)</f>
        <v>1768</v>
      </c>
      <c r="G522" s="1151">
        <f>86605.33/48.996*15.576</f>
        <v>27532.137727161404</v>
      </c>
      <c r="H522" s="1101"/>
      <c r="I522" s="1123"/>
      <c r="J522" s="1101"/>
      <c r="K522" s="1008"/>
      <c r="L522" s="1101"/>
      <c r="M522" s="1123"/>
      <c r="N522" s="1101"/>
      <c r="O522" s="1008"/>
      <c r="P522" s="1101">
        <v>6.31</v>
      </c>
      <c r="Q522" s="1123">
        <v>15.576000000000001</v>
      </c>
      <c r="R522" s="1101">
        <f>ROUND(F522*P516*0.7958,0)</f>
        <v>8878</v>
      </c>
      <c r="S522" s="1008">
        <f>ROUND(Q522*P522*F522*0.7958,0)</f>
        <v>138284</v>
      </c>
      <c r="T522" s="233"/>
      <c r="U522" s="297"/>
      <c r="V522" s="199"/>
      <c r="W522" s="371">
        <v>28</v>
      </c>
      <c r="X522" s="296">
        <v>1900</v>
      </c>
      <c r="Y522" s="199">
        <f t="shared" si="293"/>
        <v>53200</v>
      </c>
      <c r="Z522" s="185"/>
      <c r="AA522" s="186"/>
      <c r="AB522" s="187"/>
      <c r="AC522" s="210"/>
      <c r="AD522" s="1048"/>
      <c r="AE522" s="1039">
        <f>S522-Y522-Y523-Y524</f>
        <v>-237716</v>
      </c>
    </row>
    <row r="523" spans="1:31" s="142" customFormat="1" ht="32.25" hidden="1" customHeight="1" outlineLevel="2" x14ac:dyDescent="0.3">
      <c r="A523" s="141"/>
      <c r="B523" s="341" t="s">
        <v>1150</v>
      </c>
      <c r="C523" s="184" t="s">
        <v>40</v>
      </c>
      <c r="D523" s="260">
        <v>32</v>
      </c>
      <c r="E523" s="1155"/>
      <c r="F523" s="1121"/>
      <c r="G523" s="1186"/>
      <c r="H523" s="1102"/>
      <c r="I523" s="1124"/>
      <c r="J523" s="1102"/>
      <c r="K523" s="1077"/>
      <c r="L523" s="1102"/>
      <c r="M523" s="1124"/>
      <c r="N523" s="1102"/>
      <c r="O523" s="1077"/>
      <c r="P523" s="1102"/>
      <c r="Q523" s="1124"/>
      <c r="R523" s="1102"/>
      <c r="S523" s="1077"/>
      <c r="T523" s="233"/>
      <c r="U523" s="297"/>
      <c r="V523" s="199"/>
      <c r="W523" s="371">
        <v>32</v>
      </c>
      <c r="X523" s="296">
        <v>1200</v>
      </c>
      <c r="Y523" s="199">
        <f t="shared" si="293"/>
        <v>38400</v>
      </c>
      <c r="Z523" s="185"/>
      <c r="AA523" s="186"/>
      <c r="AB523" s="187"/>
      <c r="AC523" s="210"/>
      <c r="AD523" s="1049"/>
      <c r="AE523" s="1040"/>
    </row>
    <row r="524" spans="1:31" s="142" customFormat="1" ht="32.25" hidden="1" customHeight="1" outlineLevel="2" x14ac:dyDescent="0.3">
      <c r="A524" s="141"/>
      <c r="B524" s="341" t="s">
        <v>1151</v>
      </c>
      <c r="C524" s="184" t="s">
        <v>40</v>
      </c>
      <c r="D524" s="260">
        <v>316</v>
      </c>
      <c r="E524" s="1154"/>
      <c r="F524" s="1122"/>
      <c r="G524" s="1152"/>
      <c r="H524" s="1103"/>
      <c r="I524" s="1125"/>
      <c r="J524" s="1103"/>
      <c r="K524" s="1009"/>
      <c r="L524" s="1103"/>
      <c r="M524" s="1125"/>
      <c r="N524" s="1103"/>
      <c r="O524" s="1009"/>
      <c r="P524" s="1103"/>
      <c r="Q524" s="1125"/>
      <c r="R524" s="1103"/>
      <c r="S524" s="1009"/>
      <c r="T524" s="233"/>
      <c r="U524" s="297"/>
      <c r="V524" s="199"/>
      <c r="W524" s="371">
        <v>316</v>
      </c>
      <c r="X524" s="296">
        <v>900</v>
      </c>
      <c r="Y524" s="199">
        <f t="shared" si="293"/>
        <v>284400</v>
      </c>
      <c r="Z524" s="185"/>
      <c r="AA524" s="186"/>
      <c r="AB524" s="187">
        <f t="shared" ref="AB524" si="305">ROUND(Z524*AA524,0)</f>
        <v>0</v>
      </c>
      <c r="AC524" s="210"/>
      <c r="AD524" s="1050"/>
      <c r="AE524" s="1041"/>
    </row>
    <row r="525" spans="1:31" s="142" customFormat="1" ht="32.25" hidden="1" customHeight="1" outlineLevel="2" x14ac:dyDescent="0.3">
      <c r="A525" s="141"/>
      <c r="B525" s="341" t="s">
        <v>1152</v>
      </c>
      <c r="C525" s="184" t="s">
        <v>40</v>
      </c>
      <c r="D525" s="260">
        <v>66</v>
      </c>
      <c r="E525" s="1153" t="s">
        <v>1153</v>
      </c>
      <c r="F525" s="1120">
        <f>ROUND(G525/33.42,0)</f>
        <v>1768</v>
      </c>
      <c r="G525" s="1151">
        <f>86605.33/48.996*33.42</f>
        <v>59073.192272838605</v>
      </c>
      <c r="H525" s="1101"/>
      <c r="I525" s="1123"/>
      <c r="J525" s="1101"/>
      <c r="K525" s="1008"/>
      <c r="L525" s="1101"/>
      <c r="M525" s="1123"/>
      <c r="N525" s="1101"/>
      <c r="O525" s="1008"/>
      <c r="P525" s="1101">
        <v>6.31</v>
      </c>
      <c r="Q525" s="1123">
        <v>33.42</v>
      </c>
      <c r="R525" s="1101">
        <f>ROUND(F525*P516*0.7958,0)</f>
        <v>8878</v>
      </c>
      <c r="S525" s="1008">
        <f>ROUND(Q525*P525*F525*0.7958,0)</f>
        <v>296703</v>
      </c>
      <c r="T525" s="233"/>
      <c r="U525" s="297"/>
      <c r="V525" s="199"/>
      <c r="W525" s="371">
        <v>66</v>
      </c>
      <c r="X525" s="296">
        <v>1040</v>
      </c>
      <c r="Y525" s="199">
        <f t="shared" si="293"/>
        <v>68640</v>
      </c>
      <c r="Z525" s="185"/>
      <c r="AA525" s="186"/>
      <c r="AB525" s="187"/>
      <c r="AC525" s="210"/>
      <c r="AD525" s="1048"/>
      <c r="AE525" s="1064"/>
    </row>
    <row r="526" spans="1:31" s="142" customFormat="1" ht="32.25" hidden="1" customHeight="1" outlineLevel="2" x14ac:dyDescent="0.3">
      <c r="A526" s="141"/>
      <c r="B526" s="341" t="s">
        <v>1154</v>
      </c>
      <c r="C526" s="184" t="s">
        <v>40</v>
      </c>
      <c r="D526" s="260">
        <v>1026</v>
      </c>
      <c r="E526" s="1154"/>
      <c r="F526" s="1122"/>
      <c r="G526" s="1152"/>
      <c r="H526" s="1103"/>
      <c r="I526" s="1125"/>
      <c r="J526" s="1103"/>
      <c r="K526" s="1009"/>
      <c r="L526" s="1103"/>
      <c r="M526" s="1125"/>
      <c r="N526" s="1103"/>
      <c r="O526" s="1009"/>
      <c r="P526" s="1103"/>
      <c r="Q526" s="1125"/>
      <c r="R526" s="1103"/>
      <c r="S526" s="1009"/>
      <c r="T526" s="233"/>
      <c r="U526" s="297"/>
      <c r="V526" s="199"/>
      <c r="W526" s="371">
        <v>1026</v>
      </c>
      <c r="X526" s="296">
        <v>880</v>
      </c>
      <c r="Y526" s="199">
        <f t="shared" si="293"/>
        <v>902880</v>
      </c>
      <c r="Z526" s="185"/>
      <c r="AA526" s="186"/>
      <c r="AB526" s="187">
        <f t="shared" si="289"/>
        <v>0</v>
      </c>
      <c r="AC526" s="210"/>
      <c r="AD526" s="1050"/>
      <c r="AE526" s="1065"/>
    </row>
    <row r="527" spans="1:31" s="142" customFormat="1" ht="32.25" hidden="1" customHeight="1" outlineLevel="2" x14ac:dyDescent="0.3">
      <c r="A527" s="141"/>
      <c r="B527" s="341" t="s">
        <v>1155</v>
      </c>
      <c r="C527" s="184" t="s">
        <v>1138</v>
      </c>
      <c r="D527" s="260" t="s">
        <v>1156</v>
      </c>
      <c r="E527" s="188"/>
      <c r="F527" s="192">
        <f>ROUND(G527/2.72,0)</f>
        <v>1722</v>
      </c>
      <c r="G527" s="216">
        <v>4684.03</v>
      </c>
      <c r="H527" s="278"/>
      <c r="I527" s="245"/>
      <c r="J527" s="192"/>
      <c r="K527" s="193"/>
      <c r="L527" s="278"/>
      <c r="M527" s="245"/>
      <c r="N527" s="192"/>
      <c r="O527" s="193"/>
      <c r="P527" s="285">
        <v>6.31</v>
      </c>
      <c r="Q527" s="240">
        <f>2.72-I527-M527</f>
        <v>2.72</v>
      </c>
      <c r="R527" s="192">
        <f t="shared" si="297"/>
        <v>8647</v>
      </c>
      <c r="S527" s="193">
        <f t="shared" si="298"/>
        <v>23520</v>
      </c>
      <c r="T527" s="233"/>
      <c r="U527" s="297"/>
      <c r="V527" s="199"/>
      <c r="W527" s="371">
        <f t="shared" si="303"/>
        <v>2.72</v>
      </c>
      <c r="X527" s="296">
        <v>18143</v>
      </c>
      <c r="Y527" s="199">
        <f t="shared" si="293"/>
        <v>49348.960000000006</v>
      </c>
      <c r="Z527" s="185"/>
      <c r="AA527" s="186"/>
      <c r="AB527" s="187">
        <f t="shared" si="289"/>
        <v>0</v>
      </c>
      <c r="AC527" s="210"/>
      <c r="AD527" s="374">
        <f t="shared" si="304"/>
        <v>-9496</v>
      </c>
      <c r="AE527" s="202">
        <f t="shared" ref="AE527:AE533" si="306">S527-Y527</f>
        <v>-25828.960000000006</v>
      </c>
    </row>
    <row r="528" spans="1:31" s="142" customFormat="1" ht="34.5" hidden="1" customHeight="1" outlineLevel="2" x14ac:dyDescent="0.3">
      <c r="A528" s="141"/>
      <c r="B528" s="341" t="s">
        <v>1157</v>
      </c>
      <c r="C528" s="184" t="s">
        <v>40</v>
      </c>
      <c r="D528" s="260">
        <v>80</v>
      </c>
      <c r="E528" s="1153" t="s">
        <v>1158</v>
      </c>
      <c r="F528" s="1120">
        <f>ROUND(G528/0.156,0)</f>
        <v>10045</v>
      </c>
      <c r="G528" s="1151">
        <v>1567</v>
      </c>
      <c r="H528" s="1101"/>
      <c r="I528" s="1123"/>
      <c r="J528" s="1101"/>
      <c r="K528" s="1008"/>
      <c r="L528" s="1101"/>
      <c r="M528" s="1123"/>
      <c r="N528" s="1101"/>
      <c r="O528" s="1008"/>
      <c r="P528" s="1101">
        <v>6.31</v>
      </c>
      <c r="Q528" s="1123">
        <v>0.156</v>
      </c>
      <c r="R528" s="1101">
        <f>ROUND(F528*P519*0.7958,0)</f>
        <v>50441</v>
      </c>
      <c r="S528" s="1008">
        <f>ROUND(Q528*P528*F528*0.7958,0)</f>
        <v>7869</v>
      </c>
      <c r="T528" s="233"/>
      <c r="U528" s="297"/>
      <c r="V528" s="199"/>
      <c r="W528" s="371">
        <v>80</v>
      </c>
      <c r="X528" s="296">
        <v>530</v>
      </c>
      <c r="Y528" s="199">
        <f t="shared" si="293"/>
        <v>42400</v>
      </c>
      <c r="Z528" s="185"/>
      <c r="AA528" s="186"/>
      <c r="AB528" s="187">
        <f t="shared" si="289"/>
        <v>0</v>
      </c>
      <c r="AC528" s="210"/>
      <c r="AD528" s="1058"/>
      <c r="AE528" s="1039">
        <f>S528-Y528-Y529</f>
        <v>-56251</v>
      </c>
    </row>
    <row r="529" spans="1:32" s="142" customFormat="1" ht="34.5" hidden="1" customHeight="1" outlineLevel="2" x14ac:dyDescent="0.3">
      <c r="A529" s="141"/>
      <c r="B529" s="341" t="s">
        <v>1159</v>
      </c>
      <c r="C529" s="184" t="s">
        <v>40</v>
      </c>
      <c r="D529" s="260">
        <v>40</v>
      </c>
      <c r="E529" s="1154"/>
      <c r="F529" s="1122"/>
      <c r="G529" s="1152"/>
      <c r="H529" s="1103"/>
      <c r="I529" s="1125"/>
      <c r="J529" s="1103"/>
      <c r="K529" s="1009"/>
      <c r="L529" s="1103"/>
      <c r="M529" s="1125"/>
      <c r="N529" s="1103"/>
      <c r="O529" s="1009"/>
      <c r="P529" s="1103"/>
      <c r="Q529" s="1125"/>
      <c r="R529" s="1103"/>
      <c r="S529" s="1009"/>
      <c r="T529" s="233"/>
      <c r="U529" s="297"/>
      <c r="V529" s="199"/>
      <c r="W529" s="371">
        <v>40</v>
      </c>
      <c r="X529" s="296">
        <v>543</v>
      </c>
      <c r="Y529" s="199">
        <f t="shared" si="293"/>
        <v>21720</v>
      </c>
      <c r="Z529" s="185"/>
      <c r="AA529" s="186"/>
      <c r="AB529" s="187">
        <f t="shared" si="289"/>
        <v>0</v>
      </c>
      <c r="AC529" s="210"/>
      <c r="AD529" s="1060"/>
      <c r="AE529" s="1041"/>
    </row>
    <row r="530" spans="1:32" s="142" customFormat="1" ht="31.2" hidden="1" outlineLevel="2" x14ac:dyDescent="0.3">
      <c r="B530" s="341" t="s">
        <v>555</v>
      </c>
      <c r="C530" s="184" t="s">
        <v>40</v>
      </c>
      <c r="D530" s="260">
        <v>2</v>
      </c>
      <c r="E530" s="382" t="s">
        <v>1308</v>
      </c>
      <c r="F530" s="192">
        <f t="shared" si="284"/>
        <v>358</v>
      </c>
      <c r="G530" s="216">
        <v>715.47</v>
      </c>
      <c r="H530" s="278"/>
      <c r="I530" s="245"/>
      <c r="J530" s="192"/>
      <c r="K530" s="193"/>
      <c r="L530" s="278"/>
      <c r="M530" s="245"/>
      <c r="N530" s="192"/>
      <c r="O530" s="193"/>
      <c r="P530" s="285">
        <v>6.31</v>
      </c>
      <c r="Q530" s="240">
        <f t="shared" si="296"/>
        <v>2</v>
      </c>
      <c r="R530" s="192">
        <f t="shared" si="297"/>
        <v>1798</v>
      </c>
      <c r="S530" s="193">
        <f t="shared" si="298"/>
        <v>3595</v>
      </c>
      <c r="T530" s="233"/>
      <c r="U530" s="297"/>
      <c r="V530" s="199"/>
      <c r="W530" s="371">
        <f t="shared" si="303"/>
        <v>2</v>
      </c>
      <c r="X530" s="297">
        <v>1815.5</v>
      </c>
      <c r="Y530" s="199">
        <f t="shared" si="293"/>
        <v>3631</v>
      </c>
      <c r="Z530" s="185"/>
      <c r="AA530" s="186"/>
      <c r="AB530" s="187">
        <f t="shared" si="289"/>
        <v>0</v>
      </c>
      <c r="AC530" s="210"/>
      <c r="AD530" s="374">
        <f t="shared" ref="AD530:AE532" si="307">R530-X530</f>
        <v>-17.5</v>
      </c>
      <c r="AE530" s="202">
        <f t="shared" si="307"/>
        <v>-36</v>
      </c>
    </row>
    <row r="531" spans="1:32" s="142" customFormat="1" ht="31.2" hidden="1" outlineLevel="2" x14ac:dyDescent="0.3">
      <c r="B531" s="341" t="s">
        <v>556</v>
      </c>
      <c r="C531" s="184" t="s">
        <v>40</v>
      </c>
      <c r="D531" s="260">
        <v>3</v>
      </c>
      <c r="E531" s="382" t="s">
        <v>1309</v>
      </c>
      <c r="F531" s="192">
        <f t="shared" si="284"/>
        <v>229</v>
      </c>
      <c r="G531" s="216">
        <v>688.38</v>
      </c>
      <c r="H531" s="278"/>
      <c r="I531" s="245"/>
      <c r="J531" s="192"/>
      <c r="K531" s="193"/>
      <c r="L531" s="278"/>
      <c r="M531" s="245"/>
      <c r="N531" s="192"/>
      <c r="O531" s="193"/>
      <c r="P531" s="285">
        <v>6.31</v>
      </c>
      <c r="Q531" s="240">
        <f t="shared" si="296"/>
        <v>3</v>
      </c>
      <c r="R531" s="192">
        <f t="shared" si="297"/>
        <v>1150</v>
      </c>
      <c r="S531" s="193">
        <f t="shared" si="298"/>
        <v>3450</v>
      </c>
      <c r="T531" s="233"/>
      <c r="U531" s="297"/>
      <c r="V531" s="199"/>
      <c r="W531" s="371">
        <f t="shared" si="303"/>
        <v>3</v>
      </c>
      <c r="X531" s="297">
        <v>858.8</v>
      </c>
      <c r="Y531" s="199">
        <f t="shared" si="293"/>
        <v>2576.3999999999996</v>
      </c>
      <c r="Z531" s="185"/>
      <c r="AA531" s="186"/>
      <c r="AB531" s="187">
        <f t="shared" si="289"/>
        <v>0</v>
      </c>
      <c r="AC531" s="210"/>
      <c r="AD531" s="364">
        <f t="shared" si="307"/>
        <v>291.20000000000005</v>
      </c>
      <c r="AE531" s="305">
        <f t="shared" si="307"/>
        <v>873.60000000000036</v>
      </c>
    </row>
    <row r="532" spans="1:32" hidden="1" outlineLevel="2" x14ac:dyDescent="0.3">
      <c r="A532" s="141"/>
      <c r="B532" s="334" t="s">
        <v>557</v>
      </c>
      <c r="C532" s="126" t="s">
        <v>40</v>
      </c>
      <c r="D532" s="259">
        <v>1</v>
      </c>
      <c r="E532" s="64"/>
      <c r="F532" s="265">
        <f t="shared" si="284"/>
        <v>30</v>
      </c>
      <c r="G532" s="216">
        <v>30.39</v>
      </c>
      <c r="H532" s="274"/>
      <c r="I532" s="238"/>
      <c r="J532" s="265"/>
      <c r="K532" s="193"/>
      <c r="L532" s="274"/>
      <c r="M532" s="238"/>
      <c r="N532" s="265"/>
      <c r="O532" s="193"/>
      <c r="P532" s="272">
        <v>6.31</v>
      </c>
      <c r="Q532" s="236">
        <f t="shared" si="296"/>
        <v>1</v>
      </c>
      <c r="R532" s="265">
        <f t="shared" si="297"/>
        <v>151</v>
      </c>
      <c r="S532" s="193">
        <f t="shared" si="298"/>
        <v>151</v>
      </c>
      <c r="T532" s="230"/>
      <c r="U532" s="290"/>
      <c r="V532" s="199"/>
      <c r="W532" s="232">
        <f t="shared" si="303"/>
        <v>1</v>
      </c>
      <c r="X532" s="289">
        <v>500</v>
      </c>
      <c r="Y532" s="199">
        <f t="shared" si="293"/>
        <v>500</v>
      </c>
      <c r="Z532" s="153"/>
      <c r="AA532" s="147"/>
      <c r="AB532" s="101">
        <f t="shared" si="289"/>
        <v>0</v>
      </c>
      <c r="AC532" s="226"/>
      <c r="AD532" s="374">
        <f t="shared" si="307"/>
        <v>-349</v>
      </c>
      <c r="AE532" s="202">
        <f t="shared" si="307"/>
        <v>-349</v>
      </c>
      <c r="AF532" s="142"/>
    </row>
    <row r="533" spans="1:32" ht="33" hidden="1" customHeight="1" outlineLevel="2" x14ac:dyDescent="0.3">
      <c r="A533" s="141"/>
      <c r="B533" s="334" t="s">
        <v>558</v>
      </c>
      <c r="C533" s="126" t="s">
        <v>40</v>
      </c>
      <c r="D533" s="259">
        <v>2</v>
      </c>
      <c r="E533" s="64"/>
      <c r="F533" s="265">
        <f t="shared" si="284"/>
        <v>76</v>
      </c>
      <c r="G533" s="216">
        <v>151.9</v>
      </c>
      <c r="H533" s="274"/>
      <c r="I533" s="238"/>
      <c r="J533" s="265"/>
      <c r="K533" s="193"/>
      <c r="L533" s="274"/>
      <c r="M533" s="238"/>
      <c r="N533" s="265"/>
      <c r="O533" s="193"/>
      <c r="P533" s="272">
        <v>6.31</v>
      </c>
      <c r="Q533" s="236">
        <f t="shared" si="296"/>
        <v>2</v>
      </c>
      <c r="R533" s="265">
        <f t="shared" si="297"/>
        <v>382</v>
      </c>
      <c r="S533" s="193">
        <f t="shared" si="298"/>
        <v>763</v>
      </c>
      <c r="T533" s="232"/>
      <c r="U533" s="289"/>
      <c r="V533" s="199"/>
      <c r="W533" s="232">
        <f t="shared" si="303"/>
        <v>2</v>
      </c>
      <c r="X533" s="289">
        <v>832</v>
      </c>
      <c r="Y533" s="199">
        <f t="shared" si="293"/>
        <v>1664</v>
      </c>
      <c r="Z533" s="153"/>
      <c r="AA533" s="147"/>
      <c r="AB533" s="101">
        <f t="shared" si="289"/>
        <v>0</v>
      </c>
      <c r="AC533" s="226"/>
      <c r="AD533" s="374">
        <f t="shared" si="304"/>
        <v>-450</v>
      </c>
      <c r="AE533" s="202">
        <f t="shared" si="306"/>
        <v>-901</v>
      </c>
    </row>
    <row r="534" spans="1:32" s="142" customFormat="1" ht="33" hidden="1" customHeight="1" outlineLevel="2" x14ac:dyDescent="0.3">
      <c r="B534" s="341" t="s">
        <v>559</v>
      </c>
      <c r="C534" s="184" t="s">
        <v>40</v>
      </c>
      <c r="D534" s="260">
        <v>1</v>
      </c>
      <c r="E534" s="188"/>
      <c r="F534" s="192">
        <f t="shared" si="284"/>
        <v>227</v>
      </c>
      <c r="G534" s="216">
        <v>227.07</v>
      </c>
      <c r="H534" s="278"/>
      <c r="I534" s="245"/>
      <c r="J534" s="192"/>
      <c r="K534" s="193"/>
      <c r="L534" s="278"/>
      <c r="M534" s="245"/>
      <c r="N534" s="192"/>
      <c r="O534" s="193"/>
      <c r="P534" s="285">
        <v>6.31</v>
      </c>
      <c r="Q534" s="240">
        <f t="shared" si="296"/>
        <v>1</v>
      </c>
      <c r="R534" s="192">
        <f t="shared" si="297"/>
        <v>1140</v>
      </c>
      <c r="S534" s="193">
        <f t="shared" si="298"/>
        <v>1140</v>
      </c>
      <c r="T534" s="371"/>
      <c r="U534" s="297"/>
      <c r="V534" s="199"/>
      <c r="W534" s="371">
        <f t="shared" si="303"/>
        <v>1</v>
      </c>
      <c r="X534" s="296">
        <v>1200</v>
      </c>
      <c r="Y534" s="199">
        <f t="shared" si="293"/>
        <v>1200</v>
      </c>
      <c r="Z534" s="185"/>
      <c r="AA534" s="186"/>
      <c r="AB534" s="187">
        <f t="shared" si="289"/>
        <v>0</v>
      </c>
      <c r="AC534" s="210"/>
      <c r="AD534" s="374">
        <f>R534-X534</f>
        <v>-60</v>
      </c>
      <c r="AE534" s="202">
        <f>S534-Y534</f>
        <v>-60</v>
      </c>
    </row>
    <row r="535" spans="1:32" s="142" customFormat="1" ht="22.5" hidden="1" customHeight="1" outlineLevel="2" x14ac:dyDescent="0.3">
      <c r="B535" s="341" t="s">
        <v>560</v>
      </c>
      <c r="C535" s="184" t="s">
        <v>40</v>
      </c>
      <c r="D535" s="260">
        <v>4</v>
      </c>
      <c r="E535" s="188"/>
      <c r="F535" s="192">
        <f t="shared" si="284"/>
        <v>626</v>
      </c>
      <c r="G535" s="216">
        <v>2505.38</v>
      </c>
      <c r="H535" s="278"/>
      <c r="I535" s="245"/>
      <c r="J535" s="192"/>
      <c r="K535" s="193"/>
      <c r="L535" s="278"/>
      <c r="M535" s="245"/>
      <c r="N535" s="192"/>
      <c r="O535" s="193"/>
      <c r="P535" s="285">
        <v>6.31</v>
      </c>
      <c r="Q535" s="240">
        <f t="shared" si="296"/>
        <v>4</v>
      </c>
      <c r="R535" s="192">
        <f t="shared" si="297"/>
        <v>3143</v>
      </c>
      <c r="S535" s="193">
        <f t="shared" si="298"/>
        <v>12574</v>
      </c>
      <c r="T535" s="371"/>
      <c r="U535" s="297"/>
      <c r="V535" s="199"/>
      <c r="W535" s="371">
        <f t="shared" si="303"/>
        <v>4</v>
      </c>
      <c r="X535" s="296">
        <v>9400</v>
      </c>
      <c r="Y535" s="199">
        <f t="shared" si="293"/>
        <v>37600</v>
      </c>
      <c r="Z535" s="185"/>
      <c r="AA535" s="186"/>
      <c r="AB535" s="187">
        <f t="shared" si="289"/>
        <v>0</v>
      </c>
      <c r="AC535" s="210"/>
      <c r="AD535" s="374">
        <f>R535-X535</f>
        <v>-6257</v>
      </c>
      <c r="AE535" s="202">
        <f>S535-Y535</f>
        <v>-25026</v>
      </c>
    </row>
    <row r="536" spans="1:32" ht="22.5" hidden="1" customHeight="1" outlineLevel="2" x14ac:dyDescent="0.3">
      <c r="A536" s="141"/>
      <c r="B536" s="334" t="s">
        <v>561</v>
      </c>
      <c r="C536" s="126" t="s">
        <v>28</v>
      </c>
      <c r="D536" s="259">
        <v>0.72099999999999997</v>
      </c>
      <c r="E536" s="64"/>
      <c r="F536" s="265">
        <f t="shared" si="284"/>
        <v>6027</v>
      </c>
      <c r="G536" s="216">
        <v>4345.54</v>
      </c>
      <c r="H536" s="274">
        <v>6.11</v>
      </c>
      <c r="I536" s="238">
        <v>0.28900000000000003</v>
      </c>
      <c r="J536" s="265">
        <f t="shared" si="285"/>
        <v>29305</v>
      </c>
      <c r="K536" s="193">
        <f t="shared" si="286"/>
        <v>8469</v>
      </c>
      <c r="L536" s="274">
        <v>6.31</v>
      </c>
      <c r="M536" s="238">
        <v>0.27600000000000002</v>
      </c>
      <c r="N536" s="265">
        <f t="shared" si="287"/>
        <v>30265</v>
      </c>
      <c r="O536" s="193">
        <f t="shared" si="288"/>
        <v>8353</v>
      </c>
      <c r="P536" s="272">
        <v>6.31</v>
      </c>
      <c r="Q536" s="236">
        <f t="shared" si="296"/>
        <v>0.15599999999999992</v>
      </c>
      <c r="R536" s="265">
        <f t="shared" si="297"/>
        <v>30265</v>
      </c>
      <c r="S536" s="193">
        <f t="shared" si="298"/>
        <v>4721</v>
      </c>
      <c r="T536" s="232">
        <f t="shared" ref="T536:T591" si="308">D536</f>
        <v>0.72099999999999997</v>
      </c>
      <c r="U536" s="290">
        <v>35006.400000000001</v>
      </c>
      <c r="V536" s="199">
        <f t="shared" ref="V536:V591" si="309">T536*U536</f>
        <v>25239.614399999999</v>
      </c>
      <c r="W536" s="232">
        <f t="shared" si="303"/>
        <v>0.15599999999999992</v>
      </c>
      <c r="X536" s="290">
        <v>35006.400000000001</v>
      </c>
      <c r="Y536" s="199">
        <f t="shared" si="293"/>
        <v>5460.9983999999977</v>
      </c>
      <c r="Z536" s="153"/>
      <c r="AA536" s="147"/>
      <c r="AB536" s="101">
        <f t="shared" si="289"/>
        <v>0</v>
      </c>
      <c r="AC536" s="226"/>
      <c r="AD536" s="374">
        <f>R536-X536</f>
        <v>-4741.4000000000015</v>
      </c>
      <c r="AE536" s="202">
        <f t="shared" ref="AE536:AE540" si="310">K536+O536+S536-V536-Y536</f>
        <v>-9157.6127999999953</v>
      </c>
    </row>
    <row r="537" spans="1:32" ht="22.5" hidden="1" customHeight="1" outlineLevel="2" x14ac:dyDescent="0.3">
      <c r="A537" s="141"/>
      <c r="B537" s="334" t="s">
        <v>562</v>
      </c>
      <c r="C537" s="126" t="s">
        <v>28</v>
      </c>
      <c r="D537" s="259">
        <v>0.46899999999999997</v>
      </c>
      <c r="E537" s="64"/>
      <c r="F537" s="265">
        <f t="shared" si="284"/>
        <v>5448</v>
      </c>
      <c r="G537" s="216">
        <v>2555.21</v>
      </c>
      <c r="H537" s="274">
        <v>6.11</v>
      </c>
      <c r="I537" s="238">
        <v>4.4999999999999998E-2</v>
      </c>
      <c r="J537" s="265">
        <f t="shared" si="285"/>
        <v>26490</v>
      </c>
      <c r="K537" s="193">
        <f t="shared" si="286"/>
        <v>1192</v>
      </c>
      <c r="L537" s="274">
        <v>6.31</v>
      </c>
      <c r="M537" s="238">
        <v>0.376</v>
      </c>
      <c r="N537" s="265">
        <f t="shared" si="287"/>
        <v>27357</v>
      </c>
      <c r="O537" s="193">
        <f t="shared" si="288"/>
        <v>10286</v>
      </c>
      <c r="P537" s="272">
        <v>6.31</v>
      </c>
      <c r="Q537" s="236">
        <f t="shared" si="296"/>
        <v>4.7999999999999987E-2</v>
      </c>
      <c r="R537" s="265">
        <f t="shared" si="297"/>
        <v>27357</v>
      </c>
      <c r="S537" s="193">
        <f t="shared" si="298"/>
        <v>1313</v>
      </c>
      <c r="T537" s="232">
        <f t="shared" si="308"/>
        <v>0.46899999999999997</v>
      </c>
      <c r="U537" s="289">
        <v>32232</v>
      </c>
      <c r="V537" s="199">
        <f t="shared" si="309"/>
        <v>15116.807999999999</v>
      </c>
      <c r="W537" s="232">
        <f t="shared" si="303"/>
        <v>4.7999999999999987E-2</v>
      </c>
      <c r="X537" s="289">
        <v>32232</v>
      </c>
      <c r="Y537" s="199">
        <f t="shared" si="293"/>
        <v>1547.1359999999995</v>
      </c>
      <c r="Z537" s="153"/>
      <c r="AA537" s="147"/>
      <c r="AB537" s="101">
        <f t="shared" si="289"/>
        <v>0</v>
      </c>
      <c r="AC537" s="226"/>
      <c r="AD537" s="374">
        <f>R537-X537</f>
        <v>-4875</v>
      </c>
      <c r="AE537" s="202">
        <f t="shared" si="310"/>
        <v>-3872.9439999999986</v>
      </c>
    </row>
    <row r="538" spans="1:32" ht="22.5" hidden="1" customHeight="1" outlineLevel="2" x14ac:dyDescent="0.3">
      <c r="A538" s="141"/>
      <c r="B538" s="334" t="s">
        <v>563</v>
      </c>
      <c r="C538" s="126" t="s">
        <v>28</v>
      </c>
      <c r="D538" s="259">
        <v>0.308</v>
      </c>
      <c r="E538" s="64"/>
      <c r="F538" s="265">
        <f t="shared" si="284"/>
        <v>6478</v>
      </c>
      <c r="G538" s="216">
        <v>1995.15</v>
      </c>
      <c r="H538" s="274"/>
      <c r="I538" s="238"/>
      <c r="J538" s="265"/>
      <c r="K538" s="193"/>
      <c r="L538" s="274"/>
      <c r="M538" s="238"/>
      <c r="N538" s="265"/>
      <c r="O538" s="193"/>
      <c r="P538" s="272">
        <v>6.31</v>
      </c>
      <c r="Q538" s="236">
        <f t="shared" si="296"/>
        <v>0.308</v>
      </c>
      <c r="R538" s="265">
        <f t="shared" si="297"/>
        <v>32529</v>
      </c>
      <c r="S538" s="193">
        <f t="shared" si="298"/>
        <v>10019</v>
      </c>
      <c r="T538" s="232">
        <f t="shared" si="308"/>
        <v>0.308</v>
      </c>
      <c r="U538" s="289">
        <v>33440</v>
      </c>
      <c r="V538" s="199">
        <f t="shared" si="309"/>
        <v>10299.52</v>
      </c>
      <c r="W538" s="232">
        <f t="shared" si="303"/>
        <v>0.308</v>
      </c>
      <c r="X538" s="289">
        <v>33440</v>
      </c>
      <c r="Y538" s="199">
        <f t="shared" si="293"/>
        <v>10299.52</v>
      </c>
      <c r="Z538" s="153"/>
      <c r="AA538" s="147"/>
      <c r="AB538" s="101">
        <f t="shared" si="289"/>
        <v>0</v>
      </c>
      <c r="AC538" s="226"/>
      <c r="AD538" s="374">
        <f>R538-X538</f>
        <v>-911</v>
      </c>
      <c r="AE538" s="202">
        <f t="shared" si="310"/>
        <v>-10580.04</v>
      </c>
    </row>
    <row r="539" spans="1:32" ht="22.5" hidden="1" customHeight="1" outlineLevel="2" x14ac:dyDescent="0.3">
      <c r="A539" s="141"/>
      <c r="B539" s="334" t="s">
        <v>564</v>
      </c>
      <c r="C539" s="126" t="s">
        <v>28</v>
      </c>
      <c r="D539" s="259">
        <v>1E-3</v>
      </c>
      <c r="E539" s="64"/>
      <c r="F539" s="265">
        <f t="shared" si="284"/>
        <v>5030</v>
      </c>
      <c r="G539" s="216">
        <v>5.03</v>
      </c>
      <c r="H539" s="274"/>
      <c r="I539" s="238"/>
      <c r="J539" s="265"/>
      <c r="K539" s="193"/>
      <c r="L539" s="274"/>
      <c r="M539" s="238"/>
      <c r="N539" s="265"/>
      <c r="O539" s="193"/>
      <c r="P539" s="272">
        <v>6.31</v>
      </c>
      <c r="Q539" s="236">
        <f t="shared" si="296"/>
        <v>1E-3</v>
      </c>
      <c r="R539" s="265">
        <f t="shared" si="297"/>
        <v>25258</v>
      </c>
      <c r="S539" s="193">
        <f t="shared" si="298"/>
        <v>25</v>
      </c>
      <c r="T539" s="232">
        <f t="shared" si="308"/>
        <v>1E-3</v>
      </c>
      <c r="U539" s="290">
        <v>45471.07</v>
      </c>
      <c r="V539" s="199">
        <f t="shared" si="309"/>
        <v>45.471069999999997</v>
      </c>
      <c r="W539" s="232">
        <f t="shared" si="303"/>
        <v>1E-3</v>
      </c>
      <c r="X539" s="290">
        <v>45471.07</v>
      </c>
      <c r="Y539" s="199">
        <f t="shared" si="293"/>
        <v>45.471069999999997</v>
      </c>
      <c r="Z539" s="153"/>
      <c r="AA539" s="147"/>
      <c r="AB539" s="101">
        <f t="shared" si="289"/>
        <v>0</v>
      </c>
      <c r="AC539" s="226"/>
      <c r="AD539" s="374">
        <f>R539-X539</f>
        <v>-20213.07</v>
      </c>
      <c r="AE539" s="202">
        <f t="shared" si="310"/>
        <v>-65.942139999999995</v>
      </c>
    </row>
    <row r="540" spans="1:32" ht="33.75" hidden="1" customHeight="1" outlineLevel="2" x14ac:dyDescent="0.3">
      <c r="A540" s="141"/>
      <c r="B540" s="334" t="s">
        <v>565</v>
      </c>
      <c r="C540" s="126" t="s">
        <v>28</v>
      </c>
      <c r="D540" s="259">
        <v>0.154</v>
      </c>
      <c r="E540" s="64"/>
      <c r="F540" s="265">
        <f t="shared" si="284"/>
        <v>8453</v>
      </c>
      <c r="G540" s="216">
        <v>1301.73</v>
      </c>
      <c r="H540" s="274">
        <v>6.11</v>
      </c>
      <c r="I540" s="238">
        <v>0.154</v>
      </c>
      <c r="J540" s="265">
        <f t="shared" si="285"/>
        <v>41101</v>
      </c>
      <c r="K540" s="193">
        <f t="shared" si="286"/>
        <v>6330</v>
      </c>
      <c r="L540" s="274"/>
      <c r="M540" s="238"/>
      <c r="N540" s="265"/>
      <c r="O540" s="193"/>
      <c r="P540" s="272"/>
      <c r="Q540" s="236"/>
      <c r="R540" s="265"/>
      <c r="S540" s="193"/>
      <c r="T540" s="232">
        <f t="shared" si="308"/>
        <v>0.154</v>
      </c>
      <c r="U540" s="290">
        <v>33619.199999999997</v>
      </c>
      <c r="V540" s="199">
        <f t="shared" si="309"/>
        <v>5177.3567999999996</v>
      </c>
      <c r="W540" s="232"/>
      <c r="X540" s="290"/>
      <c r="Y540" s="199"/>
      <c r="Z540" s="153"/>
      <c r="AA540" s="147"/>
      <c r="AB540" s="101">
        <f t="shared" si="289"/>
        <v>0</v>
      </c>
      <c r="AC540" s="226"/>
      <c r="AD540" s="364">
        <f>J540-U540</f>
        <v>7481.8000000000029</v>
      </c>
      <c r="AE540" s="305">
        <f t="shared" si="310"/>
        <v>1152.6432000000004</v>
      </c>
    </row>
    <row r="541" spans="1:32" ht="33.75" hidden="1" customHeight="1" outlineLevel="2" x14ac:dyDescent="0.3">
      <c r="A541" s="141"/>
      <c r="B541" s="334" t="s">
        <v>566</v>
      </c>
      <c r="C541" s="126" t="s">
        <v>28</v>
      </c>
      <c r="D541" s="259">
        <v>8.8719999999999999</v>
      </c>
      <c r="E541" s="64"/>
      <c r="F541" s="265">
        <f t="shared" si="284"/>
        <v>8453</v>
      </c>
      <c r="G541" s="216">
        <v>74992.97</v>
      </c>
      <c r="H541" s="274">
        <v>6.11</v>
      </c>
      <c r="I541" s="238">
        <v>2.536</v>
      </c>
      <c r="J541" s="265">
        <f t="shared" si="285"/>
        <v>41101</v>
      </c>
      <c r="K541" s="193">
        <f t="shared" si="286"/>
        <v>104233</v>
      </c>
      <c r="L541" s="274">
        <v>6.31</v>
      </c>
      <c r="M541" s="238">
        <v>2.94</v>
      </c>
      <c r="N541" s="265">
        <f t="shared" si="287"/>
        <v>42447</v>
      </c>
      <c r="O541" s="193">
        <f t="shared" si="288"/>
        <v>124793</v>
      </c>
      <c r="P541" s="272">
        <v>6.31</v>
      </c>
      <c r="Q541" s="236">
        <f t="shared" si="296"/>
        <v>3.3960000000000004</v>
      </c>
      <c r="R541" s="265">
        <f t="shared" si="297"/>
        <v>42447</v>
      </c>
      <c r="S541" s="193">
        <f t="shared" si="298"/>
        <v>144149</v>
      </c>
      <c r="T541" s="232">
        <f>I541+M541</f>
        <v>5.476</v>
      </c>
      <c r="U541" s="289">
        <v>31200</v>
      </c>
      <c r="V541" s="199">
        <f t="shared" si="309"/>
        <v>170851.20000000001</v>
      </c>
      <c r="W541" s="232">
        <f t="shared" si="303"/>
        <v>3.3960000000000004</v>
      </c>
      <c r="X541" s="289">
        <v>34720</v>
      </c>
      <c r="Y541" s="199">
        <f t="shared" si="293"/>
        <v>117909.12000000001</v>
      </c>
      <c r="Z541" s="153"/>
      <c r="AA541" s="147"/>
      <c r="AB541" s="101">
        <f t="shared" si="289"/>
        <v>0</v>
      </c>
      <c r="AC541" s="226"/>
      <c r="AD541" s="364">
        <f>R541-X541</f>
        <v>7727</v>
      </c>
      <c r="AE541" s="305">
        <f>K541+O541+S541-V541-Y541</f>
        <v>84414.679999999978</v>
      </c>
    </row>
    <row r="542" spans="1:32" ht="33.75" hidden="1" customHeight="1" outlineLevel="2" x14ac:dyDescent="0.3">
      <c r="A542" s="141"/>
      <c r="B542" s="334" t="s">
        <v>567</v>
      </c>
      <c r="C542" s="126" t="s">
        <v>28</v>
      </c>
      <c r="D542" s="259">
        <v>2.274</v>
      </c>
      <c r="E542" s="64"/>
      <c r="F542" s="265">
        <f t="shared" si="284"/>
        <v>8453</v>
      </c>
      <c r="G542" s="216">
        <v>19221.599999999999</v>
      </c>
      <c r="H542" s="274">
        <v>6.11</v>
      </c>
      <c r="I542" s="238">
        <v>2.274</v>
      </c>
      <c r="J542" s="265">
        <f t="shared" si="285"/>
        <v>41101</v>
      </c>
      <c r="K542" s="193">
        <f t="shared" si="286"/>
        <v>93464</v>
      </c>
      <c r="L542" s="274"/>
      <c r="M542" s="238"/>
      <c r="N542" s="265"/>
      <c r="O542" s="193"/>
      <c r="P542" s="272"/>
      <c r="Q542" s="236"/>
      <c r="R542" s="265"/>
      <c r="S542" s="193"/>
      <c r="T542" s="232">
        <f t="shared" si="308"/>
        <v>2.274</v>
      </c>
      <c r="U542" s="289">
        <v>26712</v>
      </c>
      <c r="V542" s="199">
        <f t="shared" si="309"/>
        <v>60743.088000000003</v>
      </c>
      <c r="W542" s="232"/>
      <c r="X542" s="289"/>
      <c r="Y542" s="199"/>
      <c r="Z542" s="153"/>
      <c r="AA542" s="147"/>
      <c r="AB542" s="101">
        <f t="shared" si="289"/>
        <v>0</v>
      </c>
      <c r="AC542" s="226"/>
      <c r="AD542" s="364">
        <f>J542-U542</f>
        <v>14389</v>
      </c>
      <c r="AE542" s="305">
        <f>K542-V542</f>
        <v>32720.911999999997</v>
      </c>
    </row>
    <row r="543" spans="1:32" ht="33.75" hidden="1" customHeight="1" outlineLevel="2" x14ac:dyDescent="0.3">
      <c r="A543" s="141"/>
      <c r="B543" s="334" t="s">
        <v>149</v>
      </c>
      <c r="C543" s="126" t="s">
        <v>28</v>
      </c>
      <c r="D543" s="259">
        <v>1.423</v>
      </c>
      <c r="E543" s="64"/>
      <c r="F543" s="265">
        <f t="shared" si="284"/>
        <v>8453</v>
      </c>
      <c r="G543" s="216">
        <v>12028.29</v>
      </c>
      <c r="H543" s="274">
        <v>6.11</v>
      </c>
      <c r="I543" s="238">
        <v>1.423</v>
      </c>
      <c r="J543" s="265">
        <f t="shared" si="285"/>
        <v>41101</v>
      </c>
      <c r="K543" s="193">
        <f t="shared" si="286"/>
        <v>58487</v>
      </c>
      <c r="L543" s="274"/>
      <c r="M543" s="238"/>
      <c r="N543" s="265"/>
      <c r="O543" s="193"/>
      <c r="P543" s="272"/>
      <c r="Q543" s="236"/>
      <c r="R543" s="265"/>
      <c r="S543" s="193"/>
      <c r="T543" s="232">
        <f t="shared" si="308"/>
        <v>1.423</v>
      </c>
      <c r="U543" s="289">
        <v>31916</v>
      </c>
      <c r="V543" s="199">
        <f t="shared" si="309"/>
        <v>45416.468000000001</v>
      </c>
      <c r="W543" s="232"/>
      <c r="X543" s="289"/>
      <c r="Y543" s="199"/>
      <c r="Z543" s="153"/>
      <c r="AA543" s="147"/>
      <c r="AB543" s="101">
        <f t="shared" si="289"/>
        <v>0</v>
      </c>
      <c r="AC543" s="226"/>
      <c r="AD543" s="364">
        <f>J543-U543</f>
        <v>9185</v>
      </c>
      <c r="AE543" s="305">
        <f>K543-V543</f>
        <v>13070.531999999999</v>
      </c>
    </row>
    <row r="544" spans="1:32" ht="33.75" hidden="1" customHeight="1" outlineLevel="2" x14ac:dyDescent="0.3">
      <c r="A544" s="141"/>
      <c r="B544" s="334" t="s">
        <v>568</v>
      </c>
      <c r="C544" s="126" t="s">
        <v>28</v>
      </c>
      <c r="D544" s="259">
        <v>5.6150000000000002</v>
      </c>
      <c r="E544" s="64"/>
      <c r="F544" s="265">
        <f t="shared" si="284"/>
        <v>8453</v>
      </c>
      <c r="G544" s="216">
        <v>47462.31</v>
      </c>
      <c r="H544" s="274">
        <v>6.11</v>
      </c>
      <c r="I544" s="238">
        <v>4.8739999999999997</v>
      </c>
      <c r="J544" s="265">
        <f t="shared" si="285"/>
        <v>41101</v>
      </c>
      <c r="K544" s="193">
        <f t="shared" si="286"/>
        <v>200328</v>
      </c>
      <c r="L544" s="274">
        <v>6.31</v>
      </c>
      <c r="M544" s="238">
        <v>0.65400000000000003</v>
      </c>
      <c r="N544" s="265">
        <f t="shared" si="287"/>
        <v>42447</v>
      </c>
      <c r="O544" s="193">
        <f t="shared" si="288"/>
        <v>27760</v>
      </c>
      <c r="P544" s="272">
        <v>6.31</v>
      </c>
      <c r="Q544" s="236">
        <f t="shared" si="296"/>
        <v>8.7000000000000521E-2</v>
      </c>
      <c r="R544" s="265">
        <f t="shared" si="297"/>
        <v>42447</v>
      </c>
      <c r="S544" s="193">
        <f t="shared" si="298"/>
        <v>3693</v>
      </c>
      <c r="T544" s="232">
        <f t="shared" si="308"/>
        <v>5.6150000000000002</v>
      </c>
      <c r="U544" s="289">
        <v>31416</v>
      </c>
      <c r="V544" s="199">
        <f t="shared" si="309"/>
        <v>176400.84</v>
      </c>
      <c r="W544" s="232">
        <f t="shared" si="303"/>
        <v>8.7000000000000521E-2</v>
      </c>
      <c r="X544" s="289">
        <v>31416</v>
      </c>
      <c r="Y544" s="199">
        <f t="shared" si="293"/>
        <v>2733.1920000000164</v>
      </c>
      <c r="Z544" s="153"/>
      <c r="AA544" s="147"/>
      <c r="AB544" s="101">
        <f t="shared" si="289"/>
        <v>0</v>
      </c>
      <c r="AC544" s="226"/>
      <c r="AD544" s="364">
        <f>J544-U544</f>
        <v>9685</v>
      </c>
      <c r="AE544" s="305">
        <f>K544+O544+S544-V544-Y544</f>
        <v>52646.967999999986</v>
      </c>
    </row>
    <row r="545" spans="1:31" ht="33.75" hidden="1" customHeight="1" outlineLevel="2" x14ac:dyDescent="0.3">
      <c r="A545" s="141"/>
      <c r="B545" s="378" t="s">
        <v>990</v>
      </c>
      <c r="C545" s="126" t="s">
        <v>28</v>
      </c>
      <c r="D545" s="259">
        <v>1.57</v>
      </c>
      <c r="E545" s="64"/>
      <c r="F545" s="265">
        <f t="shared" si="284"/>
        <v>7114</v>
      </c>
      <c r="G545" s="216">
        <v>11169.14</v>
      </c>
      <c r="H545" s="274"/>
      <c r="I545" s="238"/>
      <c r="J545" s="265"/>
      <c r="K545" s="193"/>
      <c r="L545" s="274">
        <v>6.31</v>
      </c>
      <c r="M545" s="238">
        <v>1.57</v>
      </c>
      <c r="N545" s="265">
        <f t="shared" si="287"/>
        <v>35723</v>
      </c>
      <c r="O545" s="193">
        <f t="shared" si="288"/>
        <v>56085</v>
      </c>
      <c r="P545" s="272"/>
      <c r="Q545" s="236"/>
      <c r="R545" s="265"/>
      <c r="S545" s="193"/>
      <c r="T545" s="232">
        <f t="shared" si="308"/>
        <v>1.57</v>
      </c>
      <c r="U545" s="296">
        <v>135525</v>
      </c>
      <c r="V545" s="199">
        <f t="shared" si="309"/>
        <v>212774.25</v>
      </c>
      <c r="W545" s="232"/>
      <c r="X545" s="290"/>
      <c r="Y545" s="199"/>
      <c r="Z545" s="153"/>
      <c r="AA545" s="147"/>
      <c r="AB545" s="101">
        <f t="shared" si="289"/>
        <v>0</v>
      </c>
      <c r="AC545" s="226"/>
      <c r="AD545" s="374">
        <f>N545-U545</f>
        <v>-99802</v>
      </c>
      <c r="AE545" s="202">
        <f>K545+O545+S545-V545-Y545</f>
        <v>-156689.25</v>
      </c>
    </row>
    <row r="546" spans="1:31" ht="33.75" hidden="1" customHeight="1" outlineLevel="2" x14ac:dyDescent="0.3">
      <c r="A546" s="141"/>
      <c r="B546" s="378" t="s">
        <v>989</v>
      </c>
      <c r="C546" s="126" t="s">
        <v>28</v>
      </c>
      <c r="D546" s="259">
        <v>16.699000000000002</v>
      </c>
      <c r="E546" s="64"/>
      <c r="F546" s="265">
        <f t="shared" si="284"/>
        <v>5478</v>
      </c>
      <c r="G546" s="216">
        <v>91476.63</v>
      </c>
      <c r="H546" s="274"/>
      <c r="I546" s="238"/>
      <c r="J546" s="265"/>
      <c r="K546" s="193"/>
      <c r="L546" s="274">
        <v>6.31</v>
      </c>
      <c r="M546" s="238">
        <v>15.36</v>
      </c>
      <c r="N546" s="265">
        <f t="shared" si="287"/>
        <v>27508</v>
      </c>
      <c r="O546" s="193">
        <f t="shared" si="288"/>
        <v>422519</v>
      </c>
      <c r="P546" s="272">
        <v>6.31</v>
      </c>
      <c r="Q546" s="236">
        <f t="shared" si="296"/>
        <v>1.3390000000000022</v>
      </c>
      <c r="R546" s="265">
        <f t="shared" si="297"/>
        <v>27508</v>
      </c>
      <c r="S546" s="193">
        <f t="shared" si="298"/>
        <v>36833</v>
      </c>
      <c r="T546" s="232">
        <f t="shared" si="308"/>
        <v>16.699000000000002</v>
      </c>
      <c r="U546" s="296">
        <v>135525</v>
      </c>
      <c r="V546" s="199">
        <f t="shared" si="309"/>
        <v>2263131.9750000001</v>
      </c>
      <c r="W546" s="232">
        <f t="shared" si="303"/>
        <v>1.3390000000000022</v>
      </c>
      <c r="X546" s="296">
        <v>135525</v>
      </c>
      <c r="Y546" s="199">
        <f t="shared" si="293"/>
        <v>181467.9750000003</v>
      </c>
      <c r="Z546" s="153"/>
      <c r="AA546" s="147"/>
      <c r="AB546" s="101">
        <f t="shared" si="289"/>
        <v>0</v>
      </c>
      <c r="AC546" s="226"/>
      <c r="AD546" s="374">
        <f>N546-U546</f>
        <v>-108017</v>
      </c>
      <c r="AE546" s="202">
        <f>K546+O546+S546-V546-Y546</f>
        <v>-1985247.9500000004</v>
      </c>
    </row>
    <row r="547" spans="1:31" ht="22.5" hidden="1" customHeight="1" outlineLevel="2" x14ac:dyDescent="0.3">
      <c r="A547" s="141"/>
      <c r="B547" s="378" t="s">
        <v>992</v>
      </c>
      <c r="C547" s="126" t="s">
        <v>994</v>
      </c>
      <c r="D547" s="259" t="s">
        <v>995</v>
      </c>
      <c r="E547" s="1132" t="s">
        <v>991</v>
      </c>
      <c r="F547" s="1026">
        <f>ROUND(G547/0.328,0)</f>
        <v>7480</v>
      </c>
      <c r="G547" s="1151">
        <v>2453.44</v>
      </c>
      <c r="H547" s="1075">
        <v>6.11</v>
      </c>
      <c r="I547" s="1111">
        <v>4.4999999999999998E-2</v>
      </c>
      <c r="J547" s="1075">
        <f t="shared" si="285"/>
        <v>36370</v>
      </c>
      <c r="K547" s="1008">
        <f t="shared" si="286"/>
        <v>1637</v>
      </c>
      <c r="L547" s="1075">
        <v>6.31</v>
      </c>
      <c r="M547" s="1111">
        <v>0.224</v>
      </c>
      <c r="N547" s="1075">
        <f t="shared" si="287"/>
        <v>37561</v>
      </c>
      <c r="O547" s="1008">
        <f t="shared" si="288"/>
        <v>8414</v>
      </c>
      <c r="P547" s="1078">
        <v>6.31</v>
      </c>
      <c r="Q547" s="1030">
        <f>0.328-I547-M547</f>
        <v>5.9000000000000025E-2</v>
      </c>
      <c r="R547" s="1026">
        <f>ROUND(F547*P547*0.7958,0)</f>
        <v>37561</v>
      </c>
      <c r="S547" s="1008">
        <f>Q547*R547</f>
        <v>2216.0990000000011</v>
      </c>
      <c r="T547" s="1030">
        <f>I547+M547</f>
        <v>0.26900000000000002</v>
      </c>
      <c r="U547" s="1002">
        <v>135525</v>
      </c>
      <c r="V547" s="1005">
        <f>T547*U547</f>
        <v>36456.225000000006</v>
      </c>
      <c r="W547" s="1030">
        <f>Q547</f>
        <v>5.9000000000000025E-2</v>
      </c>
      <c r="X547" s="1002">
        <v>135525</v>
      </c>
      <c r="Y547" s="1005">
        <f>W547*X547</f>
        <v>7995.9750000000031</v>
      </c>
      <c r="Z547" s="153"/>
      <c r="AA547" s="147"/>
      <c r="AB547" s="101">
        <f t="shared" si="289"/>
        <v>0</v>
      </c>
      <c r="AC547" s="226"/>
      <c r="AD547" s="1066"/>
      <c r="AE547" s="1039">
        <f>K547+O547+S547-V547-Y547</f>
        <v>-32185.101000000006</v>
      </c>
    </row>
    <row r="548" spans="1:31" ht="22.5" hidden="1" customHeight="1" outlineLevel="2" x14ac:dyDescent="0.3">
      <c r="A548" s="141"/>
      <c r="B548" s="378" t="s">
        <v>993</v>
      </c>
      <c r="C548" s="126" t="s">
        <v>994</v>
      </c>
      <c r="D548" s="259" t="s">
        <v>1052</v>
      </c>
      <c r="E548" s="1134"/>
      <c r="F548" s="1027"/>
      <c r="G548" s="1152"/>
      <c r="H548" s="1076"/>
      <c r="I548" s="1113"/>
      <c r="J548" s="1076"/>
      <c r="K548" s="1113"/>
      <c r="L548" s="1076"/>
      <c r="M548" s="1113"/>
      <c r="N548" s="1076"/>
      <c r="O548" s="1113"/>
      <c r="P548" s="1080"/>
      <c r="Q548" s="1032"/>
      <c r="R548" s="1027"/>
      <c r="S548" s="1009"/>
      <c r="T548" s="1032"/>
      <c r="U548" s="1004"/>
      <c r="V548" s="1007"/>
      <c r="W548" s="1032"/>
      <c r="X548" s="1004"/>
      <c r="Y548" s="1007"/>
      <c r="Z548" s="153"/>
      <c r="AA548" s="147"/>
      <c r="AB548" s="101"/>
      <c r="AC548" s="226"/>
      <c r="AD548" s="1067"/>
      <c r="AE548" s="1041"/>
    </row>
    <row r="549" spans="1:31" ht="39.75" hidden="1" customHeight="1" outlineLevel="2" x14ac:dyDescent="0.3">
      <c r="A549" s="141"/>
      <c r="B549" s="378" t="s">
        <v>1002</v>
      </c>
      <c r="C549" s="126" t="s">
        <v>994</v>
      </c>
      <c r="D549" s="259" t="s">
        <v>1004</v>
      </c>
      <c r="E549" s="1132" t="s">
        <v>1003</v>
      </c>
      <c r="F549" s="1026">
        <f>ROUND(G549/0.635,0)</f>
        <v>9435</v>
      </c>
      <c r="G549" s="1151">
        <v>5991.0599999999995</v>
      </c>
      <c r="H549" s="1075">
        <v>5.52</v>
      </c>
      <c r="I549" s="1111">
        <v>0.41700000000000004</v>
      </c>
      <c r="J549" s="1075">
        <f t="shared" si="285"/>
        <v>41446</v>
      </c>
      <c r="K549" s="1008">
        <f t="shared" si="286"/>
        <v>17283</v>
      </c>
      <c r="L549" s="1075">
        <v>5.72</v>
      </c>
      <c r="M549" s="1111">
        <v>1E-3</v>
      </c>
      <c r="N549" s="1075">
        <f t="shared" si="287"/>
        <v>42948</v>
      </c>
      <c r="O549" s="1008">
        <f t="shared" si="288"/>
        <v>43</v>
      </c>
      <c r="P549" s="1075">
        <v>5.72</v>
      </c>
      <c r="Q549" s="1111">
        <f>0.635-I549-M549</f>
        <v>0.21699999999999997</v>
      </c>
      <c r="R549" s="1075">
        <f t="shared" si="297"/>
        <v>42948</v>
      </c>
      <c r="S549" s="1008">
        <f t="shared" si="298"/>
        <v>9320</v>
      </c>
      <c r="T549" s="1030">
        <f>I549+M549</f>
        <v>0.41800000000000004</v>
      </c>
      <c r="U549" s="1002">
        <v>135525</v>
      </c>
      <c r="V549" s="1005">
        <f>T549*U549</f>
        <v>56649.450000000004</v>
      </c>
      <c r="W549" s="1030">
        <f>Q549</f>
        <v>0.21699999999999997</v>
      </c>
      <c r="X549" s="1002">
        <v>135525</v>
      </c>
      <c r="Y549" s="1005">
        <f>W549*X549</f>
        <v>29408.924999999996</v>
      </c>
      <c r="Z549" s="153"/>
      <c r="AA549" s="147"/>
      <c r="AB549" s="101">
        <f t="shared" si="289"/>
        <v>0</v>
      </c>
      <c r="AC549" s="226"/>
      <c r="AD549" s="1066"/>
      <c r="AE549" s="1039">
        <f>K549+O549+S549-V549-Y549</f>
        <v>-59412.375</v>
      </c>
    </row>
    <row r="550" spans="1:31" ht="22.5" hidden="1" customHeight="1" outlineLevel="2" x14ac:dyDescent="0.3">
      <c r="A550" s="141"/>
      <c r="B550" s="334" t="s">
        <v>1005</v>
      </c>
      <c r="C550" s="126" t="s">
        <v>994</v>
      </c>
      <c r="D550" s="259" t="s">
        <v>1008</v>
      </c>
      <c r="E550" s="1133"/>
      <c r="F550" s="1100"/>
      <c r="G550" s="1186"/>
      <c r="H550" s="1081"/>
      <c r="I550" s="1112"/>
      <c r="J550" s="1081"/>
      <c r="K550" s="1077"/>
      <c r="L550" s="1081"/>
      <c r="M550" s="1112"/>
      <c r="N550" s="1081"/>
      <c r="O550" s="1077"/>
      <c r="P550" s="1081"/>
      <c r="Q550" s="1112"/>
      <c r="R550" s="1081"/>
      <c r="S550" s="1077"/>
      <c r="T550" s="1031"/>
      <c r="U550" s="1003"/>
      <c r="V550" s="1006"/>
      <c r="W550" s="1031"/>
      <c r="X550" s="1003"/>
      <c r="Y550" s="1006">
        <f t="shared" si="293"/>
        <v>0</v>
      </c>
      <c r="Z550" s="153"/>
      <c r="AA550" s="147"/>
      <c r="AB550" s="101"/>
      <c r="AC550" s="226"/>
      <c r="AD550" s="1068"/>
      <c r="AE550" s="1040"/>
    </row>
    <row r="551" spans="1:31" ht="22.5" hidden="1" customHeight="1" outlineLevel="2" x14ac:dyDescent="0.3">
      <c r="A551" s="141"/>
      <c r="B551" s="334" t="s">
        <v>1006</v>
      </c>
      <c r="C551" s="126" t="s">
        <v>994</v>
      </c>
      <c r="D551" s="259" t="s">
        <v>1007</v>
      </c>
      <c r="E551" s="1134"/>
      <c r="F551" s="1027"/>
      <c r="G551" s="1152"/>
      <c r="H551" s="1076"/>
      <c r="I551" s="1113"/>
      <c r="J551" s="1076"/>
      <c r="K551" s="1113"/>
      <c r="L551" s="1076"/>
      <c r="M551" s="1113"/>
      <c r="N551" s="1076"/>
      <c r="O551" s="1009"/>
      <c r="P551" s="1076"/>
      <c r="Q551" s="1113"/>
      <c r="R551" s="1076"/>
      <c r="S551" s="1191"/>
      <c r="T551" s="1032"/>
      <c r="U551" s="1004"/>
      <c r="V551" s="1007"/>
      <c r="W551" s="1032"/>
      <c r="X551" s="1004"/>
      <c r="Y551" s="1007">
        <f t="shared" si="293"/>
        <v>0</v>
      </c>
      <c r="Z551" s="153"/>
      <c r="AA551" s="147"/>
      <c r="AB551" s="101"/>
      <c r="AC551" s="226"/>
      <c r="AD551" s="1067"/>
      <c r="AE551" s="1041"/>
    </row>
    <row r="552" spans="1:31" ht="22.5" hidden="1" customHeight="1" outlineLevel="2" x14ac:dyDescent="0.3">
      <c r="A552" s="141"/>
      <c r="B552" s="334" t="s">
        <v>1051</v>
      </c>
      <c r="C552" s="126" t="s">
        <v>28</v>
      </c>
      <c r="D552" s="259" t="s">
        <v>1030</v>
      </c>
      <c r="E552" s="166"/>
      <c r="F552" s="265">
        <v>9435</v>
      </c>
      <c r="G552" s="217">
        <v>5991</v>
      </c>
      <c r="H552" s="279"/>
      <c r="I552" s="246"/>
      <c r="J552" s="279"/>
      <c r="K552" s="193"/>
      <c r="L552" s="279"/>
      <c r="M552" s="246"/>
      <c r="N552" s="279"/>
      <c r="O552" s="193"/>
      <c r="P552" s="272">
        <v>6.31</v>
      </c>
      <c r="Q552" s="236">
        <f>0.697-I552-M552</f>
        <v>0.69699999999999995</v>
      </c>
      <c r="R552" s="265">
        <f t="shared" ref="R552" si="311">ROUND(F552*P552*0.7958,0)</f>
        <v>47378</v>
      </c>
      <c r="S552" s="193">
        <f t="shared" ref="S552" si="312">ROUND(Q552*P552*F552*0.7958,0)</f>
        <v>33022</v>
      </c>
      <c r="T552" s="232"/>
      <c r="U552" s="289"/>
      <c r="V552" s="199"/>
      <c r="W552" s="232">
        <f t="shared" si="303"/>
        <v>0.69699999999999995</v>
      </c>
      <c r="X552" s="296">
        <v>135525</v>
      </c>
      <c r="Y552" s="199">
        <f t="shared" si="293"/>
        <v>94460.924999999988</v>
      </c>
      <c r="Z552" s="153"/>
      <c r="AA552" s="147"/>
      <c r="AB552" s="101"/>
      <c r="AC552" s="226"/>
      <c r="AD552" s="302">
        <f>R552-X552</f>
        <v>-88147</v>
      </c>
      <c r="AE552" s="202">
        <f>S552-Y552</f>
        <v>-61438.924999999988</v>
      </c>
    </row>
    <row r="553" spans="1:31" s="142" customFormat="1" ht="22.5" hidden="1" customHeight="1" outlineLevel="2" x14ac:dyDescent="0.3">
      <c r="B553" s="341" t="s">
        <v>570</v>
      </c>
      <c r="C553" s="184" t="s">
        <v>28</v>
      </c>
      <c r="D553" s="260">
        <v>0.10100000000000001</v>
      </c>
      <c r="E553" s="188"/>
      <c r="F553" s="192">
        <f t="shared" si="284"/>
        <v>8007</v>
      </c>
      <c r="G553" s="216">
        <v>808.71</v>
      </c>
      <c r="H553" s="278"/>
      <c r="I553" s="245"/>
      <c r="J553" s="192"/>
      <c r="K553" s="193"/>
      <c r="L553" s="278"/>
      <c r="M553" s="245"/>
      <c r="N553" s="192"/>
      <c r="O553" s="193"/>
      <c r="P553" s="285">
        <v>6.31</v>
      </c>
      <c r="Q553" s="240">
        <f t="shared" si="296"/>
        <v>0.10100000000000001</v>
      </c>
      <c r="R553" s="192">
        <f t="shared" si="297"/>
        <v>40207</v>
      </c>
      <c r="S553" s="193">
        <f t="shared" si="298"/>
        <v>4061</v>
      </c>
      <c r="T553" s="371"/>
      <c r="U553" s="296"/>
      <c r="V553" s="199"/>
      <c r="W553" s="371">
        <f t="shared" si="303"/>
        <v>0.10100000000000001</v>
      </c>
      <c r="X553" s="296">
        <v>135525</v>
      </c>
      <c r="Y553" s="199">
        <f t="shared" si="293"/>
        <v>13688.025000000001</v>
      </c>
      <c r="Z553" s="185"/>
      <c r="AA553" s="186"/>
      <c r="AB553" s="187">
        <f t="shared" si="289"/>
        <v>0</v>
      </c>
      <c r="AC553" s="210"/>
      <c r="AD553" s="302">
        <f>R553-X553</f>
        <v>-95318</v>
      </c>
      <c r="AE553" s="202">
        <f>S553-Y553</f>
        <v>-9627.0250000000015</v>
      </c>
    </row>
    <row r="554" spans="1:31" s="142" customFormat="1" ht="35.25" hidden="1" customHeight="1" outlineLevel="2" x14ac:dyDescent="0.3">
      <c r="A554" s="141"/>
      <c r="B554" s="341" t="s">
        <v>1023</v>
      </c>
      <c r="C554" s="184" t="s">
        <v>994</v>
      </c>
      <c r="D554" s="260" t="s">
        <v>1053</v>
      </c>
      <c r="E554" s="1132" t="s">
        <v>1024</v>
      </c>
      <c r="F554" s="1026">
        <f>ROUND(G554/14.011,0)</f>
        <v>12424</v>
      </c>
      <c r="G554" s="1151">
        <v>174070.71</v>
      </c>
      <c r="H554" s="1075"/>
      <c r="I554" s="1111"/>
      <c r="J554" s="1075"/>
      <c r="K554" s="1008"/>
      <c r="L554" s="1075">
        <v>6.31</v>
      </c>
      <c r="M554" s="1111">
        <v>1.9869999999999999</v>
      </c>
      <c r="N554" s="1026">
        <f>ROUND(F554*L554*0.7958,0)</f>
        <v>62387</v>
      </c>
      <c r="O554" s="1008">
        <f>ROUND(M554*L554*F554*0.7958,0)</f>
        <v>123963</v>
      </c>
      <c r="P554" s="1075">
        <v>6.31</v>
      </c>
      <c r="Q554" s="1111">
        <f>14.011-I554-M554</f>
        <v>12.023999999999999</v>
      </c>
      <c r="R554" s="1026">
        <f>ROUND(F554*P554*0.7958,0)</f>
        <v>62387</v>
      </c>
      <c r="S554" s="1008">
        <f>ROUND(Q554*P554*F554*0.7958,0)</f>
        <v>750142</v>
      </c>
      <c r="T554" s="999">
        <v>1.9870000000000001</v>
      </c>
      <c r="U554" s="1002">
        <v>135525</v>
      </c>
      <c r="V554" s="1005">
        <f>T554*U554</f>
        <v>269288.17499999999</v>
      </c>
      <c r="W554" s="999">
        <v>12.023999999999999</v>
      </c>
      <c r="X554" s="1002">
        <v>135525</v>
      </c>
      <c r="Y554" s="1005">
        <f>W554*X554</f>
        <v>1629552.5999999999</v>
      </c>
      <c r="Z554" s="185"/>
      <c r="AA554" s="186"/>
      <c r="AB554" s="187"/>
      <c r="AC554" s="210"/>
      <c r="AD554" s="1052"/>
      <c r="AE554" s="1039">
        <f>O554+S554-V554-Y554</f>
        <v>-1024735.7749999999</v>
      </c>
    </row>
    <row r="555" spans="1:31" ht="35.25" hidden="1" customHeight="1" outlineLevel="2" x14ac:dyDescent="0.3">
      <c r="A555" s="141"/>
      <c r="B555" s="334" t="s">
        <v>1025</v>
      </c>
      <c r="C555" s="126" t="s">
        <v>28</v>
      </c>
      <c r="D555" s="261">
        <f>(0.174+0.058)*1.03</f>
        <v>0.23895999999999998</v>
      </c>
      <c r="E555" s="1133"/>
      <c r="F555" s="1100"/>
      <c r="G555" s="1186"/>
      <c r="H555" s="1081"/>
      <c r="I555" s="1112"/>
      <c r="J555" s="1081"/>
      <c r="K555" s="1077"/>
      <c r="L555" s="1081"/>
      <c r="M555" s="1112"/>
      <c r="N555" s="1100"/>
      <c r="O555" s="1077"/>
      <c r="P555" s="1081"/>
      <c r="Q555" s="1112"/>
      <c r="R555" s="1100"/>
      <c r="S555" s="1077"/>
      <c r="T555" s="1000"/>
      <c r="U555" s="1003"/>
      <c r="V555" s="1006"/>
      <c r="W555" s="1000"/>
      <c r="X555" s="1003"/>
      <c r="Y555" s="1006">
        <f t="shared" si="293"/>
        <v>0</v>
      </c>
      <c r="Z555" s="153"/>
      <c r="AA555" s="147"/>
      <c r="AB555" s="101"/>
      <c r="AC555" s="226"/>
      <c r="AD555" s="1053"/>
      <c r="AE555" s="1051"/>
    </row>
    <row r="556" spans="1:31" ht="23.25" hidden="1" customHeight="1" outlineLevel="2" x14ac:dyDescent="0.3">
      <c r="A556" s="141"/>
      <c r="B556" s="334" t="s">
        <v>1027</v>
      </c>
      <c r="C556" s="126" t="s">
        <v>28</v>
      </c>
      <c r="D556" s="262">
        <f>0.019*6*1.03</f>
        <v>0.11742</v>
      </c>
      <c r="E556" s="1133"/>
      <c r="F556" s="1100"/>
      <c r="G556" s="1186"/>
      <c r="H556" s="1081"/>
      <c r="I556" s="1112"/>
      <c r="J556" s="1081"/>
      <c r="K556" s="1077"/>
      <c r="L556" s="1081"/>
      <c r="M556" s="1112"/>
      <c r="N556" s="1100"/>
      <c r="O556" s="1077"/>
      <c r="P556" s="1081"/>
      <c r="Q556" s="1112"/>
      <c r="R556" s="1100"/>
      <c r="S556" s="1077"/>
      <c r="T556" s="1000"/>
      <c r="U556" s="1003"/>
      <c r="V556" s="1006"/>
      <c r="W556" s="1000"/>
      <c r="X556" s="1003"/>
      <c r="Y556" s="1006">
        <f t="shared" si="293"/>
        <v>0</v>
      </c>
      <c r="Z556" s="153"/>
      <c r="AA556" s="147"/>
      <c r="AB556" s="101"/>
      <c r="AC556" s="226"/>
      <c r="AD556" s="1053"/>
      <c r="AE556" s="1051"/>
    </row>
    <row r="557" spans="1:31" ht="23.25" hidden="1" customHeight="1" outlineLevel="2" x14ac:dyDescent="0.3">
      <c r="A557" s="141"/>
      <c r="B557" s="334" t="s">
        <v>1028</v>
      </c>
      <c r="C557" s="126" t="s">
        <v>28</v>
      </c>
      <c r="D557" s="262">
        <f>1.03*0.6617</f>
        <v>0.68155100000000002</v>
      </c>
      <c r="E557" s="1133"/>
      <c r="F557" s="1100"/>
      <c r="G557" s="1186"/>
      <c r="H557" s="1081"/>
      <c r="I557" s="1112"/>
      <c r="J557" s="1081"/>
      <c r="K557" s="1077"/>
      <c r="L557" s="1081"/>
      <c r="M557" s="1112"/>
      <c r="N557" s="1100"/>
      <c r="O557" s="1077"/>
      <c r="P557" s="1081"/>
      <c r="Q557" s="1112"/>
      <c r="R557" s="1100"/>
      <c r="S557" s="1077"/>
      <c r="T557" s="1000"/>
      <c r="U557" s="1003"/>
      <c r="V557" s="1006"/>
      <c r="W557" s="1000"/>
      <c r="X557" s="1003"/>
      <c r="Y557" s="1006">
        <f t="shared" si="293"/>
        <v>0</v>
      </c>
      <c r="Z557" s="153"/>
      <c r="AA557" s="147"/>
      <c r="AB557" s="101"/>
      <c r="AC557" s="226"/>
      <c r="AD557" s="1053"/>
      <c r="AE557" s="1051"/>
    </row>
    <row r="558" spans="1:31" ht="23.25" hidden="1" customHeight="1" outlineLevel="2" x14ac:dyDescent="0.3">
      <c r="A558" s="141"/>
      <c r="B558" s="334" t="s">
        <v>1026</v>
      </c>
      <c r="C558" s="126" t="s">
        <v>28</v>
      </c>
      <c r="D558" s="259">
        <v>0.10199999999999999</v>
      </c>
      <c r="E558" s="1133"/>
      <c r="F558" s="1100"/>
      <c r="G558" s="1186"/>
      <c r="H558" s="1081"/>
      <c r="I558" s="1112"/>
      <c r="J558" s="1081"/>
      <c r="K558" s="1077"/>
      <c r="L558" s="1081"/>
      <c r="M558" s="1112"/>
      <c r="N558" s="1100"/>
      <c r="O558" s="1077"/>
      <c r="P558" s="1081"/>
      <c r="Q558" s="1112"/>
      <c r="R558" s="1100"/>
      <c r="S558" s="1077"/>
      <c r="T558" s="1000"/>
      <c r="U558" s="1003"/>
      <c r="V558" s="1006"/>
      <c r="W558" s="1000"/>
      <c r="X558" s="1003"/>
      <c r="Y558" s="1006">
        <f t="shared" si="293"/>
        <v>0</v>
      </c>
      <c r="Z558" s="153"/>
      <c r="AA558" s="147"/>
      <c r="AB558" s="101"/>
      <c r="AC558" s="226"/>
      <c r="AD558" s="1053"/>
      <c r="AE558" s="1051"/>
    </row>
    <row r="559" spans="1:31" ht="23.25" hidden="1" customHeight="1" outlineLevel="2" x14ac:dyDescent="0.3">
      <c r="A559" s="141"/>
      <c r="B559" s="334" t="s">
        <v>1029</v>
      </c>
      <c r="C559" s="126" t="s">
        <v>28</v>
      </c>
      <c r="D559" s="259">
        <v>4.5999999999999999E-3</v>
      </c>
      <c r="E559" s="1133"/>
      <c r="F559" s="1100"/>
      <c r="G559" s="1186"/>
      <c r="H559" s="1081"/>
      <c r="I559" s="1112"/>
      <c r="J559" s="1081"/>
      <c r="K559" s="1077"/>
      <c r="L559" s="1081"/>
      <c r="M559" s="1112"/>
      <c r="N559" s="1100"/>
      <c r="O559" s="1077"/>
      <c r="P559" s="1081"/>
      <c r="Q559" s="1112"/>
      <c r="R559" s="1100"/>
      <c r="S559" s="1077"/>
      <c r="T559" s="1000"/>
      <c r="U559" s="1003"/>
      <c r="V559" s="1006"/>
      <c r="W559" s="1000"/>
      <c r="X559" s="1003"/>
      <c r="Y559" s="1006">
        <f t="shared" si="293"/>
        <v>0</v>
      </c>
      <c r="Z559" s="153"/>
      <c r="AA559" s="147"/>
      <c r="AB559" s="101"/>
      <c r="AC559" s="226"/>
      <c r="AD559" s="1053"/>
      <c r="AE559" s="1051"/>
    </row>
    <row r="560" spans="1:31" ht="23.25" hidden="1" customHeight="1" outlineLevel="2" x14ac:dyDescent="0.3">
      <c r="A560" s="141"/>
      <c r="B560" s="334" t="s">
        <v>1031</v>
      </c>
      <c r="C560" s="126" t="s">
        <v>994</v>
      </c>
      <c r="D560" s="259" t="s">
        <v>1032</v>
      </c>
      <c r="E560" s="1133"/>
      <c r="F560" s="1100"/>
      <c r="G560" s="1186"/>
      <c r="H560" s="1081"/>
      <c r="I560" s="1112"/>
      <c r="J560" s="1081"/>
      <c r="K560" s="1077"/>
      <c r="L560" s="1081"/>
      <c r="M560" s="1112"/>
      <c r="N560" s="1100"/>
      <c r="O560" s="1077"/>
      <c r="P560" s="1081"/>
      <c r="Q560" s="1112"/>
      <c r="R560" s="1100"/>
      <c r="S560" s="1077"/>
      <c r="T560" s="1000"/>
      <c r="U560" s="1003"/>
      <c r="V560" s="1006"/>
      <c r="W560" s="1000"/>
      <c r="X560" s="1003"/>
      <c r="Y560" s="1006">
        <f t="shared" ref="Y560:Y575" si="313">W560*X560</f>
        <v>0</v>
      </c>
      <c r="Z560" s="153"/>
      <c r="AA560" s="147"/>
      <c r="AB560" s="101"/>
      <c r="AC560" s="226"/>
      <c r="AD560" s="1053"/>
      <c r="AE560" s="1051"/>
    </row>
    <row r="561" spans="1:31" ht="23.25" hidden="1" customHeight="1" outlineLevel="2" x14ac:dyDescent="0.3">
      <c r="A561" s="141"/>
      <c r="B561" s="334" t="s">
        <v>1033</v>
      </c>
      <c r="C561" s="126" t="s">
        <v>994</v>
      </c>
      <c r="D561" s="259" t="s">
        <v>1034</v>
      </c>
      <c r="E561" s="1133"/>
      <c r="F561" s="1100"/>
      <c r="G561" s="1186"/>
      <c r="H561" s="1081"/>
      <c r="I561" s="1112"/>
      <c r="J561" s="1081"/>
      <c r="K561" s="1077"/>
      <c r="L561" s="1081"/>
      <c r="M561" s="1112"/>
      <c r="N561" s="1100"/>
      <c r="O561" s="1077"/>
      <c r="P561" s="1081"/>
      <c r="Q561" s="1112"/>
      <c r="R561" s="1100"/>
      <c r="S561" s="1077"/>
      <c r="T561" s="1000"/>
      <c r="U561" s="1003"/>
      <c r="V561" s="1006"/>
      <c r="W561" s="1000"/>
      <c r="X561" s="1003"/>
      <c r="Y561" s="1006">
        <f t="shared" si="313"/>
        <v>0</v>
      </c>
      <c r="Z561" s="153"/>
      <c r="AA561" s="147"/>
      <c r="AB561" s="101"/>
      <c r="AC561" s="226"/>
      <c r="AD561" s="1053"/>
      <c r="AE561" s="1051"/>
    </row>
    <row r="562" spans="1:31" ht="23.25" hidden="1" customHeight="1" outlineLevel="2" x14ac:dyDescent="0.3">
      <c r="A562" s="141"/>
      <c r="B562" s="334" t="s">
        <v>1035</v>
      </c>
      <c r="C562" s="126" t="s">
        <v>994</v>
      </c>
      <c r="D562" s="259" t="s">
        <v>1036</v>
      </c>
      <c r="E562" s="1133"/>
      <c r="F562" s="1100"/>
      <c r="G562" s="1186"/>
      <c r="H562" s="1081"/>
      <c r="I562" s="1112"/>
      <c r="J562" s="1081"/>
      <c r="K562" s="1077"/>
      <c r="L562" s="1081"/>
      <c r="M562" s="1112"/>
      <c r="N562" s="1100"/>
      <c r="O562" s="1077"/>
      <c r="P562" s="1081"/>
      <c r="Q562" s="1112"/>
      <c r="R562" s="1100"/>
      <c r="S562" s="1077"/>
      <c r="T562" s="1000"/>
      <c r="U562" s="1003"/>
      <c r="V562" s="1006"/>
      <c r="W562" s="1000"/>
      <c r="X562" s="1003"/>
      <c r="Y562" s="1006">
        <f t="shared" si="313"/>
        <v>0</v>
      </c>
      <c r="Z562" s="153"/>
      <c r="AA562" s="147"/>
      <c r="AB562" s="101"/>
      <c r="AC562" s="226"/>
      <c r="AD562" s="1053"/>
      <c r="AE562" s="1051"/>
    </row>
    <row r="563" spans="1:31" ht="35.25" hidden="1" customHeight="1" outlineLevel="2" x14ac:dyDescent="0.3">
      <c r="A563" s="141"/>
      <c r="B563" s="334" t="s">
        <v>1037</v>
      </c>
      <c r="C563" s="126" t="s">
        <v>994</v>
      </c>
      <c r="D563" s="259" t="s">
        <v>1038</v>
      </c>
      <c r="E563" s="1133"/>
      <c r="F563" s="1100"/>
      <c r="G563" s="1186"/>
      <c r="H563" s="1081"/>
      <c r="I563" s="1112"/>
      <c r="J563" s="1081"/>
      <c r="K563" s="1077"/>
      <c r="L563" s="1081"/>
      <c r="M563" s="1112"/>
      <c r="N563" s="1100"/>
      <c r="O563" s="1077"/>
      <c r="P563" s="1081"/>
      <c r="Q563" s="1112"/>
      <c r="R563" s="1100"/>
      <c r="S563" s="1077"/>
      <c r="T563" s="1000"/>
      <c r="U563" s="1003"/>
      <c r="V563" s="1006"/>
      <c r="W563" s="1000"/>
      <c r="X563" s="1003"/>
      <c r="Y563" s="1006">
        <f t="shared" si="313"/>
        <v>0</v>
      </c>
      <c r="Z563" s="153"/>
      <c r="AA563" s="147"/>
      <c r="AB563" s="101"/>
      <c r="AC563" s="226"/>
      <c r="AD563" s="1053"/>
      <c r="AE563" s="1051"/>
    </row>
    <row r="564" spans="1:31" ht="27" hidden="1" customHeight="1" outlineLevel="2" x14ac:dyDescent="0.3">
      <c r="A564" s="141"/>
      <c r="B564" s="334" t="s">
        <v>1039</v>
      </c>
      <c r="C564" s="126" t="s">
        <v>994</v>
      </c>
      <c r="D564" s="259" t="s">
        <v>1040</v>
      </c>
      <c r="E564" s="1133"/>
      <c r="F564" s="1100"/>
      <c r="G564" s="1186"/>
      <c r="H564" s="1081"/>
      <c r="I564" s="1112"/>
      <c r="J564" s="1081"/>
      <c r="K564" s="1077"/>
      <c r="L564" s="1081"/>
      <c r="M564" s="1112"/>
      <c r="N564" s="1100"/>
      <c r="O564" s="1077"/>
      <c r="P564" s="1081"/>
      <c r="Q564" s="1112"/>
      <c r="R564" s="1100"/>
      <c r="S564" s="1077"/>
      <c r="T564" s="1000"/>
      <c r="U564" s="1003"/>
      <c r="V564" s="1006"/>
      <c r="W564" s="1000"/>
      <c r="X564" s="1003"/>
      <c r="Y564" s="1006">
        <f t="shared" si="313"/>
        <v>0</v>
      </c>
      <c r="Z564" s="153"/>
      <c r="AA564" s="147"/>
      <c r="AB564" s="101"/>
      <c r="AC564" s="226"/>
      <c r="AD564" s="1053"/>
      <c r="AE564" s="1051"/>
    </row>
    <row r="565" spans="1:31" ht="35.25" hidden="1" customHeight="1" outlineLevel="2" x14ac:dyDescent="0.3">
      <c r="A565" s="141"/>
      <c r="B565" s="334" t="s">
        <v>1042</v>
      </c>
      <c r="C565" s="126" t="s">
        <v>994</v>
      </c>
      <c r="D565" s="259" t="s">
        <v>1041</v>
      </c>
      <c r="E565" s="1133"/>
      <c r="F565" s="1100"/>
      <c r="G565" s="1186"/>
      <c r="H565" s="1081"/>
      <c r="I565" s="1112"/>
      <c r="J565" s="1081"/>
      <c r="K565" s="1077"/>
      <c r="L565" s="1081"/>
      <c r="M565" s="1112"/>
      <c r="N565" s="1100"/>
      <c r="O565" s="1077"/>
      <c r="P565" s="1081"/>
      <c r="Q565" s="1112"/>
      <c r="R565" s="1100"/>
      <c r="S565" s="1077"/>
      <c r="T565" s="1000"/>
      <c r="U565" s="1003"/>
      <c r="V565" s="1006"/>
      <c r="W565" s="1000"/>
      <c r="X565" s="1003"/>
      <c r="Y565" s="1006">
        <f t="shared" si="313"/>
        <v>0</v>
      </c>
      <c r="Z565" s="153"/>
      <c r="AA565" s="147"/>
      <c r="AB565" s="101"/>
      <c r="AC565" s="226"/>
      <c r="AD565" s="1053"/>
      <c r="AE565" s="1051"/>
    </row>
    <row r="566" spans="1:31" ht="35.25" hidden="1" customHeight="1" outlineLevel="2" x14ac:dyDescent="0.3">
      <c r="A566" s="141"/>
      <c r="B566" s="334" t="s">
        <v>1043</v>
      </c>
      <c r="C566" s="126" t="s">
        <v>994</v>
      </c>
      <c r="D566" s="259" t="s">
        <v>1044</v>
      </c>
      <c r="E566" s="1133"/>
      <c r="F566" s="1100"/>
      <c r="G566" s="1186"/>
      <c r="H566" s="1081"/>
      <c r="I566" s="1112"/>
      <c r="J566" s="1081"/>
      <c r="K566" s="1077"/>
      <c r="L566" s="1081"/>
      <c r="M566" s="1112"/>
      <c r="N566" s="1100"/>
      <c r="O566" s="1077"/>
      <c r="P566" s="1081"/>
      <c r="Q566" s="1112"/>
      <c r="R566" s="1100"/>
      <c r="S566" s="1077"/>
      <c r="T566" s="1000"/>
      <c r="U566" s="1003"/>
      <c r="V566" s="1006"/>
      <c r="W566" s="1000"/>
      <c r="X566" s="1003"/>
      <c r="Y566" s="1006">
        <f t="shared" si="313"/>
        <v>0</v>
      </c>
      <c r="Z566" s="153"/>
      <c r="AA566" s="147"/>
      <c r="AB566" s="101"/>
      <c r="AC566" s="226"/>
      <c r="AD566" s="1053"/>
      <c r="AE566" s="1051"/>
    </row>
    <row r="567" spans="1:31" ht="35.25" hidden="1" customHeight="1" outlineLevel="2" x14ac:dyDescent="0.3">
      <c r="A567" s="141"/>
      <c r="B567" s="334" t="s">
        <v>1045</v>
      </c>
      <c r="C567" s="126" t="s">
        <v>994</v>
      </c>
      <c r="D567" s="259" t="s">
        <v>1046</v>
      </c>
      <c r="E567" s="1133"/>
      <c r="F567" s="1100"/>
      <c r="G567" s="1186"/>
      <c r="H567" s="1081"/>
      <c r="I567" s="1112"/>
      <c r="J567" s="1081"/>
      <c r="K567" s="1077"/>
      <c r="L567" s="1081"/>
      <c r="M567" s="1112"/>
      <c r="N567" s="1100"/>
      <c r="O567" s="1077"/>
      <c r="P567" s="1081"/>
      <c r="Q567" s="1112"/>
      <c r="R567" s="1100"/>
      <c r="S567" s="1077"/>
      <c r="T567" s="1000"/>
      <c r="U567" s="1003"/>
      <c r="V567" s="1006"/>
      <c r="W567" s="1000"/>
      <c r="X567" s="1003"/>
      <c r="Y567" s="1006">
        <f t="shared" si="313"/>
        <v>0</v>
      </c>
      <c r="Z567" s="153"/>
      <c r="AA567" s="147"/>
      <c r="AB567" s="101"/>
      <c r="AC567" s="226"/>
      <c r="AD567" s="1053"/>
      <c r="AE567" s="1051"/>
    </row>
    <row r="568" spans="1:31" ht="35.25" hidden="1" customHeight="1" outlineLevel="2" x14ac:dyDescent="0.3">
      <c r="A568" s="141"/>
      <c r="B568" s="334" t="s">
        <v>1049</v>
      </c>
      <c r="C568" s="126" t="s">
        <v>994</v>
      </c>
      <c r="D568" s="259" t="s">
        <v>1050</v>
      </c>
      <c r="E568" s="1133"/>
      <c r="F568" s="1100"/>
      <c r="G568" s="1186"/>
      <c r="H568" s="1081"/>
      <c r="I568" s="1112"/>
      <c r="J568" s="1081"/>
      <c r="K568" s="1077"/>
      <c r="L568" s="1081"/>
      <c r="M568" s="1112"/>
      <c r="N568" s="1100"/>
      <c r="O568" s="1077"/>
      <c r="P568" s="1081"/>
      <c r="Q568" s="1112"/>
      <c r="R568" s="1100"/>
      <c r="S568" s="1077"/>
      <c r="T568" s="1000"/>
      <c r="U568" s="1003"/>
      <c r="V568" s="1006"/>
      <c r="W568" s="1000"/>
      <c r="X568" s="1003"/>
      <c r="Y568" s="1006">
        <f t="shared" si="313"/>
        <v>0</v>
      </c>
      <c r="Z568" s="153"/>
      <c r="AA568" s="147"/>
      <c r="AB568" s="101"/>
      <c r="AC568" s="226"/>
      <c r="AD568" s="1053"/>
      <c r="AE568" s="1051"/>
    </row>
    <row r="569" spans="1:31" ht="35.25" hidden="1" customHeight="1" outlineLevel="2" x14ac:dyDescent="0.3">
      <c r="A569" s="141"/>
      <c r="B569" s="334" t="s">
        <v>1047</v>
      </c>
      <c r="C569" s="126" t="s">
        <v>994</v>
      </c>
      <c r="D569" s="259" t="s">
        <v>1048</v>
      </c>
      <c r="E569" s="1134"/>
      <c r="F569" s="1027"/>
      <c r="G569" s="1152"/>
      <c r="H569" s="1076"/>
      <c r="I569" s="1113"/>
      <c r="J569" s="1076"/>
      <c r="K569" s="1009"/>
      <c r="L569" s="1076"/>
      <c r="M569" s="1113"/>
      <c r="N569" s="1027"/>
      <c r="O569" s="1009"/>
      <c r="P569" s="1076"/>
      <c r="Q569" s="1113"/>
      <c r="R569" s="1027"/>
      <c r="S569" s="1009"/>
      <c r="T569" s="1001"/>
      <c r="U569" s="1004"/>
      <c r="V569" s="1007"/>
      <c r="W569" s="1001"/>
      <c r="X569" s="1004"/>
      <c r="Y569" s="1007">
        <f t="shared" si="313"/>
        <v>0</v>
      </c>
      <c r="Z569" s="153"/>
      <c r="AA569" s="147"/>
      <c r="AB569" s="101"/>
      <c r="AC569" s="226"/>
      <c r="AD569" s="1054"/>
      <c r="AE569" s="1047"/>
    </row>
    <row r="570" spans="1:31" ht="30" hidden="1" customHeight="1" outlineLevel="2" x14ac:dyDescent="0.3">
      <c r="A570" s="141"/>
      <c r="B570" s="334" t="s">
        <v>1022</v>
      </c>
      <c r="C570" s="126" t="s">
        <v>28</v>
      </c>
      <c r="D570" s="259">
        <v>0.36899999999999999</v>
      </c>
      <c r="E570" s="55"/>
      <c r="F570" s="265">
        <f t="shared" ref="F570:F611" si="314">ROUND(G570/D570,0)</f>
        <v>4762</v>
      </c>
      <c r="G570" s="217">
        <v>1757.06</v>
      </c>
      <c r="H570" s="279"/>
      <c r="I570" s="246"/>
      <c r="J570" s="265"/>
      <c r="K570" s="193"/>
      <c r="L570" s="279"/>
      <c r="M570" s="246"/>
      <c r="N570" s="265"/>
      <c r="O570" s="193"/>
      <c r="P570" s="272">
        <v>6.31</v>
      </c>
      <c r="Q570" s="236">
        <f t="shared" ref="Q570:Q611" si="315">D570-I570-M570</f>
        <v>0.36899999999999999</v>
      </c>
      <c r="R570" s="265">
        <f t="shared" ref="R570:R611" si="316">ROUND(F570*P570*0.7958,0)</f>
        <v>23912</v>
      </c>
      <c r="S570" s="193">
        <f t="shared" ref="S570:S611" si="317">ROUND(Q570*P570*F570*0.7958,0)</f>
        <v>8824</v>
      </c>
      <c r="T570" s="230"/>
      <c r="U570" s="290"/>
      <c r="V570" s="199"/>
      <c r="W570" s="232">
        <f>Q570</f>
        <v>0.36899999999999999</v>
      </c>
      <c r="X570" s="289">
        <v>39575</v>
      </c>
      <c r="Y570" s="199">
        <f t="shared" si="313"/>
        <v>14603.174999999999</v>
      </c>
      <c r="Z570" s="153"/>
      <c r="AA570" s="147"/>
      <c r="AB570" s="101">
        <f t="shared" ref="AB570:AB611" si="318">ROUND(Z570*AA570,0)</f>
        <v>0</v>
      </c>
      <c r="AC570" s="226"/>
      <c r="AD570" s="302">
        <f>R570-X570</f>
        <v>-15663</v>
      </c>
      <c r="AE570" s="202">
        <f>S570-Y570</f>
        <v>-5779.1749999999993</v>
      </c>
    </row>
    <row r="571" spans="1:31" ht="21" hidden="1" customHeight="1" outlineLevel="2" x14ac:dyDescent="0.3">
      <c r="A571" s="141"/>
      <c r="B571" s="334" t="s">
        <v>571</v>
      </c>
      <c r="C571" s="126" t="s">
        <v>40</v>
      </c>
      <c r="D571" s="259">
        <v>12.273999999999999</v>
      </c>
      <c r="E571" s="64"/>
      <c r="F571" s="265">
        <f t="shared" si="314"/>
        <v>5051</v>
      </c>
      <c r="G571" s="216">
        <v>61995.86</v>
      </c>
      <c r="H571" s="274">
        <v>6.66</v>
      </c>
      <c r="I571" s="238">
        <v>11.9</v>
      </c>
      <c r="J571" s="265">
        <f t="shared" ref="J571:J610" si="319">ROUND(F571*H571*0.7958,0)</f>
        <v>26770</v>
      </c>
      <c r="K571" s="193">
        <f t="shared" ref="K571:K610" si="320">ROUND(I571*H571*F571*0.7958,0)</f>
        <v>318568</v>
      </c>
      <c r="L571" s="274">
        <v>6.89</v>
      </c>
      <c r="M571" s="238">
        <v>0.374</v>
      </c>
      <c r="N571" s="265">
        <f t="shared" ref="N571:N610" si="321">ROUND(F571*L571*0.7958,0)</f>
        <v>27695</v>
      </c>
      <c r="O571" s="193">
        <f t="shared" ref="O571:O610" si="322">ROUND(M571*L571*F571*0.7958,0)</f>
        <v>10358</v>
      </c>
      <c r="P571" s="272"/>
      <c r="Q571" s="236"/>
      <c r="R571" s="265"/>
      <c r="S571" s="193"/>
      <c r="T571" s="232">
        <f>M571+I571</f>
        <v>12.274000000000001</v>
      </c>
      <c r="U571" s="289">
        <v>40000</v>
      </c>
      <c r="V571" s="199">
        <f t="shared" si="309"/>
        <v>490960.00000000006</v>
      </c>
      <c r="W571" s="232"/>
      <c r="X571" s="289"/>
      <c r="Y571" s="199"/>
      <c r="Z571" s="153"/>
      <c r="AA571" s="147"/>
      <c r="AB571" s="101">
        <f t="shared" si="318"/>
        <v>0</v>
      </c>
      <c r="AC571" s="226"/>
      <c r="AD571" s="302">
        <f>N571-U571</f>
        <v>-12305</v>
      </c>
      <c r="AE571" s="202">
        <f>K571+O571+S571-V571-Y571</f>
        <v>-162034.00000000006</v>
      </c>
    </row>
    <row r="572" spans="1:31" s="142" customFormat="1" ht="21" hidden="1" customHeight="1" outlineLevel="2" x14ac:dyDescent="0.3">
      <c r="B572" s="341" t="s">
        <v>572</v>
      </c>
      <c r="C572" s="184" t="s">
        <v>1000</v>
      </c>
      <c r="D572" s="260" t="s">
        <v>1001</v>
      </c>
      <c r="E572" s="188"/>
      <c r="F572" s="192">
        <f>ROUND(G572/0.025,0)</f>
        <v>12380</v>
      </c>
      <c r="G572" s="216">
        <v>309.51</v>
      </c>
      <c r="H572" s="278"/>
      <c r="I572" s="245"/>
      <c r="J572" s="192"/>
      <c r="K572" s="193"/>
      <c r="L572" s="278"/>
      <c r="M572" s="245"/>
      <c r="N572" s="192"/>
      <c r="O572" s="193"/>
      <c r="P572" s="285">
        <v>6.31</v>
      </c>
      <c r="Q572" s="240">
        <f>0.025-I572-M572</f>
        <v>2.5000000000000001E-2</v>
      </c>
      <c r="R572" s="192">
        <f t="shared" si="316"/>
        <v>62166</v>
      </c>
      <c r="S572" s="193">
        <f t="shared" si="317"/>
        <v>1554</v>
      </c>
      <c r="T572" s="371"/>
      <c r="U572" s="296"/>
      <c r="V572" s="199"/>
      <c r="W572" s="371">
        <f>Q572</f>
        <v>2.5000000000000001E-2</v>
      </c>
      <c r="X572" s="296">
        <v>67500</v>
      </c>
      <c r="Y572" s="199">
        <f t="shared" si="313"/>
        <v>1687.5</v>
      </c>
      <c r="Z572" s="185"/>
      <c r="AA572" s="186"/>
      <c r="AB572" s="187">
        <f t="shared" si="318"/>
        <v>0</v>
      </c>
      <c r="AC572" s="210"/>
      <c r="AD572" s="374">
        <f>R572-X572</f>
        <v>-5334</v>
      </c>
      <c r="AE572" s="202">
        <f>S572-Y572</f>
        <v>-133.5</v>
      </c>
    </row>
    <row r="573" spans="1:31" ht="24.75" hidden="1" customHeight="1" outlineLevel="2" x14ac:dyDescent="0.3">
      <c r="B573" s="334" t="s">
        <v>649</v>
      </c>
      <c r="C573" s="126" t="s">
        <v>77</v>
      </c>
      <c r="D573" s="259">
        <v>7</v>
      </c>
      <c r="E573" s="64"/>
      <c r="F573" s="265">
        <f t="shared" si="314"/>
        <v>1</v>
      </c>
      <c r="G573" s="216">
        <v>9.94</v>
      </c>
      <c r="H573" s="274"/>
      <c r="I573" s="238"/>
      <c r="J573" s="265"/>
      <c r="K573" s="193"/>
      <c r="L573" s="274"/>
      <c r="M573" s="238"/>
      <c r="N573" s="265"/>
      <c r="O573" s="193"/>
      <c r="P573" s="272">
        <v>6.31</v>
      </c>
      <c r="Q573" s="236">
        <f t="shared" si="315"/>
        <v>7</v>
      </c>
      <c r="R573" s="265">
        <f t="shared" si="316"/>
        <v>5</v>
      </c>
      <c r="S573" s="193">
        <f t="shared" si="317"/>
        <v>35</v>
      </c>
      <c r="T573" s="232"/>
      <c r="U573" s="289"/>
      <c r="V573" s="199"/>
      <c r="W573" s="232">
        <f t="shared" ref="W573:W575" si="323">Q573</f>
        <v>7</v>
      </c>
      <c r="X573" s="289">
        <v>8</v>
      </c>
      <c r="Y573" s="199">
        <f t="shared" si="313"/>
        <v>56</v>
      </c>
      <c r="Z573" s="153"/>
      <c r="AA573" s="147"/>
      <c r="AB573" s="101">
        <f t="shared" si="318"/>
        <v>0</v>
      </c>
      <c r="AC573" s="226"/>
      <c r="AD573" s="302">
        <f>R573-X573</f>
        <v>-3</v>
      </c>
      <c r="AE573" s="202">
        <f>S573-Y573</f>
        <v>-21</v>
      </c>
    </row>
    <row r="574" spans="1:31" ht="21" hidden="1" customHeight="1" outlineLevel="2" x14ac:dyDescent="0.3">
      <c r="B574" s="334" t="s">
        <v>1160</v>
      </c>
      <c r="C574" s="126" t="s">
        <v>28</v>
      </c>
      <c r="D574" s="259">
        <v>8.1059999999999999</v>
      </c>
      <c r="E574" s="64"/>
      <c r="F574" s="265">
        <f t="shared" si="314"/>
        <v>3562</v>
      </c>
      <c r="G574" s="216">
        <v>28872</v>
      </c>
      <c r="H574" s="274">
        <v>6.11</v>
      </c>
      <c r="I574" s="238">
        <v>0.83899999999999997</v>
      </c>
      <c r="J574" s="265">
        <f t="shared" si="319"/>
        <v>17320</v>
      </c>
      <c r="K574" s="193">
        <f t="shared" si="320"/>
        <v>14531</v>
      </c>
      <c r="L574" s="274">
        <v>6.31</v>
      </c>
      <c r="M574" s="238">
        <v>0.73499999999999999</v>
      </c>
      <c r="N574" s="265">
        <f t="shared" si="321"/>
        <v>17887</v>
      </c>
      <c r="O574" s="193">
        <f t="shared" si="322"/>
        <v>13147</v>
      </c>
      <c r="P574" s="272">
        <v>6.31</v>
      </c>
      <c r="Q574" s="236">
        <f t="shared" si="315"/>
        <v>6.5319999999999991</v>
      </c>
      <c r="R574" s="265">
        <f t="shared" si="316"/>
        <v>17887</v>
      </c>
      <c r="S574" s="193">
        <f t="shared" si="317"/>
        <v>116835</v>
      </c>
      <c r="T574" s="232">
        <f t="shared" si="308"/>
        <v>8.1059999999999999</v>
      </c>
      <c r="U574" s="289">
        <v>35000</v>
      </c>
      <c r="V574" s="199">
        <f t="shared" si="309"/>
        <v>283710</v>
      </c>
      <c r="W574" s="232">
        <f t="shared" si="323"/>
        <v>6.5319999999999991</v>
      </c>
      <c r="X574" s="289">
        <v>35000</v>
      </c>
      <c r="Y574" s="199">
        <f t="shared" si="313"/>
        <v>228619.99999999997</v>
      </c>
      <c r="Z574" s="153"/>
      <c r="AA574" s="147"/>
      <c r="AB574" s="101">
        <f t="shared" si="318"/>
        <v>0</v>
      </c>
      <c r="AC574" s="226"/>
      <c r="AD574" s="302">
        <f>R574-U574</f>
        <v>-17113</v>
      </c>
      <c r="AE574" s="202">
        <f>K574+O574+S574-V574-Y574</f>
        <v>-367817</v>
      </c>
    </row>
    <row r="575" spans="1:31" ht="21" hidden="1" customHeight="1" outlineLevel="2" x14ac:dyDescent="0.3">
      <c r="B575" s="334" t="s">
        <v>573</v>
      </c>
      <c r="C575" s="126" t="s">
        <v>28</v>
      </c>
      <c r="D575" s="259">
        <v>3.0739999999999998</v>
      </c>
      <c r="E575" s="64"/>
      <c r="F575" s="265">
        <f t="shared" si="314"/>
        <v>1547</v>
      </c>
      <c r="G575" s="216">
        <v>4755.82</v>
      </c>
      <c r="H575" s="274">
        <v>6.11</v>
      </c>
      <c r="I575" s="238">
        <v>0.58199999999999996</v>
      </c>
      <c r="J575" s="265">
        <f t="shared" si="319"/>
        <v>7522</v>
      </c>
      <c r="K575" s="193">
        <f t="shared" si="320"/>
        <v>4378</v>
      </c>
      <c r="L575" s="274"/>
      <c r="M575" s="238"/>
      <c r="N575" s="265"/>
      <c r="O575" s="193"/>
      <c r="P575" s="272">
        <v>6.31</v>
      </c>
      <c r="Q575" s="236">
        <f t="shared" si="315"/>
        <v>2.492</v>
      </c>
      <c r="R575" s="265">
        <f t="shared" si="316"/>
        <v>7768</v>
      </c>
      <c r="S575" s="193">
        <f t="shared" si="317"/>
        <v>19358</v>
      </c>
      <c r="T575" s="232">
        <f t="shared" si="308"/>
        <v>3.0739999999999998</v>
      </c>
      <c r="U575" s="289">
        <v>35000</v>
      </c>
      <c r="V575" s="199">
        <f t="shared" si="309"/>
        <v>107590</v>
      </c>
      <c r="W575" s="232">
        <f t="shared" si="323"/>
        <v>2.492</v>
      </c>
      <c r="X575" s="289">
        <v>35000</v>
      </c>
      <c r="Y575" s="199">
        <f t="shared" si="313"/>
        <v>87220</v>
      </c>
      <c r="Z575" s="153"/>
      <c r="AA575" s="147"/>
      <c r="AB575" s="101">
        <f t="shared" si="318"/>
        <v>0</v>
      </c>
      <c r="AC575" s="226"/>
      <c r="AD575" s="302">
        <f>R575-V575</f>
        <v>-99822</v>
      </c>
      <c r="AE575" s="202">
        <f>K575+S575-V575-Y575</f>
        <v>-171074</v>
      </c>
    </row>
    <row r="576" spans="1:31" s="142" customFormat="1" ht="21" hidden="1" customHeight="1" outlineLevel="2" x14ac:dyDescent="0.3">
      <c r="A576" s="141"/>
      <c r="B576" s="341" t="s">
        <v>1161</v>
      </c>
      <c r="C576" s="184" t="s">
        <v>40</v>
      </c>
      <c r="D576" s="260">
        <v>2</v>
      </c>
      <c r="E576" s="188"/>
      <c r="F576" s="192">
        <f t="shared" si="314"/>
        <v>710</v>
      </c>
      <c r="G576" s="216">
        <v>1419.76</v>
      </c>
      <c r="H576" s="278"/>
      <c r="I576" s="245"/>
      <c r="J576" s="192"/>
      <c r="K576" s="193"/>
      <c r="L576" s="278"/>
      <c r="M576" s="245"/>
      <c r="N576" s="192"/>
      <c r="O576" s="193"/>
      <c r="P576" s="285">
        <v>6.31</v>
      </c>
      <c r="Q576" s="240">
        <f t="shared" si="315"/>
        <v>2</v>
      </c>
      <c r="R576" s="192">
        <f t="shared" si="316"/>
        <v>3565</v>
      </c>
      <c r="S576" s="193">
        <f t="shared" si="317"/>
        <v>7131</v>
      </c>
      <c r="T576" s="371"/>
      <c r="U576" s="296"/>
      <c r="V576" s="199"/>
      <c r="W576" s="371">
        <f>D576</f>
        <v>2</v>
      </c>
      <c r="X576" s="296">
        <v>6310</v>
      </c>
      <c r="Y576" s="199">
        <f>W576*X576</f>
        <v>12620</v>
      </c>
      <c r="Z576" s="185"/>
      <c r="AA576" s="186"/>
      <c r="AB576" s="187">
        <f t="shared" si="318"/>
        <v>0</v>
      </c>
      <c r="AC576" s="210"/>
      <c r="AD576" s="302">
        <f>R576-X576</f>
        <v>-2745</v>
      </c>
      <c r="AE576" s="202">
        <f>S576-V576-Y576</f>
        <v>-5489</v>
      </c>
    </row>
    <row r="577" spans="1:31" s="142" customFormat="1" ht="21" hidden="1" customHeight="1" outlineLevel="2" x14ac:dyDescent="0.3">
      <c r="A577" s="141"/>
      <c r="B577" s="341" t="s">
        <v>1162</v>
      </c>
      <c r="C577" s="184" t="s">
        <v>40</v>
      </c>
      <c r="D577" s="260">
        <v>108</v>
      </c>
      <c r="E577" s="188"/>
      <c r="F577" s="192">
        <f t="shared" si="314"/>
        <v>957</v>
      </c>
      <c r="G577" s="216">
        <v>103358.16</v>
      </c>
      <c r="H577" s="278"/>
      <c r="I577" s="245"/>
      <c r="J577" s="192"/>
      <c r="K577" s="193"/>
      <c r="L577" s="278"/>
      <c r="M577" s="245"/>
      <c r="N577" s="192"/>
      <c r="O577" s="193"/>
      <c r="P577" s="285">
        <v>6.31</v>
      </c>
      <c r="Q577" s="240">
        <f t="shared" si="315"/>
        <v>108</v>
      </c>
      <c r="R577" s="192">
        <f t="shared" si="316"/>
        <v>4806</v>
      </c>
      <c r="S577" s="193">
        <f t="shared" si="317"/>
        <v>519002</v>
      </c>
      <c r="T577" s="371"/>
      <c r="U577" s="296"/>
      <c r="V577" s="199"/>
      <c r="W577" s="371">
        <f t="shared" ref="W577:W578" si="324">D577</f>
        <v>108</v>
      </c>
      <c r="X577" s="296">
        <v>8598</v>
      </c>
      <c r="Y577" s="199">
        <f t="shared" ref="Y577:Y584" si="325">W577*X577</f>
        <v>928584</v>
      </c>
      <c r="Z577" s="185"/>
      <c r="AA577" s="186"/>
      <c r="AB577" s="187">
        <f t="shared" si="318"/>
        <v>0</v>
      </c>
      <c r="AC577" s="210"/>
      <c r="AD577" s="302">
        <f>R577-X577</f>
        <v>-3792</v>
      </c>
      <c r="AE577" s="202">
        <f>S577-V577-Y577</f>
        <v>-409582</v>
      </c>
    </row>
    <row r="578" spans="1:31" s="142" customFormat="1" ht="33.75" hidden="1" customHeight="1" outlineLevel="2" x14ac:dyDescent="0.3">
      <c r="A578" s="141"/>
      <c r="B578" s="341" t="s">
        <v>1163</v>
      </c>
      <c r="C578" s="184" t="s">
        <v>40</v>
      </c>
      <c r="D578" s="260">
        <v>112</v>
      </c>
      <c r="E578" s="188"/>
      <c r="F578" s="192">
        <f>ROUND(G578/D578,0)</f>
        <v>205</v>
      </c>
      <c r="G578" s="216">
        <v>22935.360000000001</v>
      </c>
      <c r="H578" s="278"/>
      <c r="I578" s="245"/>
      <c r="J578" s="192"/>
      <c r="K578" s="193"/>
      <c r="L578" s="278"/>
      <c r="M578" s="245"/>
      <c r="N578" s="192"/>
      <c r="O578" s="193"/>
      <c r="P578" s="285">
        <v>6.31</v>
      </c>
      <c r="Q578" s="240">
        <f>D578-I578-M578</f>
        <v>112</v>
      </c>
      <c r="R578" s="192">
        <f>ROUND(F578*P578*0.7958,0)</f>
        <v>1029</v>
      </c>
      <c r="S578" s="193">
        <f>ROUND(Q578*P578*F578*0.7958,0)</f>
        <v>115294</v>
      </c>
      <c r="T578" s="371"/>
      <c r="U578" s="296"/>
      <c r="V578" s="199"/>
      <c r="W578" s="371">
        <f t="shared" si="324"/>
        <v>112</v>
      </c>
      <c r="X578" s="296">
        <v>2560</v>
      </c>
      <c r="Y578" s="199">
        <f t="shared" si="325"/>
        <v>286720</v>
      </c>
      <c r="Z578" s="185"/>
      <c r="AA578" s="186"/>
      <c r="AB578" s="187">
        <f>ROUND(Z578*AA578,0)</f>
        <v>0</v>
      </c>
      <c r="AC578" s="210"/>
      <c r="AD578" s="302">
        <f>R578-X578</f>
        <v>-1531</v>
      </c>
      <c r="AE578" s="202">
        <f>S578-V578-Y578</f>
        <v>-171426</v>
      </c>
    </row>
    <row r="579" spans="1:31" s="142" customFormat="1" ht="33.75" hidden="1" customHeight="1" outlineLevel="2" x14ac:dyDescent="0.3">
      <c r="A579" s="141"/>
      <c r="B579" s="341" t="s">
        <v>1164</v>
      </c>
      <c r="C579" s="184" t="s">
        <v>40</v>
      </c>
      <c r="D579" s="260">
        <v>1</v>
      </c>
      <c r="E579" s="1188" t="s">
        <v>1165</v>
      </c>
      <c r="F579" s="1120">
        <f>ROUND(G579/0.214,0)</f>
        <v>15364</v>
      </c>
      <c r="G579" s="1151">
        <v>3287.82</v>
      </c>
      <c r="H579" s="1101"/>
      <c r="I579" s="1123"/>
      <c r="J579" s="1101"/>
      <c r="K579" s="1008"/>
      <c r="L579" s="1101"/>
      <c r="M579" s="1123"/>
      <c r="N579" s="1101"/>
      <c r="O579" s="1008"/>
      <c r="P579" s="1101">
        <v>6.31</v>
      </c>
      <c r="Q579" s="1123">
        <f>0.214-I579-M579</f>
        <v>0.214</v>
      </c>
      <c r="R579" s="1101">
        <f>ROUND(F579*P579*0.7958,0)</f>
        <v>77150</v>
      </c>
      <c r="S579" s="1008">
        <f>ROUND(Q579*P579*F579*0.7958,0)</f>
        <v>16510</v>
      </c>
      <c r="T579" s="233"/>
      <c r="U579" s="297"/>
      <c r="V579" s="199"/>
      <c r="W579" s="371">
        <f>D579</f>
        <v>1</v>
      </c>
      <c r="X579" s="296">
        <v>34504</v>
      </c>
      <c r="Y579" s="199">
        <f>W579*X579</f>
        <v>34504</v>
      </c>
      <c r="Z579" s="185"/>
      <c r="AA579" s="186"/>
      <c r="AB579" s="187">
        <f>ROUND(Z579*AA579,0)</f>
        <v>0</v>
      </c>
      <c r="AC579" s="210"/>
      <c r="AD579" s="1045"/>
      <c r="AE579" s="1039">
        <f>S579-Y579-Y580</f>
        <v>-28379</v>
      </c>
    </row>
    <row r="580" spans="1:31" s="142" customFormat="1" ht="33.75" hidden="1" customHeight="1" outlineLevel="2" x14ac:dyDescent="0.3">
      <c r="A580" s="141"/>
      <c r="B580" s="341" t="s">
        <v>1166</v>
      </c>
      <c r="C580" s="184" t="s">
        <v>40</v>
      </c>
      <c r="D580" s="260">
        <v>1</v>
      </c>
      <c r="E580" s="1190"/>
      <c r="F580" s="1122"/>
      <c r="G580" s="1152"/>
      <c r="H580" s="1103"/>
      <c r="I580" s="1125"/>
      <c r="J580" s="1103"/>
      <c r="K580" s="1009"/>
      <c r="L580" s="1103"/>
      <c r="M580" s="1125"/>
      <c r="N580" s="1103"/>
      <c r="O580" s="1009"/>
      <c r="P580" s="1103"/>
      <c r="Q580" s="1125"/>
      <c r="R580" s="1103"/>
      <c r="S580" s="1009"/>
      <c r="T580" s="233"/>
      <c r="U580" s="297"/>
      <c r="V580" s="199"/>
      <c r="W580" s="371">
        <f>D580</f>
        <v>1</v>
      </c>
      <c r="X580" s="296">
        <v>10385</v>
      </c>
      <c r="Y580" s="199">
        <f t="shared" si="325"/>
        <v>10385</v>
      </c>
      <c r="Z580" s="185"/>
      <c r="AA580" s="186"/>
      <c r="AB580" s="187"/>
      <c r="AC580" s="210"/>
      <c r="AD580" s="1046"/>
      <c r="AE580" s="1047"/>
    </row>
    <row r="581" spans="1:31" s="142" customFormat="1" ht="33.75" hidden="1" customHeight="1" outlineLevel="2" x14ac:dyDescent="0.3">
      <c r="A581" s="141"/>
      <c r="B581" s="341" t="s">
        <v>1167</v>
      </c>
      <c r="C581" s="184" t="s">
        <v>40</v>
      </c>
      <c r="D581" s="260">
        <v>4</v>
      </c>
      <c r="E581" s="188" t="s">
        <v>1168</v>
      </c>
      <c r="F581" s="192">
        <f>ROUND(G581/0.32,0)</f>
        <v>8866</v>
      </c>
      <c r="G581" s="216">
        <v>2837.12</v>
      </c>
      <c r="H581" s="278"/>
      <c r="I581" s="245"/>
      <c r="J581" s="192"/>
      <c r="K581" s="193"/>
      <c r="L581" s="278"/>
      <c r="M581" s="245"/>
      <c r="N581" s="192"/>
      <c r="O581" s="193"/>
      <c r="P581" s="285">
        <v>6.31</v>
      </c>
      <c r="Q581" s="240">
        <v>0.32</v>
      </c>
      <c r="R581" s="192">
        <f>ROUND(F581*P581*0.7958,0)</f>
        <v>44521</v>
      </c>
      <c r="S581" s="193">
        <f>ROUND(Q581*P581*F581*0.7958,0)</f>
        <v>14247</v>
      </c>
      <c r="T581" s="371"/>
      <c r="U581" s="297"/>
      <c r="V581" s="199"/>
      <c r="W581" s="371">
        <v>4</v>
      </c>
      <c r="X581" s="296">
        <v>34072</v>
      </c>
      <c r="Y581" s="199">
        <f t="shared" si="325"/>
        <v>136288</v>
      </c>
      <c r="Z581" s="185"/>
      <c r="AA581" s="186"/>
      <c r="AB581" s="187">
        <f>ROUND(Z581*AA581,0)</f>
        <v>0</v>
      </c>
      <c r="AC581" s="210"/>
      <c r="AD581" s="374"/>
      <c r="AE581" s="202">
        <f>S581-Y581</f>
        <v>-122041</v>
      </c>
    </row>
    <row r="582" spans="1:31" s="142" customFormat="1" ht="24.75" hidden="1" customHeight="1" outlineLevel="2" x14ac:dyDescent="0.3">
      <c r="B582" s="341" t="s">
        <v>574</v>
      </c>
      <c r="C582" s="184" t="s">
        <v>17</v>
      </c>
      <c r="D582" s="260">
        <v>69.77300000000001</v>
      </c>
      <c r="E582" s="188"/>
      <c r="F582" s="192">
        <f t="shared" si="314"/>
        <v>66</v>
      </c>
      <c r="G582" s="216">
        <v>4602.01</v>
      </c>
      <c r="H582" s="278"/>
      <c r="I582" s="245"/>
      <c r="J582" s="192"/>
      <c r="K582" s="193"/>
      <c r="L582" s="278"/>
      <c r="M582" s="245"/>
      <c r="N582" s="192"/>
      <c r="O582" s="193"/>
      <c r="P582" s="285">
        <v>6.31</v>
      </c>
      <c r="Q582" s="240">
        <f>D582-I582-M582</f>
        <v>69.77300000000001</v>
      </c>
      <c r="R582" s="192">
        <f t="shared" si="316"/>
        <v>331</v>
      </c>
      <c r="S582" s="193">
        <f t="shared" si="317"/>
        <v>23124</v>
      </c>
      <c r="T582" s="371"/>
      <c r="U582" s="297"/>
      <c r="V582" s="199"/>
      <c r="W582" s="371">
        <f>D582</f>
        <v>69.77300000000001</v>
      </c>
      <c r="X582" s="296">
        <v>331</v>
      </c>
      <c r="Y582" s="199">
        <f t="shared" si="325"/>
        <v>23094.863000000005</v>
      </c>
      <c r="Z582" s="185"/>
      <c r="AA582" s="186"/>
      <c r="AB582" s="187">
        <f t="shared" si="318"/>
        <v>0</v>
      </c>
      <c r="AC582" s="210"/>
      <c r="AD582" s="364">
        <f t="shared" ref="AD582" si="326">R582-X582</f>
        <v>0</v>
      </c>
      <c r="AE582" s="305">
        <v>0</v>
      </c>
    </row>
    <row r="583" spans="1:31" ht="24.75" hidden="1" customHeight="1" outlineLevel="2" x14ac:dyDescent="0.3">
      <c r="A583" s="141"/>
      <c r="B583" s="334" t="s">
        <v>1169</v>
      </c>
      <c r="C583" s="126" t="s">
        <v>28</v>
      </c>
      <c r="D583" s="259">
        <v>0.98199999999999998</v>
      </c>
      <c r="E583" s="64"/>
      <c r="F583" s="265">
        <f t="shared" si="314"/>
        <v>28931</v>
      </c>
      <c r="G583" s="216">
        <v>28409.870000000003</v>
      </c>
      <c r="H583" s="274">
        <v>6.11</v>
      </c>
      <c r="I583" s="238">
        <v>5.3999999999999999E-2</v>
      </c>
      <c r="J583" s="265">
        <f t="shared" si="319"/>
        <v>140672</v>
      </c>
      <c r="K583" s="193">
        <f t="shared" si="320"/>
        <v>7596</v>
      </c>
      <c r="L583" s="274">
        <v>6.31</v>
      </c>
      <c r="M583" s="238">
        <v>0.219</v>
      </c>
      <c r="N583" s="265">
        <f t="shared" si="321"/>
        <v>145277</v>
      </c>
      <c r="O583" s="193">
        <f t="shared" si="322"/>
        <v>31816</v>
      </c>
      <c r="P583" s="272">
        <v>6.31</v>
      </c>
      <c r="Q583" s="236">
        <f t="shared" si="315"/>
        <v>0.70899999999999996</v>
      </c>
      <c r="R583" s="265">
        <f t="shared" si="316"/>
        <v>145277</v>
      </c>
      <c r="S583" s="193">
        <f t="shared" si="317"/>
        <v>103001</v>
      </c>
      <c r="T583" s="232">
        <f>I583+M583</f>
        <v>0.27300000000000002</v>
      </c>
      <c r="U583" s="296">
        <v>153735</v>
      </c>
      <c r="V583" s="199">
        <f>T583*U583</f>
        <v>41969.655000000006</v>
      </c>
      <c r="W583" s="232">
        <f>Q583</f>
        <v>0.70899999999999996</v>
      </c>
      <c r="X583" s="296">
        <v>153735</v>
      </c>
      <c r="Y583" s="199">
        <f t="shared" si="325"/>
        <v>108998.11499999999</v>
      </c>
      <c r="Z583" s="153"/>
      <c r="AA583" s="147"/>
      <c r="AB583" s="101">
        <f t="shared" si="318"/>
        <v>0</v>
      </c>
      <c r="AC583" s="226"/>
      <c r="AD583" s="364">
        <f>R583-X583</f>
        <v>-8458</v>
      </c>
      <c r="AE583" s="305">
        <f>K583+O583+S583-V583-Y583</f>
        <v>-8554.7699999999895</v>
      </c>
    </row>
    <row r="584" spans="1:31" s="142" customFormat="1" ht="32.25" hidden="1" customHeight="1" outlineLevel="2" x14ac:dyDescent="0.3">
      <c r="A584" s="141"/>
      <c r="B584" s="341" t="s">
        <v>988</v>
      </c>
      <c r="C584" s="184" t="s">
        <v>28</v>
      </c>
      <c r="D584" s="260">
        <v>0.13</v>
      </c>
      <c r="E584" s="188"/>
      <c r="F584" s="192">
        <f t="shared" si="314"/>
        <v>6283</v>
      </c>
      <c r="G584" s="216">
        <v>816.82</v>
      </c>
      <c r="H584" s="278"/>
      <c r="I584" s="245"/>
      <c r="J584" s="192"/>
      <c r="K584" s="193"/>
      <c r="L584" s="278"/>
      <c r="M584" s="245"/>
      <c r="N584" s="192"/>
      <c r="O584" s="193"/>
      <c r="P584" s="285">
        <v>6.31</v>
      </c>
      <c r="Q584" s="240">
        <f t="shared" si="315"/>
        <v>0.13</v>
      </c>
      <c r="R584" s="192">
        <f t="shared" si="316"/>
        <v>31550</v>
      </c>
      <c r="S584" s="193">
        <f t="shared" si="317"/>
        <v>4102</v>
      </c>
      <c r="T584" s="371"/>
      <c r="U584" s="297"/>
      <c r="V584" s="199"/>
      <c r="W584" s="371">
        <f>Q584</f>
        <v>0.13</v>
      </c>
      <c r="X584" s="161">
        <v>37000</v>
      </c>
      <c r="Y584" s="199">
        <f t="shared" si="325"/>
        <v>4810</v>
      </c>
      <c r="Z584" s="185"/>
      <c r="AA584" s="186"/>
      <c r="AB584" s="187">
        <f t="shared" si="318"/>
        <v>0</v>
      </c>
      <c r="AC584" s="210"/>
      <c r="AD584" s="364">
        <f>R584-X584</f>
        <v>-5450</v>
      </c>
      <c r="AE584" s="305">
        <f>S584-Y584</f>
        <v>-708</v>
      </c>
    </row>
    <row r="585" spans="1:31" s="142" customFormat="1" ht="34.5" hidden="1" customHeight="1" outlineLevel="2" x14ac:dyDescent="0.3">
      <c r="A585" s="141"/>
      <c r="B585" s="341" t="s">
        <v>1018</v>
      </c>
      <c r="C585" s="184" t="s">
        <v>1020</v>
      </c>
      <c r="D585" s="260" t="s">
        <v>1019</v>
      </c>
      <c r="E585" s="188" t="s">
        <v>1021</v>
      </c>
      <c r="F585" s="192">
        <f>ROUND(G585/118,0)</f>
        <v>25</v>
      </c>
      <c r="G585" s="216">
        <v>2913.42</v>
      </c>
      <c r="H585" s="278"/>
      <c r="I585" s="245"/>
      <c r="J585" s="192"/>
      <c r="K585" s="193"/>
      <c r="L585" s="278"/>
      <c r="M585" s="245"/>
      <c r="N585" s="192"/>
      <c r="O585" s="193"/>
      <c r="P585" s="285">
        <v>6.31</v>
      </c>
      <c r="Q585" s="240">
        <f>118-I585-M585</f>
        <v>118</v>
      </c>
      <c r="R585" s="192">
        <f t="shared" si="316"/>
        <v>126</v>
      </c>
      <c r="S585" s="193">
        <f>ROUND(Q585*P585*F585*0.7958,0)</f>
        <v>14813</v>
      </c>
      <c r="T585" s="371"/>
      <c r="U585" s="297"/>
      <c r="V585" s="199"/>
      <c r="W585" s="371">
        <v>4.5</v>
      </c>
      <c r="X585" s="296">
        <v>295</v>
      </c>
      <c r="Y585" s="199">
        <f>W585*X585</f>
        <v>1327.5</v>
      </c>
      <c r="Z585" s="185"/>
      <c r="AA585" s="186"/>
      <c r="AB585" s="187">
        <f t="shared" si="318"/>
        <v>0</v>
      </c>
      <c r="AC585" s="210"/>
      <c r="AD585" s="364"/>
      <c r="AE585" s="305">
        <f>S585-Y5839</f>
        <v>14813</v>
      </c>
    </row>
    <row r="586" spans="1:31" ht="26.25" hidden="1" customHeight="1" outlineLevel="2" x14ac:dyDescent="0.3">
      <c r="A586" s="141"/>
      <c r="B586" s="334" t="s">
        <v>997</v>
      </c>
      <c r="C586" s="126" t="s">
        <v>28</v>
      </c>
      <c r="D586" s="259">
        <f>0.245+0.164</f>
        <v>0.40900000000000003</v>
      </c>
      <c r="E586" s="1132" t="s">
        <v>996</v>
      </c>
      <c r="F586" s="1026">
        <f>ROUND(G586/1.795,0)</f>
        <v>8150</v>
      </c>
      <c r="G586" s="1151">
        <v>14629.36</v>
      </c>
      <c r="H586" s="1026"/>
      <c r="I586" s="1135"/>
      <c r="J586" s="1026"/>
      <c r="K586" s="1008"/>
      <c r="L586" s="1075">
        <v>6.31</v>
      </c>
      <c r="M586" s="1111">
        <v>1.59</v>
      </c>
      <c r="N586" s="1026">
        <f>ROUND(F586*L586*0.7958,0)</f>
        <v>40925</v>
      </c>
      <c r="O586" s="1008">
        <v>64</v>
      </c>
      <c r="P586" s="1078">
        <v>6.31</v>
      </c>
      <c r="Q586" s="1126">
        <f>1.795-1.59</f>
        <v>0.20499999999999985</v>
      </c>
      <c r="R586" s="1026">
        <f>ROUND(F586*P586*0.7958,0)</f>
        <v>40925</v>
      </c>
      <c r="S586" s="1008">
        <f>ROUND(Q586*P586*F586*0.7958,0)</f>
        <v>8390</v>
      </c>
      <c r="T586" s="232">
        <f t="shared" si="308"/>
        <v>0.40900000000000003</v>
      </c>
      <c r="U586" s="289">
        <v>129390</v>
      </c>
      <c r="V586" s="199">
        <f t="shared" si="309"/>
        <v>52920.51</v>
      </c>
      <c r="W586" s="232"/>
      <c r="X586" s="289"/>
      <c r="Y586" s="199"/>
      <c r="Z586" s="153"/>
      <c r="AA586" s="147"/>
      <c r="AB586" s="101"/>
      <c r="AC586" s="226"/>
      <c r="AD586" s="1048"/>
      <c r="AE586" s="1039">
        <f>O586+S586-V586-V587-V588</f>
        <v>-223801.05</v>
      </c>
    </row>
    <row r="587" spans="1:31" ht="33.75" hidden="1" customHeight="1" outlineLevel="2" x14ac:dyDescent="0.3">
      <c r="A587" s="141"/>
      <c r="B587" s="334" t="s">
        <v>998</v>
      </c>
      <c r="C587" s="126" t="s">
        <v>28</v>
      </c>
      <c r="D587" s="259">
        <f>0.34+0.021+0.024</f>
        <v>0.38500000000000006</v>
      </c>
      <c r="E587" s="1133"/>
      <c r="F587" s="1100"/>
      <c r="G587" s="1186"/>
      <c r="H587" s="1100"/>
      <c r="I587" s="1136"/>
      <c r="J587" s="1100"/>
      <c r="K587" s="1077"/>
      <c r="L587" s="1081"/>
      <c r="M587" s="1112"/>
      <c r="N587" s="1100"/>
      <c r="O587" s="1077"/>
      <c r="P587" s="1079"/>
      <c r="Q587" s="1127"/>
      <c r="R587" s="1100"/>
      <c r="S587" s="1077"/>
      <c r="T587" s="232">
        <f t="shared" si="308"/>
        <v>0.38500000000000006</v>
      </c>
      <c r="U587" s="289">
        <v>129390</v>
      </c>
      <c r="V587" s="199">
        <f t="shared" si="309"/>
        <v>49815.150000000009</v>
      </c>
      <c r="W587" s="232"/>
      <c r="X587" s="289"/>
      <c r="Y587" s="199"/>
      <c r="Z587" s="153"/>
      <c r="AA587" s="147"/>
      <c r="AB587" s="101"/>
      <c r="AC587" s="226"/>
      <c r="AD587" s="1049"/>
      <c r="AE587" s="1040"/>
    </row>
    <row r="588" spans="1:31" ht="26.25" hidden="1" customHeight="1" outlineLevel="2" x14ac:dyDescent="0.3">
      <c r="A588" s="141"/>
      <c r="B588" s="334" t="s">
        <v>999</v>
      </c>
      <c r="C588" s="126" t="s">
        <v>28</v>
      </c>
      <c r="D588" s="259">
        <v>1.0009999999999999</v>
      </c>
      <c r="E588" s="1134"/>
      <c r="F588" s="1027"/>
      <c r="G588" s="1152"/>
      <c r="H588" s="1027"/>
      <c r="I588" s="1137"/>
      <c r="J588" s="1027">
        <f>ROUND(F586*H588*0.7958,0)</f>
        <v>0</v>
      </c>
      <c r="K588" s="1009"/>
      <c r="L588" s="1076"/>
      <c r="M588" s="1113"/>
      <c r="N588" s="1027"/>
      <c r="O588" s="1009">
        <f>ROUND(M586*L586*F586*0.7958,0)</f>
        <v>65071</v>
      </c>
      <c r="P588" s="1080"/>
      <c r="Q588" s="1128"/>
      <c r="R588" s="1027"/>
      <c r="S588" s="1009"/>
      <c r="T588" s="232">
        <f t="shared" si="308"/>
        <v>1.0009999999999999</v>
      </c>
      <c r="U588" s="289">
        <v>129390</v>
      </c>
      <c r="V588" s="199">
        <f t="shared" si="309"/>
        <v>129519.38999999998</v>
      </c>
      <c r="W588" s="232"/>
      <c r="X588" s="289"/>
      <c r="Y588" s="199"/>
      <c r="Z588" s="153"/>
      <c r="AA588" s="147"/>
      <c r="AB588" s="101">
        <f t="shared" si="318"/>
        <v>0</v>
      </c>
      <c r="AC588" s="226"/>
      <c r="AD588" s="1050"/>
      <c r="AE588" s="1041"/>
    </row>
    <row r="589" spans="1:31" s="142" customFormat="1" ht="38.25" hidden="1" customHeight="1" outlineLevel="2" x14ac:dyDescent="0.3">
      <c r="A589" s="141"/>
      <c r="B589" s="341" t="s">
        <v>1170</v>
      </c>
      <c r="C589" s="184" t="s">
        <v>5</v>
      </c>
      <c r="D589" s="260">
        <v>450</v>
      </c>
      <c r="E589" s="188"/>
      <c r="F589" s="192">
        <f t="shared" si="314"/>
        <v>333</v>
      </c>
      <c r="G589" s="216">
        <v>149899.5</v>
      </c>
      <c r="H589" s="278"/>
      <c r="I589" s="245"/>
      <c r="J589" s="192"/>
      <c r="K589" s="193"/>
      <c r="L589" s="278"/>
      <c r="M589" s="245"/>
      <c r="N589" s="192"/>
      <c r="O589" s="193"/>
      <c r="P589" s="285">
        <v>6.31</v>
      </c>
      <c r="Q589" s="240">
        <f t="shared" si="315"/>
        <v>450</v>
      </c>
      <c r="R589" s="192">
        <f t="shared" si="316"/>
        <v>1672</v>
      </c>
      <c r="S589" s="193">
        <f t="shared" si="317"/>
        <v>752471</v>
      </c>
      <c r="T589" s="371"/>
      <c r="U589" s="297"/>
      <c r="V589" s="199"/>
      <c r="W589" s="371">
        <f>Q589</f>
        <v>450</v>
      </c>
      <c r="X589" s="296">
        <v>1700</v>
      </c>
      <c r="Y589" s="199">
        <f t="shared" ref="Y589:Y590" si="327">W589*X589</f>
        <v>765000</v>
      </c>
      <c r="Z589" s="185"/>
      <c r="AA589" s="186"/>
      <c r="AB589" s="187">
        <f t="shared" si="318"/>
        <v>0</v>
      </c>
      <c r="AC589" s="210"/>
      <c r="AD589" s="374">
        <f>R589-X589</f>
        <v>-28</v>
      </c>
      <c r="AE589" s="202">
        <f>S589-Y589</f>
        <v>-12529</v>
      </c>
    </row>
    <row r="590" spans="1:31" s="142" customFormat="1" ht="38.25" hidden="1" customHeight="1" outlineLevel="2" x14ac:dyDescent="0.3">
      <c r="A590" s="141"/>
      <c r="B590" s="341" t="s">
        <v>575</v>
      </c>
      <c r="C590" s="184" t="s">
        <v>40</v>
      </c>
      <c r="D590" s="260">
        <v>4</v>
      </c>
      <c r="E590" s="188"/>
      <c r="F590" s="192">
        <f t="shared" si="314"/>
        <v>15820</v>
      </c>
      <c r="G590" s="216">
        <v>63280.160000000003</v>
      </c>
      <c r="H590" s="278"/>
      <c r="I590" s="245"/>
      <c r="J590" s="192"/>
      <c r="K590" s="193"/>
      <c r="L590" s="278"/>
      <c r="M590" s="245"/>
      <c r="N590" s="192"/>
      <c r="O590" s="193"/>
      <c r="P590" s="285">
        <v>6.31</v>
      </c>
      <c r="Q590" s="240">
        <f t="shared" si="315"/>
        <v>4</v>
      </c>
      <c r="R590" s="192">
        <f t="shared" si="316"/>
        <v>79440</v>
      </c>
      <c r="S590" s="193">
        <f t="shared" si="317"/>
        <v>317760</v>
      </c>
      <c r="T590" s="371"/>
      <c r="U590" s="297"/>
      <c r="V590" s="199"/>
      <c r="W590" s="371">
        <f>Q590</f>
        <v>4</v>
      </c>
      <c r="X590" s="289">
        <v>122136</v>
      </c>
      <c r="Y590" s="199">
        <f t="shared" si="327"/>
        <v>488544</v>
      </c>
      <c r="Z590" s="185"/>
      <c r="AA590" s="186"/>
      <c r="AB590" s="187">
        <f t="shared" si="318"/>
        <v>0</v>
      </c>
      <c r="AC590" s="210"/>
      <c r="AD590" s="374">
        <f>R590-X590</f>
        <v>-42696</v>
      </c>
      <c r="AE590" s="202">
        <f>S590-Y590</f>
        <v>-170784</v>
      </c>
    </row>
    <row r="591" spans="1:31" ht="38.25" hidden="1" customHeight="1" outlineLevel="2" x14ac:dyDescent="0.3">
      <c r="A591" s="141"/>
      <c r="B591" s="334" t="s">
        <v>576</v>
      </c>
      <c r="C591" s="126" t="s">
        <v>40</v>
      </c>
      <c r="D591" s="259">
        <v>6</v>
      </c>
      <c r="E591" s="64"/>
      <c r="F591" s="265">
        <f t="shared" si="314"/>
        <v>19512</v>
      </c>
      <c r="G591" s="216">
        <v>117072.54</v>
      </c>
      <c r="H591" s="274"/>
      <c r="I591" s="238"/>
      <c r="J591" s="265"/>
      <c r="K591" s="193"/>
      <c r="L591" s="274">
        <v>6.31</v>
      </c>
      <c r="M591" s="238">
        <v>6</v>
      </c>
      <c r="N591" s="265">
        <f t="shared" si="321"/>
        <v>97979</v>
      </c>
      <c r="O591" s="193">
        <f t="shared" si="322"/>
        <v>587877</v>
      </c>
      <c r="P591" s="272"/>
      <c r="Q591" s="236"/>
      <c r="R591" s="265"/>
      <c r="S591" s="193"/>
      <c r="T591" s="232">
        <f t="shared" si="308"/>
        <v>6</v>
      </c>
      <c r="U591" s="296">
        <v>114750.8</v>
      </c>
      <c r="V591" s="199">
        <f t="shared" si="309"/>
        <v>688504.8</v>
      </c>
      <c r="W591" s="232"/>
      <c r="X591" s="289"/>
      <c r="Y591" s="199"/>
      <c r="Z591" s="153"/>
      <c r="AA591" s="147"/>
      <c r="AB591" s="101">
        <f t="shared" si="318"/>
        <v>0</v>
      </c>
      <c r="AC591" s="226"/>
      <c r="AD591" s="304">
        <f>N591-U591</f>
        <v>-16771.800000000003</v>
      </c>
      <c r="AE591" s="305">
        <f>O591-V591</f>
        <v>-100627.80000000005</v>
      </c>
    </row>
    <row r="592" spans="1:31" s="142" customFormat="1" ht="24" hidden="1" customHeight="1" outlineLevel="2" x14ac:dyDescent="0.3">
      <c r="B592" s="341" t="s">
        <v>577</v>
      </c>
      <c r="C592" s="184" t="s">
        <v>28</v>
      </c>
      <c r="D592" s="260">
        <v>0.32</v>
      </c>
      <c r="E592" s="188"/>
      <c r="F592" s="192">
        <f>ROUND(G592/D592,0)</f>
        <v>8866</v>
      </c>
      <c r="G592" s="216">
        <v>2837.12</v>
      </c>
      <c r="H592" s="278"/>
      <c r="I592" s="245"/>
      <c r="J592" s="192"/>
      <c r="K592" s="193"/>
      <c r="L592" s="278"/>
      <c r="M592" s="245"/>
      <c r="N592" s="192"/>
      <c r="O592" s="193"/>
      <c r="P592" s="285">
        <v>6.31</v>
      </c>
      <c r="Q592" s="240">
        <f>D592-I592-M592</f>
        <v>0.32</v>
      </c>
      <c r="R592" s="192">
        <f>ROUND(F592*P592*0.7958,0)</f>
        <v>44521</v>
      </c>
      <c r="S592" s="193">
        <f>ROUND(Q592*P592*F592*0.7958,0)</f>
        <v>14247</v>
      </c>
      <c r="T592" s="371"/>
      <c r="U592" s="297"/>
      <c r="V592" s="199"/>
      <c r="W592" s="371">
        <f>Q592</f>
        <v>0.32</v>
      </c>
      <c r="X592" s="296">
        <v>40000</v>
      </c>
      <c r="Y592" s="199">
        <f t="shared" ref="Y592" si="328">W592*X592</f>
        <v>12800</v>
      </c>
      <c r="Z592" s="185"/>
      <c r="AA592" s="186"/>
      <c r="AB592" s="187">
        <f>ROUND(Z592*AA592,0)</f>
        <v>0</v>
      </c>
      <c r="AC592" s="210"/>
      <c r="AD592" s="364">
        <f>R592-X592</f>
        <v>4521</v>
      </c>
      <c r="AE592" s="305">
        <f>S592-Y592</f>
        <v>1447</v>
      </c>
    </row>
    <row r="593" spans="1:31" s="142" customFormat="1" ht="32.25" hidden="1" customHeight="1" outlineLevel="2" x14ac:dyDescent="0.3">
      <c r="A593" s="141"/>
      <c r="B593" s="341" t="s">
        <v>1171</v>
      </c>
      <c r="C593" s="184" t="s">
        <v>40</v>
      </c>
      <c r="D593" s="260">
        <v>5</v>
      </c>
      <c r="E593" s="188"/>
      <c r="F593" s="192">
        <f t="shared" si="314"/>
        <v>144</v>
      </c>
      <c r="G593" s="216">
        <v>722</v>
      </c>
      <c r="H593" s="278"/>
      <c r="I593" s="245"/>
      <c r="J593" s="192"/>
      <c r="K593" s="193"/>
      <c r="L593" s="278"/>
      <c r="M593" s="245"/>
      <c r="N593" s="192"/>
      <c r="O593" s="193"/>
      <c r="P593" s="285">
        <v>6.31</v>
      </c>
      <c r="Q593" s="240">
        <f t="shared" si="315"/>
        <v>5</v>
      </c>
      <c r="R593" s="192">
        <f t="shared" si="316"/>
        <v>723</v>
      </c>
      <c r="S593" s="193">
        <f t="shared" si="317"/>
        <v>3615</v>
      </c>
      <c r="T593" s="371"/>
      <c r="U593" s="297"/>
      <c r="V593" s="199"/>
      <c r="W593" s="371">
        <f>Q593</f>
        <v>5</v>
      </c>
      <c r="X593" s="296">
        <v>2600</v>
      </c>
      <c r="Y593" s="199">
        <f>W593*X593</f>
        <v>13000</v>
      </c>
      <c r="Z593" s="185"/>
      <c r="AA593" s="186"/>
      <c r="AB593" s="187">
        <f t="shared" si="318"/>
        <v>0</v>
      </c>
      <c r="AC593" s="210"/>
      <c r="AD593" s="374">
        <f t="shared" ref="AD593:AD595" si="329">R593-X593</f>
        <v>-1877</v>
      </c>
      <c r="AE593" s="202">
        <f t="shared" ref="AE593:AE595" si="330">S593-Y593</f>
        <v>-9385</v>
      </c>
    </row>
    <row r="594" spans="1:31" s="142" customFormat="1" ht="32.25" hidden="1" customHeight="1" outlineLevel="2" x14ac:dyDescent="0.3">
      <c r="A594" s="141"/>
      <c r="B594" s="341" t="s">
        <v>1172</v>
      </c>
      <c r="C594" s="184" t="s">
        <v>40</v>
      </c>
      <c r="D594" s="260">
        <v>7</v>
      </c>
      <c r="E594" s="188"/>
      <c r="F594" s="192">
        <f t="shared" si="314"/>
        <v>165</v>
      </c>
      <c r="G594" s="216">
        <v>1153.04</v>
      </c>
      <c r="H594" s="278"/>
      <c r="I594" s="245"/>
      <c r="J594" s="192"/>
      <c r="K594" s="193"/>
      <c r="L594" s="278"/>
      <c r="M594" s="245"/>
      <c r="N594" s="192"/>
      <c r="O594" s="193"/>
      <c r="P594" s="285">
        <v>6.31</v>
      </c>
      <c r="Q594" s="240">
        <f t="shared" si="315"/>
        <v>7</v>
      </c>
      <c r="R594" s="192">
        <f t="shared" si="316"/>
        <v>829</v>
      </c>
      <c r="S594" s="193">
        <f t="shared" si="317"/>
        <v>5800</v>
      </c>
      <c r="T594" s="233"/>
      <c r="U594" s="297"/>
      <c r="V594" s="199"/>
      <c r="W594" s="371">
        <f>Q594</f>
        <v>7</v>
      </c>
      <c r="X594" s="296">
        <v>2800</v>
      </c>
      <c r="Y594" s="199">
        <f>W594*X594</f>
        <v>19600</v>
      </c>
      <c r="Z594" s="185"/>
      <c r="AA594" s="186"/>
      <c r="AB594" s="187">
        <f t="shared" si="318"/>
        <v>0</v>
      </c>
      <c r="AC594" s="210"/>
      <c r="AD594" s="374">
        <f t="shared" si="329"/>
        <v>-1971</v>
      </c>
      <c r="AE594" s="202">
        <f t="shared" si="330"/>
        <v>-13800</v>
      </c>
    </row>
    <row r="595" spans="1:31" s="142" customFormat="1" ht="32.25" hidden="1" customHeight="1" outlineLevel="2" x14ac:dyDescent="0.3">
      <c r="A595" s="141"/>
      <c r="B595" s="341" t="s">
        <v>1173</v>
      </c>
      <c r="C595" s="184" t="s">
        <v>40</v>
      </c>
      <c r="D595" s="260">
        <v>1</v>
      </c>
      <c r="E595" s="189" t="s">
        <v>1174</v>
      </c>
      <c r="F595" s="192">
        <f>ROUND(G595/0.32,0)</f>
        <v>955</v>
      </c>
      <c r="G595" s="216">
        <v>305.52999999999997</v>
      </c>
      <c r="H595" s="278"/>
      <c r="I595" s="245"/>
      <c r="J595" s="192"/>
      <c r="K595" s="193"/>
      <c r="L595" s="278"/>
      <c r="M595" s="245"/>
      <c r="N595" s="192"/>
      <c r="O595" s="193"/>
      <c r="P595" s="285">
        <v>6.31</v>
      </c>
      <c r="Q595" s="240">
        <v>3.2000000000000001E-2</v>
      </c>
      <c r="R595" s="192">
        <f>ROUND(F595*P595*0.7958,0)</f>
        <v>4796</v>
      </c>
      <c r="S595" s="193">
        <f>ROUND(Q595*P595*F595*0.7958,0)</f>
        <v>153</v>
      </c>
      <c r="T595" s="233"/>
      <c r="U595" s="297"/>
      <c r="V595" s="199"/>
      <c r="W595" s="371">
        <v>1</v>
      </c>
      <c r="X595" s="296">
        <v>9700</v>
      </c>
      <c r="Y595" s="199">
        <f>W595*X595</f>
        <v>9700</v>
      </c>
      <c r="Z595" s="185"/>
      <c r="AA595" s="186"/>
      <c r="AB595" s="187">
        <f>ROUND(Z595*AA595,0)</f>
        <v>0</v>
      </c>
      <c r="AC595" s="210"/>
      <c r="AD595" s="374">
        <f t="shared" si="329"/>
        <v>-4904</v>
      </c>
      <c r="AE595" s="202">
        <f t="shared" si="330"/>
        <v>-9547</v>
      </c>
    </row>
    <row r="596" spans="1:31" s="142" customFormat="1" ht="32.25" hidden="1" customHeight="1" outlineLevel="2" x14ac:dyDescent="0.3">
      <c r="A596" s="141"/>
      <c r="B596" s="341" t="s">
        <v>1175</v>
      </c>
      <c r="C596" s="184" t="s">
        <v>40</v>
      </c>
      <c r="D596" s="260">
        <v>1</v>
      </c>
      <c r="E596" s="1188" t="s">
        <v>1176</v>
      </c>
      <c r="F596" s="1120">
        <f>ROUND(G596/55.2,0)</f>
        <v>42</v>
      </c>
      <c r="G596" s="1151">
        <v>2333.3000000000002</v>
      </c>
      <c r="H596" s="1120"/>
      <c r="I596" s="1117"/>
      <c r="J596" s="1120"/>
      <c r="K596" s="1008"/>
      <c r="L596" s="1101"/>
      <c r="M596" s="1123"/>
      <c r="N596" s="1120"/>
      <c r="O596" s="1008"/>
      <c r="P596" s="1192">
        <v>6.31</v>
      </c>
      <c r="Q596" s="1196">
        <f>D596-I598-M598</f>
        <v>1</v>
      </c>
      <c r="R596" s="1120">
        <f>ROUND(F596*P596*0.7958,0)</f>
        <v>211</v>
      </c>
      <c r="S596" s="1008">
        <f>ROUND(Q596*P596*F596*0.7958,0)</f>
        <v>211</v>
      </c>
      <c r="T596" s="233"/>
      <c r="U596" s="297"/>
      <c r="V596" s="199"/>
      <c r="W596" s="371">
        <f>D596</f>
        <v>1</v>
      </c>
      <c r="X596" s="296">
        <v>4100</v>
      </c>
      <c r="Y596" s="199">
        <f t="shared" ref="Y596:Y600" si="331">W596*X596</f>
        <v>4100</v>
      </c>
      <c r="Z596" s="185"/>
      <c r="AA596" s="186"/>
      <c r="AB596" s="187"/>
      <c r="AC596" s="210"/>
      <c r="AD596" s="1048"/>
      <c r="AE596" s="1039">
        <f>S596-Y596-Y597-Y598</f>
        <v>-50889</v>
      </c>
    </row>
    <row r="597" spans="1:31" s="142" customFormat="1" ht="32.25" hidden="1" customHeight="1" outlineLevel="2" x14ac:dyDescent="0.3">
      <c r="A597" s="141"/>
      <c r="B597" s="341" t="s">
        <v>1177</v>
      </c>
      <c r="C597" s="184" t="s">
        <v>40</v>
      </c>
      <c r="D597" s="260">
        <v>8</v>
      </c>
      <c r="E597" s="1189"/>
      <c r="F597" s="1121"/>
      <c r="G597" s="1186"/>
      <c r="H597" s="1121"/>
      <c r="I597" s="1118"/>
      <c r="J597" s="1121"/>
      <c r="K597" s="1077"/>
      <c r="L597" s="1102"/>
      <c r="M597" s="1124"/>
      <c r="N597" s="1121"/>
      <c r="O597" s="1077"/>
      <c r="P597" s="1193"/>
      <c r="Q597" s="1197"/>
      <c r="R597" s="1121"/>
      <c r="S597" s="1077"/>
      <c r="T597" s="233"/>
      <c r="U597" s="297"/>
      <c r="V597" s="199"/>
      <c r="W597" s="371">
        <f t="shared" ref="W597:W598" si="332">D597</f>
        <v>8</v>
      </c>
      <c r="X597" s="296">
        <v>4800</v>
      </c>
      <c r="Y597" s="199">
        <f t="shared" si="331"/>
        <v>38400</v>
      </c>
      <c r="Z597" s="185"/>
      <c r="AA597" s="186"/>
      <c r="AB597" s="187"/>
      <c r="AC597" s="210"/>
      <c r="AD597" s="1049"/>
      <c r="AE597" s="1051"/>
    </row>
    <row r="598" spans="1:31" s="142" customFormat="1" ht="32.25" hidden="1" customHeight="1" outlineLevel="2" x14ac:dyDescent="0.3">
      <c r="A598" s="141"/>
      <c r="B598" s="341" t="s">
        <v>1178</v>
      </c>
      <c r="C598" s="184" t="s">
        <v>40</v>
      </c>
      <c r="D598" s="260">
        <v>2</v>
      </c>
      <c r="E598" s="1190"/>
      <c r="F598" s="1122"/>
      <c r="G598" s="1152"/>
      <c r="H598" s="1122"/>
      <c r="I598" s="1119"/>
      <c r="J598" s="1122">
        <f>ROUND(F596*H598*0.7958,0)</f>
        <v>0</v>
      </c>
      <c r="K598" s="1009">
        <f>ROUND(I598*H598*F596*0.7958,0)</f>
        <v>0</v>
      </c>
      <c r="L598" s="1103"/>
      <c r="M598" s="1125"/>
      <c r="N598" s="1122">
        <f>ROUND(F596*L598*0.7958,0)</f>
        <v>0</v>
      </c>
      <c r="O598" s="1009">
        <f>ROUND(M598*L598*F596*0.7958,0)</f>
        <v>0</v>
      </c>
      <c r="P598" s="1194"/>
      <c r="Q598" s="1198"/>
      <c r="R598" s="1122"/>
      <c r="S598" s="1009"/>
      <c r="T598" s="233"/>
      <c r="U598" s="296"/>
      <c r="V598" s="199"/>
      <c r="W598" s="371">
        <f t="shared" si="332"/>
        <v>2</v>
      </c>
      <c r="X598" s="296">
        <v>4300</v>
      </c>
      <c r="Y598" s="199">
        <f t="shared" si="331"/>
        <v>8600</v>
      </c>
      <c r="Z598" s="185"/>
      <c r="AA598" s="186"/>
      <c r="AB598" s="187">
        <f>ROUND(Z598*AA598,0)</f>
        <v>0</v>
      </c>
      <c r="AC598" s="210"/>
      <c r="AD598" s="1050"/>
      <c r="AE598" s="1047"/>
    </row>
    <row r="599" spans="1:31" s="142" customFormat="1" ht="32.25" hidden="1" customHeight="1" outlineLevel="2" x14ac:dyDescent="0.3">
      <c r="A599" s="141"/>
      <c r="B599" s="341" t="s">
        <v>1179</v>
      </c>
      <c r="C599" s="184" t="s">
        <v>40</v>
      </c>
      <c r="D599" s="260">
        <v>48</v>
      </c>
      <c r="E599" s="1153" t="s">
        <v>1180</v>
      </c>
      <c r="F599" s="1120">
        <f>ROUND(G599/0.01,0)</f>
        <v>10045</v>
      </c>
      <c r="G599" s="1151">
        <v>100.45</v>
      </c>
      <c r="H599" s="1101"/>
      <c r="I599" s="1123"/>
      <c r="J599" s="1101"/>
      <c r="K599" s="1008"/>
      <c r="L599" s="1101"/>
      <c r="M599" s="1123"/>
      <c r="N599" s="1101"/>
      <c r="O599" s="1008"/>
      <c r="P599" s="1101">
        <v>6.31</v>
      </c>
      <c r="Q599" s="1123">
        <v>0.01</v>
      </c>
      <c r="R599" s="1101">
        <f>ROUND(F599*P599*0.7958,0)</f>
        <v>50441</v>
      </c>
      <c r="S599" s="1008">
        <f>ROUND(Q599*P599*F599*0.7958,0)</f>
        <v>504</v>
      </c>
      <c r="T599" s="371"/>
      <c r="U599" s="296"/>
      <c r="V599" s="199"/>
      <c r="W599" s="371">
        <v>48</v>
      </c>
      <c r="X599" s="296">
        <v>134</v>
      </c>
      <c r="Y599" s="199">
        <f t="shared" si="331"/>
        <v>6432</v>
      </c>
      <c r="Z599" s="185"/>
      <c r="AA599" s="186"/>
      <c r="AB599" s="187">
        <f t="shared" ref="AB599:AB600" si="333">ROUND(Z599*AA599,0)</f>
        <v>0</v>
      </c>
      <c r="AC599" s="210"/>
      <c r="AD599" s="1048"/>
      <c r="AE599" s="1039">
        <f>S599-Y599-Y600</f>
        <v>-12360</v>
      </c>
    </row>
    <row r="600" spans="1:31" s="142" customFormat="1" ht="32.25" hidden="1" customHeight="1" outlineLevel="2" x14ac:dyDescent="0.3">
      <c r="A600" s="141"/>
      <c r="B600" s="341" t="s">
        <v>1179</v>
      </c>
      <c r="C600" s="184" t="s">
        <v>40</v>
      </c>
      <c r="D600" s="260">
        <v>48</v>
      </c>
      <c r="E600" s="1154"/>
      <c r="F600" s="1122"/>
      <c r="G600" s="1152"/>
      <c r="H600" s="1103"/>
      <c r="I600" s="1125"/>
      <c r="J600" s="1103"/>
      <c r="K600" s="1009"/>
      <c r="L600" s="1103"/>
      <c r="M600" s="1125"/>
      <c r="N600" s="1103"/>
      <c r="O600" s="1009"/>
      <c r="P600" s="1103"/>
      <c r="Q600" s="1125"/>
      <c r="R600" s="1103"/>
      <c r="S600" s="1009"/>
      <c r="T600" s="371"/>
      <c r="U600" s="296"/>
      <c r="V600" s="199"/>
      <c r="W600" s="371">
        <v>48</v>
      </c>
      <c r="X600" s="296">
        <v>134</v>
      </c>
      <c r="Y600" s="199">
        <f t="shared" si="331"/>
        <v>6432</v>
      </c>
      <c r="Z600" s="185"/>
      <c r="AA600" s="186"/>
      <c r="AB600" s="187">
        <f t="shared" si="333"/>
        <v>0</v>
      </c>
      <c r="AC600" s="210"/>
      <c r="AD600" s="1050"/>
      <c r="AE600" s="1047"/>
    </row>
    <row r="601" spans="1:31" ht="36.75" hidden="1" customHeight="1" outlineLevel="2" x14ac:dyDescent="0.3">
      <c r="B601" s="341" t="s">
        <v>578</v>
      </c>
      <c r="C601" s="126" t="s">
        <v>5</v>
      </c>
      <c r="D601" s="259">
        <v>46.116999999999997</v>
      </c>
      <c r="E601" s="64"/>
      <c r="F601" s="265">
        <f t="shared" si="314"/>
        <v>731</v>
      </c>
      <c r="G601" s="216">
        <v>33693.99</v>
      </c>
      <c r="H601" s="274">
        <v>6.66</v>
      </c>
      <c r="I601" s="238">
        <v>44.772999999999996</v>
      </c>
      <c r="J601" s="265">
        <f t="shared" si="319"/>
        <v>3874</v>
      </c>
      <c r="K601" s="193">
        <f t="shared" si="320"/>
        <v>173465</v>
      </c>
      <c r="L601" s="274">
        <v>6.89</v>
      </c>
      <c r="M601" s="238">
        <v>1.3440000000000001</v>
      </c>
      <c r="N601" s="265">
        <f t="shared" si="321"/>
        <v>4008</v>
      </c>
      <c r="O601" s="193">
        <f t="shared" si="322"/>
        <v>5387</v>
      </c>
      <c r="P601" s="272"/>
      <c r="Q601" s="236"/>
      <c r="R601" s="265"/>
      <c r="S601" s="193"/>
      <c r="T601" s="232">
        <f>I601+M601</f>
        <v>46.116999999999997</v>
      </c>
      <c r="U601" s="296">
        <v>5370</v>
      </c>
      <c r="V601" s="199">
        <f t="shared" ref="V601:V610" si="334">T601*U601</f>
        <v>247648.28999999998</v>
      </c>
      <c r="W601" s="232"/>
      <c r="X601" s="289"/>
      <c r="Y601" s="199"/>
      <c r="Z601" s="153"/>
      <c r="AA601" s="147"/>
      <c r="AB601" s="101">
        <f t="shared" si="318"/>
        <v>0</v>
      </c>
      <c r="AC601" s="226"/>
      <c r="AD601" s="302">
        <f>N601-U601</f>
        <v>-1362</v>
      </c>
      <c r="AE601" s="202">
        <f>K601+O601+S601-V601</f>
        <v>-68796.289999999979</v>
      </c>
    </row>
    <row r="602" spans="1:31" ht="36.75" hidden="1" customHeight="1" outlineLevel="2" x14ac:dyDescent="0.3">
      <c r="B602" s="334" t="s">
        <v>579</v>
      </c>
      <c r="C602" s="126" t="s">
        <v>5</v>
      </c>
      <c r="D602" s="259">
        <v>2.0099999999999998</v>
      </c>
      <c r="E602" s="64"/>
      <c r="F602" s="265">
        <f t="shared" si="314"/>
        <v>217</v>
      </c>
      <c r="G602" s="216">
        <v>436.07</v>
      </c>
      <c r="H602" s="274"/>
      <c r="I602" s="238"/>
      <c r="J602" s="265"/>
      <c r="K602" s="193"/>
      <c r="L602" s="274"/>
      <c r="M602" s="238"/>
      <c r="N602" s="265"/>
      <c r="O602" s="193"/>
      <c r="P602" s="272">
        <v>6.31</v>
      </c>
      <c r="Q602" s="236">
        <f t="shared" si="315"/>
        <v>2.0099999999999998</v>
      </c>
      <c r="R602" s="265">
        <f t="shared" si="316"/>
        <v>1090</v>
      </c>
      <c r="S602" s="193">
        <f t="shared" si="317"/>
        <v>2190</v>
      </c>
      <c r="T602" s="232"/>
      <c r="U602" s="289"/>
      <c r="V602" s="199"/>
      <c r="W602" s="232">
        <f t="shared" ref="W602:W611" si="335">Q602</f>
        <v>2.0099999999999998</v>
      </c>
      <c r="X602" s="289">
        <v>1151</v>
      </c>
      <c r="Y602" s="199">
        <f t="shared" ref="Y602" si="336">W602*X602</f>
        <v>2313.5099999999998</v>
      </c>
      <c r="Z602" s="153"/>
      <c r="AA602" s="147"/>
      <c r="AB602" s="101">
        <f t="shared" si="318"/>
        <v>0</v>
      </c>
      <c r="AC602" s="226"/>
      <c r="AD602" s="302">
        <f>R602-X602</f>
        <v>-61</v>
      </c>
      <c r="AE602" s="202">
        <f>S602-Y602</f>
        <v>-123.50999999999976</v>
      </c>
    </row>
    <row r="603" spans="1:31" ht="36.75" hidden="1" customHeight="1" outlineLevel="2" x14ac:dyDescent="0.3">
      <c r="A603" s="141"/>
      <c r="B603" s="334" t="s">
        <v>580</v>
      </c>
      <c r="C603" s="126" t="s">
        <v>5</v>
      </c>
      <c r="D603" s="259">
        <v>55</v>
      </c>
      <c r="E603" s="64"/>
      <c r="F603" s="265">
        <f t="shared" si="314"/>
        <v>226</v>
      </c>
      <c r="G603" s="216">
        <v>12448.15</v>
      </c>
      <c r="H603" s="274"/>
      <c r="I603" s="238"/>
      <c r="J603" s="265"/>
      <c r="K603" s="193"/>
      <c r="L603" s="274"/>
      <c r="M603" s="238"/>
      <c r="N603" s="265"/>
      <c r="O603" s="193"/>
      <c r="P603" s="272">
        <v>6.31</v>
      </c>
      <c r="Q603" s="236">
        <f t="shared" si="315"/>
        <v>55</v>
      </c>
      <c r="R603" s="265">
        <f t="shared" si="316"/>
        <v>1135</v>
      </c>
      <c r="S603" s="193">
        <f t="shared" si="317"/>
        <v>62417</v>
      </c>
      <c r="T603" s="232"/>
      <c r="U603" s="289"/>
      <c r="V603" s="199"/>
      <c r="W603" s="232">
        <f t="shared" si="335"/>
        <v>55</v>
      </c>
      <c r="X603" s="289">
        <v>2100</v>
      </c>
      <c r="Y603" s="199">
        <f>W603*X603</f>
        <v>115500</v>
      </c>
      <c r="Z603" s="153"/>
      <c r="AA603" s="147"/>
      <c r="AB603" s="101">
        <f t="shared" si="318"/>
        <v>0</v>
      </c>
      <c r="AC603" s="226"/>
      <c r="AD603" s="302">
        <f>R603-X603</f>
        <v>-965</v>
      </c>
      <c r="AE603" s="202">
        <f>S603-Y603</f>
        <v>-53083</v>
      </c>
    </row>
    <row r="604" spans="1:31" ht="24" hidden="1" customHeight="1" outlineLevel="2" x14ac:dyDescent="0.3">
      <c r="A604" s="141"/>
      <c r="B604" s="334" t="s">
        <v>581</v>
      </c>
      <c r="C604" s="126" t="s">
        <v>17</v>
      </c>
      <c r="D604" s="259">
        <v>91.117999999999995</v>
      </c>
      <c r="E604" s="64"/>
      <c r="F604" s="265">
        <f t="shared" si="314"/>
        <v>127</v>
      </c>
      <c r="G604" s="216">
        <v>11565.67</v>
      </c>
      <c r="H604" s="274">
        <v>6.11</v>
      </c>
      <c r="I604" s="238">
        <v>43.204000000000001</v>
      </c>
      <c r="J604" s="265">
        <f t="shared" si="319"/>
        <v>618</v>
      </c>
      <c r="K604" s="193">
        <f t="shared" si="320"/>
        <v>26679</v>
      </c>
      <c r="L604" s="274"/>
      <c r="M604" s="238"/>
      <c r="N604" s="265"/>
      <c r="O604" s="193"/>
      <c r="P604" s="272">
        <v>6.31</v>
      </c>
      <c r="Q604" s="236">
        <f>D604-I604-M604</f>
        <v>47.913999999999994</v>
      </c>
      <c r="R604" s="265">
        <f t="shared" si="316"/>
        <v>638</v>
      </c>
      <c r="S604" s="193">
        <f t="shared" si="317"/>
        <v>30556</v>
      </c>
      <c r="T604" s="232">
        <f>I604+M604</f>
        <v>43.204000000000001</v>
      </c>
      <c r="U604" s="289">
        <v>1050</v>
      </c>
      <c r="V604" s="199">
        <f t="shared" si="334"/>
        <v>45364.2</v>
      </c>
      <c r="W604" s="232">
        <f t="shared" si="335"/>
        <v>47.913999999999994</v>
      </c>
      <c r="X604" s="289">
        <v>1050</v>
      </c>
      <c r="Y604" s="199">
        <f>W604*X604</f>
        <v>50309.7</v>
      </c>
      <c r="Z604" s="153"/>
      <c r="AA604" s="147"/>
      <c r="AB604" s="101">
        <f t="shared" si="318"/>
        <v>0</v>
      </c>
      <c r="AC604" s="226"/>
      <c r="AD604" s="302">
        <f>R604-U604</f>
        <v>-412</v>
      </c>
      <c r="AE604" s="202">
        <f>K604+S604-V604-Y604</f>
        <v>-38438.899999999994</v>
      </c>
    </row>
    <row r="605" spans="1:31" ht="24" hidden="1" customHeight="1" outlineLevel="2" x14ac:dyDescent="0.3">
      <c r="A605" s="141"/>
      <c r="B605" s="334" t="s">
        <v>582</v>
      </c>
      <c r="C605" s="126" t="s">
        <v>17</v>
      </c>
      <c r="D605" s="259">
        <v>1.74</v>
      </c>
      <c r="E605" s="64"/>
      <c r="F605" s="265">
        <f t="shared" si="314"/>
        <v>150</v>
      </c>
      <c r="G605" s="216">
        <v>260.32</v>
      </c>
      <c r="H605" s="274"/>
      <c r="I605" s="238"/>
      <c r="J605" s="265"/>
      <c r="K605" s="193"/>
      <c r="L605" s="274"/>
      <c r="M605" s="238"/>
      <c r="N605" s="265"/>
      <c r="O605" s="193"/>
      <c r="P605" s="272">
        <v>6.31</v>
      </c>
      <c r="Q605" s="236">
        <f t="shared" si="315"/>
        <v>1.74</v>
      </c>
      <c r="R605" s="265">
        <f t="shared" si="316"/>
        <v>753</v>
      </c>
      <c r="S605" s="193">
        <f t="shared" si="317"/>
        <v>1311</v>
      </c>
      <c r="T605" s="232"/>
      <c r="U605" s="289"/>
      <c r="V605" s="199"/>
      <c r="W605" s="232">
        <f t="shared" si="335"/>
        <v>1.74</v>
      </c>
      <c r="X605" s="289">
        <v>578</v>
      </c>
      <c r="Y605" s="199">
        <f>W605*X605</f>
        <v>1005.72</v>
      </c>
      <c r="Z605" s="153"/>
      <c r="AA605" s="147"/>
      <c r="AB605" s="101">
        <f t="shared" si="318"/>
        <v>0</v>
      </c>
      <c r="AC605" s="226"/>
      <c r="AD605" s="304">
        <f>R605-X605</f>
        <v>175</v>
      </c>
      <c r="AE605" s="305">
        <f>S605-Y605</f>
        <v>305.27999999999997</v>
      </c>
    </row>
    <row r="606" spans="1:31" ht="24" hidden="1" customHeight="1" outlineLevel="2" x14ac:dyDescent="0.3">
      <c r="A606" s="141"/>
      <c r="B606" s="334" t="s">
        <v>488</v>
      </c>
      <c r="C606" s="126" t="s">
        <v>28</v>
      </c>
      <c r="D606" s="259">
        <v>0.48700000000000004</v>
      </c>
      <c r="E606" s="64"/>
      <c r="F606" s="265">
        <f t="shared" si="314"/>
        <v>9747</v>
      </c>
      <c r="G606" s="216">
        <v>4746.76</v>
      </c>
      <c r="H606" s="274">
        <v>6.11</v>
      </c>
      <c r="I606" s="238">
        <v>0.154</v>
      </c>
      <c r="J606" s="265">
        <f t="shared" si="319"/>
        <v>47393</v>
      </c>
      <c r="K606" s="193">
        <f t="shared" si="320"/>
        <v>7299</v>
      </c>
      <c r="L606" s="274">
        <v>6.31</v>
      </c>
      <c r="M606" s="238">
        <v>0.14100000000000001</v>
      </c>
      <c r="N606" s="265">
        <f t="shared" si="321"/>
        <v>48945</v>
      </c>
      <c r="O606" s="193">
        <f t="shared" si="322"/>
        <v>6901</v>
      </c>
      <c r="P606" s="272">
        <v>6.31</v>
      </c>
      <c r="Q606" s="236">
        <f t="shared" si="315"/>
        <v>0.19200000000000006</v>
      </c>
      <c r="R606" s="265">
        <f t="shared" si="316"/>
        <v>48945</v>
      </c>
      <c r="S606" s="193">
        <f t="shared" si="317"/>
        <v>9397</v>
      </c>
      <c r="T606" s="232">
        <f>I606+M606</f>
        <v>0.29500000000000004</v>
      </c>
      <c r="U606" s="289">
        <v>275360</v>
      </c>
      <c r="V606" s="199">
        <f t="shared" si="334"/>
        <v>81231.200000000012</v>
      </c>
      <c r="W606" s="232">
        <f t="shared" si="335"/>
        <v>0.19200000000000006</v>
      </c>
      <c r="X606" s="289">
        <v>275360</v>
      </c>
      <c r="Y606" s="199">
        <f t="shared" ref="Y606:Y607" si="337">W606*X606</f>
        <v>52869.120000000017</v>
      </c>
      <c r="Z606" s="153"/>
      <c r="AA606" s="147"/>
      <c r="AB606" s="101">
        <f t="shared" si="318"/>
        <v>0</v>
      </c>
      <c r="AC606" s="226"/>
      <c r="AD606" s="302">
        <f t="shared" ref="AD606:AD611" si="338">R606-X606</f>
        <v>-226415</v>
      </c>
      <c r="AE606" s="202">
        <f t="shared" ref="AE606:AE611" si="339">K606+O606+S606-V606-Y606</f>
        <v>-110503.32000000004</v>
      </c>
    </row>
    <row r="607" spans="1:31" ht="24" hidden="1" customHeight="1" outlineLevel="2" x14ac:dyDescent="0.3">
      <c r="A607" s="141"/>
      <c r="B607" s="334" t="s">
        <v>118</v>
      </c>
      <c r="C607" s="126" t="s">
        <v>28</v>
      </c>
      <c r="D607" s="259">
        <v>7.5999999999999998E-2</v>
      </c>
      <c r="E607" s="64"/>
      <c r="F607" s="265">
        <f t="shared" si="314"/>
        <v>9602</v>
      </c>
      <c r="G607" s="216">
        <v>729.77</v>
      </c>
      <c r="H607" s="274"/>
      <c r="I607" s="238"/>
      <c r="J607" s="265"/>
      <c r="K607" s="193"/>
      <c r="L607" s="274">
        <v>6.31</v>
      </c>
      <c r="M607" s="238">
        <v>3.7999999999999999E-2</v>
      </c>
      <c r="N607" s="265">
        <f t="shared" si="321"/>
        <v>48216</v>
      </c>
      <c r="O607" s="193">
        <f t="shared" si="322"/>
        <v>1832</v>
      </c>
      <c r="P607" s="272">
        <v>6.31</v>
      </c>
      <c r="Q607" s="236">
        <f>D607-M607</f>
        <v>3.7999999999999999E-2</v>
      </c>
      <c r="R607" s="265">
        <f t="shared" si="316"/>
        <v>48216</v>
      </c>
      <c r="S607" s="193">
        <f t="shared" si="317"/>
        <v>1832</v>
      </c>
      <c r="T607" s="232">
        <f>I607+M607</f>
        <v>3.7999999999999999E-2</v>
      </c>
      <c r="U607" s="296">
        <v>71790</v>
      </c>
      <c r="V607" s="199">
        <f t="shared" si="334"/>
        <v>2728.02</v>
      </c>
      <c r="W607" s="232">
        <f t="shared" si="335"/>
        <v>3.7999999999999999E-2</v>
      </c>
      <c r="X607" s="296">
        <v>71790</v>
      </c>
      <c r="Y607" s="199">
        <f t="shared" si="337"/>
        <v>2728.02</v>
      </c>
      <c r="Z607" s="153"/>
      <c r="AA607" s="147"/>
      <c r="AB607" s="101">
        <f t="shared" si="318"/>
        <v>0</v>
      </c>
      <c r="AC607" s="226"/>
      <c r="AD607" s="304">
        <f t="shared" si="338"/>
        <v>-23574</v>
      </c>
      <c r="AE607" s="305">
        <f t="shared" si="339"/>
        <v>-1792.04</v>
      </c>
    </row>
    <row r="608" spans="1:31" ht="24" hidden="1" customHeight="1" outlineLevel="2" x14ac:dyDescent="0.3">
      <c r="A608" s="141"/>
      <c r="B608" s="334" t="s">
        <v>81</v>
      </c>
      <c r="C608" s="126" t="s">
        <v>28</v>
      </c>
      <c r="D608" s="259">
        <v>0.26200000000000001</v>
      </c>
      <c r="E608" s="64"/>
      <c r="F608" s="265">
        <f t="shared" si="314"/>
        <v>12430</v>
      </c>
      <c r="G608" s="216">
        <v>3256.71</v>
      </c>
      <c r="H608" s="274">
        <v>5.52</v>
      </c>
      <c r="I608" s="238">
        <v>0.11900000000000001</v>
      </c>
      <c r="J608" s="265">
        <f t="shared" si="319"/>
        <v>54603</v>
      </c>
      <c r="K608" s="193">
        <f t="shared" si="320"/>
        <v>6498</v>
      </c>
      <c r="L608" s="274">
        <v>6.31</v>
      </c>
      <c r="M608" s="238">
        <v>4.2000000000000003E-2</v>
      </c>
      <c r="N608" s="265">
        <f t="shared" si="321"/>
        <v>62417</v>
      </c>
      <c r="O608" s="193">
        <f t="shared" si="322"/>
        <v>2622</v>
      </c>
      <c r="P608" s="272">
        <v>6.31</v>
      </c>
      <c r="Q608" s="236">
        <f>D608-I608-M608</f>
        <v>0.10100000000000001</v>
      </c>
      <c r="R608" s="265">
        <f t="shared" si="316"/>
        <v>62417</v>
      </c>
      <c r="S608" s="193">
        <f t="shared" si="317"/>
        <v>6304</v>
      </c>
      <c r="T608" s="232">
        <f>I608+M608</f>
        <v>0.161</v>
      </c>
      <c r="U608" s="289">
        <f>66.4*1000</f>
        <v>66400</v>
      </c>
      <c r="V608" s="199">
        <f t="shared" si="334"/>
        <v>10690.4</v>
      </c>
      <c r="W608" s="232">
        <f t="shared" si="335"/>
        <v>0.10100000000000001</v>
      </c>
      <c r="X608" s="289">
        <f>U608</f>
        <v>66400</v>
      </c>
      <c r="Y608" s="199">
        <f>W608*X608</f>
        <v>6706.4000000000005</v>
      </c>
      <c r="Z608" s="153"/>
      <c r="AA608" s="147"/>
      <c r="AB608" s="101">
        <f t="shared" si="318"/>
        <v>0</v>
      </c>
      <c r="AC608" s="226"/>
      <c r="AD608" s="302">
        <f t="shared" si="338"/>
        <v>-3983</v>
      </c>
      <c r="AE608" s="202">
        <f t="shared" si="339"/>
        <v>-1972.8000000000002</v>
      </c>
    </row>
    <row r="609" spans="1:32" ht="24" hidden="1" customHeight="1" outlineLevel="2" x14ac:dyDescent="0.3">
      <c r="A609" s="141"/>
      <c r="B609" s="334" t="s">
        <v>583</v>
      </c>
      <c r="C609" s="126" t="s">
        <v>28</v>
      </c>
      <c r="D609" s="259">
        <v>0.34700000000000003</v>
      </c>
      <c r="E609" s="64"/>
      <c r="F609" s="265">
        <f t="shared" si="314"/>
        <v>15014</v>
      </c>
      <c r="G609" s="216">
        <v>5209.8900000000003</v>
      </c>
      <c r="H609" s="274"/>
      <c r="I609" s="238"/>
      <c r="J609" s="265"/>
      <c r="K609" s="193"/>
      <c r="L609" s="274">
        <v>6.31</v>
      </c>
      <c r="M609" s="238">
        <v>0.19600000000000001</v>
      </c>
      <c r="N609" s="265">
        <f t="shared" si="321"/>
        <v>75393</v>
      </c>
      <c r="O609" s="193">
        <f t="shared" si="322"/>
        <v>14777</v>
      </c>
      <c r="P609" s="272">
        <v>6.31</v>
      </c>
      <c r="Q609" s="236">
        <f>D609-I609-M609</f>
        <v>0.15100000000000002</v>
      </c>
      <c r="R609" s="265">
        <f t="shared" si="316"/>
        <v>75393</v>
      </c>
      <c r="S609" s="193">
        <f t="shared" si="317"/>
        <v>11384</v>
      </c>
      <c r="T609" s="232">
        <f>I609+M609</f>
        <v>0.19600000000000001</v>
      </c>
      <c r="U609" s="289">
        <v>158058</v>
      </c>
      <c r="V609" s="199">
        <f t="shared" si="334"/>
        <v>30979.368000000002</v>
      </c>
      <c r="W609" s="232">
        <f t="shared" si="335"/>
        <v>0.15100000000000002</v>
      </c>
      <c r="X609" s="289">
        <v>158058</v>
      </c>
      <c r="Y609" s="199">
        <f t="shared" ref="Y609:Y611" si="340">W609*X609</f>
        <v>23866.758000000005</v>
      </c>
      <c r="Z609" s="153"/>
      <c r="AA609" s="147"/>
      <c r="AB609" s="101">
        <f t="shared" si="318"/>
        <v>0</v>
      </c>
      <c r="AC609" s="226"/>
      <c r="AD609" s="302">
        <f t="shared" si="338"/>
        <v>-82665</v>
      </c>
      <c r="AE609" s="202">
        <f t="shared" si="339"/>
        <v>-28685.126000000007</v>
      </c>
    </row>
    <row r="610" spans="1:32" ht="24" hidden="1" customHeight="1" outlineLevel="2" x14ac:dyDescent="0.3">
      <c r="A610" s="141"/>
      <c r="B610" s="334" t="s">
        <v>584</v>
      </c>
      <c r="C610" s="126" t="s">
        <v>28</v>
      </c>
      <c r="D610" s="259">
        <v>1.1499999999999999</v>
      </c>
      <c r="E610" s="64"/>
      <c r="F610" s="265">
        <f t="shared" si="314"/>
        <v>4049</v>
      </c>
      <c r="G610" s="216">
        <v>4656.1100000000006</v>
      </c>
      <c r="H610" s="274">
        <v>6.11</v>
      </c>
      <c r="I610" s="238">
        <v>8.4000000000000005E-2</v>
      </c>
      <c r="J610" s="265">
        <f t="shared" si="319"/>
        <v>19688</v>
      </c>
      <c r="K610" s="193">
        <f t="shared" si="320"/>
        <v>1654</v>
      </c>
      <c r="L610" s="274">
        <v>6.31</v>
      </c>
      <c r="M610" s="238">
        <v>0.14699999999999999</v>
      </c>
      <c r="N610" s="265">
        <f t="shared" si="321"/>
        <v>20332</v>
      </c>
      <c r="O610" s="193">
        <f t="shared" si="322"/>
        <v>2989</v>
      </c>
      <c r="P610" s="272">
        <v>6.31</v>
      </c>
      <c r="Q610" s="236">
        <f t="shared" si="315"/>
        <v>0.91899999999999982</v>
      </c>
      <c r="R610" s="265">
        <f t="shared" si="316"/>
        <v>20332</v>
      </c>
      <c r="S610" s="193">
        <f t="shared" si="317"/>
        <v>18685</v>
      </c>
      <c r="T610" s="232">
        <f>I610+M610</f>
        <v>0.23099999999999998</v>
      </c>
      <c r="U610" s="161">
        <v>38400</v>
      </c>
      <c r="V610" s="199">
        <f t="shared" si="334"/>
        <v>8870.4</v>
      </c>
      <c r="W610" s="232">
        <f t="shared" si="335"/>
        <v>0.91899999999999982</v>
      </c>
      <c r="X610" s="289">
        <f>U610</f>
        <v>38400</v>
      </c>
      <c r="Y610" s="199">
        <f t="shared" si="340"/>
        <v>35289.599999999991</v>
      </c>
      <c r="Z610" s="153"/>
      <c r="AA610" s="147"/>
      <c r="AB610" s="101">
        <f t="shared" si="318"/>
        <v>0</v>
      </c>
      <c r="AC610" s="226"/>
      <c r="AD610" s="304">
        <f t="shared" si="338"/>
        <v>-18068</v>
      </c>
      <c r="AE610" s="305">
        <f t="shared" si="339"/>
        <v>-20831.999999999993</v>
      </c>
    </row>
    <row r="611" spans="1:32" ht="24" hidden="1" customHeight="1" outlineLevel="2" x14ac:dyDescent="0.3">
      <c r="A611" s="141"/>
      <c r="B611" s="334" t="s">
        <v>288</v>
      </c>
      <c r="C611" s="126" t="s">
        <v>28</v>
      </c>
      <c r="D611" s="259">
        <v>4.7E-2</v>
      </c>
      <c r="E611" s="64"/>
      <c r="F611" s="265">
        <f t="shared" si="314"/>
        <v>46931</v>
      </c>
      <c r="G611" s="216">
        <v>2205.77</v>
      </c>
      <c r="H611" s="274"/>
      <c r="I611" s="238"/>
      <c r="J611" s="265"/>
      <c r="K611" s="193"/>
      <c r="L611" s="274"/>
      <c r="M611" s="238"/>
      <c r="N611" s="265"/>
      <c r="O611" s="193"/>
      <c r="P611" s="272">
        <v>6.31</v>
      </c>
      <c r="Q611" s="236">
        <f t="shared" si="315"/>
        <v>4.7E-2</v>
      </c>
      <c r="R611" s="265">
        <f t="shared" si="316"/>
        <v>235664</v>
      </c>
      <c r="S611" s="193">
        <f t="shared" si="317"/>
        <v>11076</v>
      </c>
      <c r="T611" s="230"/>
      <c r="U611" s="289"/>
      <c r="V611" s="199"/>
      <c r="W611" s="232">
        <f t="shared" si="335"/>
        <v>4.7E-2</v>
      </c>
      <c r="X611" s="289">
        <v>162560</v>
      </c>
      <c r="Y611" s="199">
        <f t="shared" si="340"/>
        <v>7640.32</v>
      </c>
      <c r="Z611" s="153"/>
      <c r="AA611" s="147"/>
      <c r="AB611" s="101">
        <f t="shared" si="318"/>
        <v>0</v>
      </c>
      <c r="AC611" s="226"/>
      <c r="AD611" s="304">
        <f t="shared" si="338"/>
        <v>73104</v>
      </c>
      <c r="AE611" s="305">
        <f t="shared" si="339"/>
        <v>3435.6800000000003</v>
      </c>
    </row>
    <row r="612" spans="1:32" s="95" customFormat="1" hidden="1" outlineLevel="1" x14ac:dyDescent="0.3">
      <c r="A612" s="98"/>
      <c r="B612" s="160"/>
      <c r="C612" s="107"/>
      <c r="D612" s="253"/>
      <c r="E612" s="98"/>
      <c r="F612" s="154"/>
      <c r="G612" s="222"/>
      <c r="H612" s="154"/>
      <c r="I612" s="231"/>
      <c r="J612" s="154"/>
      <c r="K612" s="194"/>
      <c r="L612" s="154"/>
      <c r="M612" s="231"/>
      <c r="N612" s="154"/>
      <c r="O612" s="194"/>
      <c r="P612" s="154"/>
      <c r="Q612" s="231"/>
      <c r="R612" s="286"/>
      <c r="S612" s="194"/>
      <c r="T612" s="231"/>
      <c r="U612" s="155"/>
      <c r="V612" s="194"/>
      <c r="W612" s="231"/>
      <c r="X612" s="155"/>
      <c r="Y612" s="194"/>
      <c r="Z612" s="157"/>
      <c r="AA612" s="156"/>
      <c r="AB612" s="156"/>
      <c r="AC612" s="194"/>
      <c r="AD612" s="155"/>
      <c r="AE612" s="194"/>
    </row>
    <row r="613" spans="1:32" ht="27.75" hidden="1" customHeight="1" outlineLevel="1" x14ac:dyDescent="0.3">
      <c r="A613" s="400"/>
      <c r="B613" s="1082" t="s">
        <v>585</v>
      </c>
      <c r="C613" s="1083"/>
      <c r="D613" s="1083"/>
      <c r="E613" s="1083"/>
      <c r="F613" s="1084"/>
      <c r="G613" s="333">
        <f>SUM(G614:G699)</f>
        <v>1131291.6499999999</v>
      </c>
      <c r="H613" s="320"/>
      <c r="I613" s="320"/>
      <c r="J613" s="320"/>
      <c r="K613" s="321">
        <f>SUM(K614:K699)</f>
        <v>18761</v>
      </c>
      <c r="L613" s="320"/>
      <c r="M613" s="320"/>
      <c r="N613" s="320"/>
      <c r="O613" s="321">
        <f>SUM(O614:O699)</f>
        <v>788811</v>
      </c>
      <c r="P613" s="320"/>
      <c r="Q613" s="320"/>
      <c r="R613" s="320"/>
      <c r="S613" s="336">
        <f>SUM(S614:S699)</f>
        <v>4221854</v>
      </c>
      <c r="T613" s="320"/>
      <c r="U613" s="322"/>
      <c r="V613" s="321">
        <f>SUM(V614:V699)</f>
        <v>914529.74452399986</v>
      </c>
      <c r="W613" s="320"/>
      <c r="X613" s="322"/>
      <c r="Y613" s="321">
        <f>SUM(Y614:Y699)</f>
        <v>3263638.3421839993</v>
      </c>
      <c r="Z613" s="322"/>
      <c r="AA613" s="322"/>
      <c r="AB613" s="322"/>
      <c r="AC613" s="322"/>
      <c r="AD613" s="322"/>
      <c r="AE613" s="339">
        <f>SUM(AE614:AE699)</f>
        <v>850705.91329199972</v>
      </c>
      <c r="AF613" s="326">
        <f>AE613/S613</f>
        <v>0.20150055243312529</v>
      </c>
    </row>
    <row r="614" spans="1:32" hidden="1" outlineLevel="2" x14ac:dyDescent="0.3">
      <c r="B614" s="328" t="s">
        <v>586</v>
      </c>
      <c r="C614" s="127" t="s">
        <v>28</v>
      </c>
      <c r="D614" s="259">
        <v>0.158</v>
      </c>
      <c r="E614" s="64"/>
      <c r="F614" s="265">
        <f t="shared" ref="F614:F680" si="341">ROUND(G614/D614,0)</f>
        <v>6434</v>
      </c>
      <c r="G614" s="216">
        <v>1016.5</v>
      </c>
      <c r="H614" s="274"/>
      <c r="I614" s="238"/>
      <c r="J614" s="265"/>
      <c r="K614" s="193"/>
      <c r="L614" s="274">
        <v>6.31</v>
      </c>
      <c r="M614" s="238">
        <v>5.3999999999999999E-2</v>
      </c>
      <c r="N614" s="265">
        <f t="shared" ref="N614:N680" si="342">ROUND(F614*L614*0.7958,0)</f>
        <v>32308</v>
      </c>
      <c r="O614" s="193">
        <f t="shared" ref="O614:O680" si="343">ROUND(M614*L614*F614*0.7958,0)</f>
        <v>1745</v>
      </c>
      <c r="P614" s="272">
        <v>5.43</v>
      </c>
      <c r="Q614" s="236">
        <f t="shared" ref="Q614:Q678" si="344">D614-I614-M614</f>
        <v>0.10400000000000001</v>
      </c>
      <c r="R614" s="265">
        <f t="shared" ref="R614:R678" si="345">ROUND(F614*P614*0.7958,0)</f>
        <v>27803</v>
      </c>
      <c r="S614" s="193">
        <f t="shared" ref="S614:S678" si="346">ROUND(Q614*P614*F614*0.7958,0)</f>
        <v>2891</v>
      </c>
      <c r="T614" s="232">
        <f t="shared" ref="T614:T616" si="347">I614+M614</f>
        <v>5.3999999999999999E-2</v>
      </c>
      <c r="U614" s="289">
        <v>41000</v>
      </c>
      <c r="V614" s="199">
        <f t="shared" ref="V614:V616" si="348">T614*U614</f>
        <v>2214</v>
      </c>
      <c r="W614" s="232">
        <f t="shared" ref="W614:W618" si="349">Q614</f>
        <v>0.10400000000000001</v>
      </c>
      <c r="X614" s="289">
        <v>48018</v>
      </c>
      <c r="Y614" s="199">
        <f t="shared" ref="Y614:Y618" si="350">W614*X614</f>
        <v>4993.8720000000003</v>
      </c>
      <c r="Z614" s="153"/>
      <c r="AA614" s="147"/>
      <c r="AB614" s="101">
        <f t="shared" ref="AB614:AB680" si="351">ROUND(Z614*AA614,0)</f>
        <v>0</v>
      </c>
      <c r="AC614" s="226">
        <f t="shared" ref="AC614:AC677" si="352">W614</f>
        <v>0.10400000000000001</v>
      </c>
      <c r="AD614" s="302">
        <f>((R614+N614)/2)-X614</f>
        <v>-17962.5</v>
      </c>
      <c r="AE614" s="202">
        <f>O614+S614-V614-Y614</f>
        <v>-2571.8720000000003</v>
      </c>
    </row>
    <row r="615" spans="1:32" hidden="1" outlineLevel="2" x14ac:dyDescent="0.3">
      <c r="A615" s="141"/>
      <c r="B615" s="328" t="s">
        <v>950</v>
      </c>
      <c r="C615" s="127" t="s">
        <v>17</v>
      </c>
      <c r="D615" s="259">
        <v>4.7800000000000002E-2</v>
      </c>
      <c r="E615" s="64"/>
      <c r="F615" s="265">
        <f t="shared" si="341"/>
        <v>2376</v>
      </c>
      <c r="G615" s="216">
        <v>113.57</v>
      </c>
      <c r="H615" s="274"/>
      <c r="I615" s="238"/>
      <c r="J615" s="265"/>
      <c r="K615" s="193"/>
      <c r="L615" s="274"/>
      <c r="M615" s="238"/>
      <c r="N615" s="265"/>
      <c r="O615" s="193"/>
      <c r="P615" s="272">
        <v>5.43</v>
      </c>
      <c r="Q615" s="236">
        <f t="shared" si="344"/>
        <v>4.7800000000000002E-2</v>
      </c>
      <c r="R615" s="265">
        <f t="shared" si="345"/>
        <v>10267</v>
      </c>
      <c r="S615" s="193">
        <f t="shared" si="346"/>
        <v>491</v>
      </c>
      <c r="T615" s="232"/>
      <c r="U615" s="290"/>
      <c r="V615" s="199"/>
      <c r="W615" s="232">
        <f t="shared" si="349"/>
        <v>4.7800000000000002E-2</v>
      </c>
      <c r="X615" s="292">
        <v>11500</v>
      </c>
      <c r="Y615" s="199">
        <f t="shared" si="350"/>
        <v>549.70000000000005</v>
      </c>
      <c r="Z615" s="153"/>
      <c r="AA615" s="147"/>
      <c r="AB615" s="101">
        <f t="shared" si="351"/>
        <v>0</v>
      </c>
      <c r="AC615" s="226">
        <f t="shared" si="352"/>
        <v>4.7800000000000002E-2</v>
      </c>
      <c r="AD615" s="302">
        <f>R615-X615</f>
        <v>-1233</v>
      </c>
      <c r="AE615" s="202">
        <f>S615-Y615</f>
        <v>-58.700000000000045</v>
      </c>
    </row>
    <row r="616" spans="1:32" hidden="1" outlineLevel="2" x14ac:dyDescent="0.3">
      <c r="B616" s="328" t="s">
        <v>587</v>
      </c>
      <c r="C616" s="127" t="s">
        <v>17</v>
      </c>
      <c r="D616" s="259">
        <v>0.37050000000000005</v>
      </c>
      <c r="E616" s="64"/>
      <c r="F616" s="265">
        <f t="shared" si="341"/>
        <v>842</v>
      </c>
      <c r="G616" s="216">
        <v>312</v>
      </c>
      <c r="H616" s="274"/>
      <c r="I616" s="238"/>
      <c r="J616" s="265"/>
      <c r="K616" s="193"/>
      <c r="L616" s="274">
        <v>6.31</v>
      </c>
      <c r="M616" s="238">
        <v>5.0000000000000001E-4</v>
      </c>
      <c r="N616" s="265">
        <f t="shared" si="342"/>
        <v>4228</v>
      </c>
      <c r="O616" s="193">
        <f t="shared" si="343"/>
        <v>2</v>
      </c>
      <c r="P616" s="272">
        <v>5.43</v>
      </c>
      <c r="Q616" s="236">
        <f t="shared" si="344"/>
        <v>0.37000000000000005</v>
      </c>
      <c r="R616" s="265">
        <f t="shared" si="345"/>
        <v>3638</v>
      </c>
      <c r="S616" s="193">
        <f t="shared" si="346"/>
        <v>1346</v>
      </c>
      <c r="T616" s="232">
        <f t="shared" si="347"/>
        <v>5.0000000000000001E-4</v>
      </c>
      <c r="U616" s="289">
        <v>11500</v>
      </c>
      <c r="V616" s="199">
        <f t="shared" si="348"/>
        <v>5.75</v>
      </c>
      <c r="W616" s="232">
        <f t="shared" si="349"/>
        <v>0.37000000000000005</v>
      </c>
      <c r="X616" s="292">
        <v>11500</v>
      </c>
      <c r="Y616" s="199">
        <f t="shared" si="350"/>
        <v>4255.0000000000009</v>
      </c>
      <c r="Z616" s="153"/>
      <c r="AA616" s="147"/>
      <c r="AB616" s="101">
        <f t="shared" si="351"/>
        <v>0</v>
      </c>
      <c r="AC616" s="226">
        <f t="shared" si="352"/>
        <v>0.37000000000000005</v>
      </c>
      <c r="AD616" s="302">
        <f>((R616+N616)/2)-X616</f>
        <v>-7567</v>
      </c>
      <c r="AE616" s="202">
        <f>O616+S616-V616-Y616</f>
        <v>-2912.7500000000009</v>
      </c>
    </row>
    <row r="617" spans="1:32" hidden="1" outlineLevel="2" x14ac:dyDescent="0.3">
      <c r="A617" s="141"/>
      <c r="B617" s="328" t="s">
        <v>588</v>
      </c>
      <c r="C617" s="127" t="s">
        <v>40</v>
      </c>
      <c r="D617" s="259">
        <v>24</v>
      </c>
      <c r="E617" s="64"/>
      <c r="F617" s="265">
        <f t="shared" si="341"/>
        <v>274</v>
      </c>
      <c r="G617" s="216">
        <v>6584.16</v>
      </c>
      <c r="H617" s="274"/>
      <c r="I617" s="238"/>
      <c r="J617" s="265"/>
      <c r="K617" s="193"/>
      <c r="L617" s="274"/>
      <c r="M617" s="238"/>
      <c r="N617" s="265"/>
      <c r="O617" s="193"/>
      <c r="P617" s="272">
        <v>5.43</v>
      </c>
      <c r="Q617" s="236">
        <f t="shared" si="344"/>
        <v>24</v>
      </c>
      <c r="R617" s="265">
        <f t="shared" si="345"/>
        <v>1184</v>
      </c>
      <c r="S617" s="193">
        <f t="shared" si="346"/>
        <v>28416</v>
      </c>
      <c r="T617" s="232"/>
      <c r="U617" s="290"/>
      <c r="V617" s="199"/>
      <c r="W617" s="232">
        <f t="shared" si="349"/>
        <v>24</v>
      </c>
      <c r="X617" s="292">
        <v>300</v>
      </c>
      <c r="Y617" s="199">
        <f t="shared" si="350"/>
        <v>7200</v>
      </c>
      <c r="Z617" s="153"/>
      <c r="AA617" s="147"/>
      <c r="AB617" s="101">
        <f t="shared" si="351"/>
        <v>0</v>
      </c>
      <c r="AC617" s="226">
        <f t="shared" si="352"/>
        <v>24</v>
      </c>
      <c r="AD617" s="304">
        <f t="shared" ref="AD617:AD676" si="353">R617-X617</f>
        <v>884</v>
      </c>
      <c r="AE617" s="305">
        <f>S617-Y617</f>
        <v>21216</v>
      </c>
    </row>
    <row r="618" spans="1:32" hidden="1" outlineLevel="2" x14ac:dyDescent="0.3">
      <c r="A618" s="141"/>
      <c r="B618" s="328" t="s">
        <v>589</v>
      </c>
      <c r="C618" s="127" t="s">
        <v>40</v>
      </c>
      <c r="D618" s="259">
        <v>44</v>
      </c>
      <c r="E618" s="64" t="s">
        <v>920</v>
      </c>
      <c r="F618" s="265">
        <f>ROUND(G618/38,0)</f>
        <v>61</v>
      </c>
      <c r="G618" s="216">
        <v>2316.1</v>
      </c>
      <c r="H618" s="274"/>
      <c r="I618" s="238"/>
      <c r="J618" s="265"/>
      <c r="K618" s="193"/>
      <c r="L618" s="274"/>
      <c r="M618" s="238"/>
      <c r="N618" s="265"/>
      <c r="O618" s="193"/>
      <c r="P618" s="272">
        <v>5.43</v>
      </c>
      <c r="Q618" s="236">
        <v>38</v>
      </c>
      <c r="R618" s="265">
        <f t="shared" si="345"/>
        <v>264</v>
      </c>
      <c r="S618" s="193">
        <f t="shared" si="346"/>
        <v>10017</v>
      </c>
      <c r="T618" s="232"/>
      <c r="U618" s="290"/>
      <c r="V618" s="199"/>
      <c r="W618" s="232">
        <f t="shared" si="349"/>
        <v>38</v>
      </c>
      <c r="X618" s="292">
        <v>257</v>
      </c>
      <c r="Y618" s="199">
        <f t="shared" si="350"/>
        <v>9766</v>
      </c>
      <c r="Z618" s="153"/>
      <c r="AA618" s="147"/>
      <c r="AB618" s="101">
        <f t="shared" si="351"/>
        <v>0</v>
      </c>
      <c r="AC618" s="226">
        <f t="shared" si="352"/>
        <v>38</v>
      </c>
      <c r="AD618" s="304">
        <f t="shared" ref="AD618" si="354">R618-X618</f>
        <v>7</v>
      </c>
      <c r="AE618" s="305">
        <f>S618-Y618</f>
        <v>251</v>
      </c>
    </row>
    <row r="619" spans="1:32" hidden="1" outlineLevel="2" x14ac:dyDescent="0.3">
      <c r="A619" s="141"/>
      <c r="B619" s="328" t="s">
        <v>590</v>
      </c>
      <c r="C619" s="127" t="s">
        <v>40</v>
      </c>
      <c r="D619" s="259">
        <v>42</v>
      </c>
      <c r="E619" s="64"/>
      <c r="F619" s="265">
        <f t="shared" si="341"/>
        <v>91</v>
      </c>
      <c r="G619" s="216">
        <v>3832.92</v>
      </c>
      <c r="H619" s="274"/>
      <c r="I619" s="238"/>
      <c r="J619" s="265"/>
      <c r="K619" s="193"/>
      <c r="L619" s="274">
        <v>6.31</v>
      </c>
      <c r="M619" s="238">
        <v>30</v>
      </c>
      <c r="N619" s="265">
        <f t="shared" si="342"/>
        <v>457</v>
      </c>
      <c r="O619" s="193">
        <f t="shared" si="343"/>
        <v>13709</v>
      </c>
      <c r="P619" s="272">
        <v>5.43</v>
      </c>
      <c r="Q619" s="236">
        <f t="shared" si="344"/>
        <v>12</v>
      </c>
      <c r="R619" s="265">
        <f t="shared" si="345"/>
        <v>393</v>
      </c>
      <c r="S619" s="193">
        <f t="shared" si="346"/>
        <v>4719</v>
      </c>
      <c r="T619" s="232">
        <f>M619</f>
        <v>30</v>
      </c>
      <c r="U619" s="292">
        <v>176.4</v>
      </c>
      <c r="V619" s="199">
        <f>T619*U619</f>
        <v>5292</v>
      </c>
      <c r="W619" s="232">
        <f>Q619</f>
        <v>12</v>
      </c>
      <c r="X619" s="292">
        <f>U619</f>
        <v>176.4</v>
      </c>
      <c r="Y619" s="199">
        <f>W619*X619</f>
        <v>2116.8000000000002</v>
      </c>
      <c r="Z619" s="153"/>
      <c r="AA619" s="147"/>
      <c r="AB619" s="101">
        <f t="shared" si="351"/>
        <v>0</v>
      </c>
      <c r="AC619" s="226">
        <f t="shared" si="352"/>
        <v>12</v>
      </c>
      <c r="AD619" s="299">
        <f>((R619+N619)/2)-X619</f>
        <v>248.6</v>
      </c>
      <c r="AE619" s="305">
        <f>O619+S619-V619-Y619</f>
        <v>11019.2</v>
      </c>
    </row>
    <row r="620" spans="1:32" hidden="1" outlineLevel="2" x14ac:dyDescent="0.3">
      <c r="A620" s="141"/>
      <c r="B620" s="328" t="s">
        <v>591</v>
      </c>
      <c r="C620" s="127" t="s">
        <v>40</v>
      </c>
      <c r="D620" s="259">
        <v>10</v>
      </c>
      <c r="E620" s="64"/>
      <c r="F620" s="265">
        <f t="shared" si="341"/>
        <v>95</v>
      </c>
      <c r="G620" s="216">
        <v>950.2</v>
      </c>
      <c r="H620" s="274"/>
      <c r="I620" s="238"/>
      <c r="J620" s="265"/>
      <c r="K620" s="193"/>
      <c r="L620" s="274">
        <v>6.31</v>
      </c>
      <c r="M620" s="238">
        <v>10</v>
      </c>
      <c r="N620" s="265">
        <f t="shared" si="342"/>
        <v>477</v>
      </c>
      <c r="O620" s="193">
        <f t="shared" si="343"/>
        <v>4770</v>
      </c>
      <c r="P620" s="272"/>
      <c r="Q620" s="236"/>
      <c r="R620" s="265"/>
      <c r="S620" s="193"/>
      <c r="T620" s="232">
        <f t="shared" ref="T620:T635" si="355">M620</f>
        <v>10</v>
      </c>
      <c r="U620" s="292">
        <v>176.4</v>
      </c>
      <c r="V620" s="199">
        <f t="shared" ref="V620:V635" si="356">T620*U620</f>
        <v>1764</v>
      </c>
      <c r="W620" s="232"/>
      <c r="X620" s="292"/>
      <c r="Y620" s="199"/>
      <c r="Z620" s="153"/>
      <c r="AA620" s="147"/>
      <c r="AB620" s="101">
        <f t="shared" si="351"/>
        <v>0</v>
      </c>
      <c r="AC620" s="226">
        <f t="shared" si="352"/>
        <v>0</v>
      </c>
      <c r="AD620" s="304">
        <f>O620-V620</f>
        <v>3006</v>
      </c>
      <c r="AE620" s="305">
        <f>O620-V620</f>
        <v>3006</v>
      </c>
    </row>
    <row r="621" spans="1:32" hidden="1" outlineLevel="2" x14ac:dyDescent="0.3">
      <c r="A621" s="141"/>
      <c r="B621" s="328" t="s">
        <v>592</v>
      </c>
      <c r="C621" s="127" t="s">
        <v>40</v>
      </c>
      <c r="D621" s="259">
        <v>64</v>
      </c>
      <c r="E621" s="64"/>
      <c r="F621" s="265">
        <f t="shared" si="341"/>
        <v>99</v>
      </c>
      <c r="G621" s="216">
        <v>6355.84</v>
      </c>
      <c r="H621" s="274"/>
      <c r="I621" s="238"/>
      <c r="J621" s="265"/>
      <c r="K621" s="193"/>
      <c r="L621" s="274">
        <v>6.31</v>
      </c>
      <c r="M621" s="238">
        <v>60</v>
      </c>
      <c r="N621" s="265">
        <f t="shared" si="342"/>
        <v>497</v>
      </c>
      <c r="O621" s="193">
        <f t="shared" si="343"/>
        <v>29828</v>
      </c>
      <c r="P621" s="272">
        <v>5.43</v>
      </c>
      <c r="Q621" s="236">
        <f t="shared" si="344"/>
        <v>4</v>
      </c>
      <c r="R621" s="265">
        <f t="shared" si="345"/>
        <v>428</v>
      </c>
      <c r="S621" s="193">
        <f t="shared" si="346"/>
        <v>1711</v>
      </c>
      <c r="T621" s="232">
        <f t="shared" si="355"/>
        <v>60</v>
      </c>
      <c r="U621" s="292">
        <v>200.7</v>
      </c>
      <c r="V621" s="199">
        <f t="shared" si="356"/>
        <v>12042</v>
      </c>
      <c r="W621" s="232">
        <f t="shared" ref="W621:W631" si="357">Q621</f>
        <v>4</v>
      </c>
      <c r="X621" s="292">
        <v>200.7</v>
      </c>
      <c r="Y621" s="199">
        <f t="shared" ref="Y621:Y631" si="358">W621*X621</f>
        <v>802.8</v>
      </c>
      <c r="Z621" s="153"/>
      <c r="AA621" s="147"/>
      <c r="AB621" s="101">
        <f t="shared" si="351"/>
        <v>0</v>
      </c>
      <c r="AC621" s="226">
        <f t="shared" si="352"/>
        <v>4</v>
      </c>
      <c r="AD621" s="304">
        <f t="shared" si="353"/>
        <v>227.3</v>
      </c>
      <c r="AE621" s="305">
        <f>O621+S621-V621-Y621</f>
        <v>18694.2</v>
      </c>
    </row>
    <row r="622" spans="1:32" hidden="1" outlineLevel="2" x14ac:dyDescent="0.3">
      <c r="A622" s="141"/>
      <c r="B622" s="328" t="s">
        <v>593</v>
      </c>
      <c r="C622" s="127" t="s">
        <v>40</v>
      </c>
      <c r="D622" s="259">
        <v>18</v>
      </c>
      <c r="E622" s="64"/>
      <c r="F622" s="265">
        <f t="shared" si="341"/>
        <v>69</v>
      </c>
      <c r="G622" s="216">
        <v>1239.1199999999999</v>
      </c>
      <c r="H622" s="274"/>
      <c r="I622" s="238"/>
      <c r="J622" s="265"/>
      <c r="K622" s="193"/>
      <c r="L622" s="274"/>
      <c r="M622" s="238"/>
      <c r="N622" s="265"/>
      <c r="O622" s="193"/>
      <c r="P622" s="272">
        <v>5.43</v>
      </c>
      <c r="Q622" s="236">
        <f t="shared" si="344"/>
        <v>18</v>
      </c>
      <c r="R622" s="265">
        <f t="shared" si="345"/>
        <v>298</v>
      </c>
      <c r="S622" s="193">
        <f t="shared" si="346"/>
        <v>5367</v>
      </c>
      <c r="T622" s="232"/>
      <c r="U622" s="289"/>
      <c r="V622" s="199"/>
      <c r="W622" s="232">
        <f t="shared" si="357"/>
        <v>18</v>
      </c>
      <c r="X622" s="289">
        <v>180</v>
      </c>
      <c r="Y622" s="199">
        <f t="shared" si="358"/>
        <v>3240</v>
      </c>
      <c r="Z622" s="153"/>
      <c r="AA622" s="147"/>
      <c r="AB622" s="101">
        <f t="shared" si="351"/>
        <v>0</v>
      </c>
      <c r="AC622" s="226">
        <f t="shared" si="352"/>
        <v>18</v>
      </c>
      <c r="AD622" s="304">
        <f>R622-X622</f>
        <v>118</v>
      </c>
      <c r="AE622" s="305">
        <f>S622-Y622</f>
        <v>2127</v>
      </c>
    </row>
    <row r="623" spans="1:32" hidden="1" outlineLevel="2" x14ac:dyDescent="0.3">
      <c r="A623" s="141"/>
      <c r="B623" s="328" t="s">
        <v>594</v>
      </c>
      <c r="C623" s="127" t="s">
        <v>40</v>
      </c>
      <c r="D623" s="259">
        <v>16</v>
      </c>
      <c r="E623" s="64"/>
      <c r="F623" s="265">
        <f t="shared" si="341"/>
        <v>164</v>
      </c>
      <c r="G623" s="216">
        <v>2628.32</v>
      </c>
      <c r="H623" s="274"/>
      <c r="I623" s="238"/>
      <c r="J623" s="265"/>
      <c r="K623" s="193"/>
      <c r="L623" s="274">
        <v>6.31</v>
      </c>
      <c r="M623" s="238">
        <v>16</v>
      </c>
      <c r="N623" s="265">
        <f t="shared" si="342"/>
        <v>824</v>
      </c>
      <c r="O623" s="193">
        <f t="shared" si="343"/>
        <v>13176</v>
      </c>
      <c r="P623" s="272"/>
      <c r="Q623" s="236"/>
      <c r="R623" s="265"/>
      <c r="S623" s="193"/>
      <c r="T623" s="232">
        <f t="shared" si="355"/>
        <v>16</v>
      </c>
      <c r="U623" s="289">
        <v>255</v>
      </c>
      <c r="V623" s="199">
        <f t="shared" si="356"/>
        <v>4080</v>
      </c>
      <c r="W623" s="232"/>
      <c r="X623" s="292"/>
      <c r="Y623" s="199"/>
      <c r="Z623" s="153"/>
      <c r="AA623" s="147"/>
      <c r="AB623" s="101">
        <f t="shared" si="351"/>
        <v>0</v>
      </c>
      <c r="AC623" s="226">
        <f t="shared" si="352"/>
        <v>0</v>
      </c>
      <c r="AD623" s="304">
        <f>N623-X623</f>
        <v>824</v>
      </c>
      <c r="AE623" s="305">
        <f>O623-V623</f>
        <v>9096</v>
      </c>
    </row>
    <row r="624" spans="1:32" hidden="1" outlineLevel="2" x14ac:dyDescent="0.3">
      <c r="A624" s="141"/>
      <c r="B624" s="328" t="s">
        <v>595</v>
      </c>
      <c r="C624" s="127" t="s">
        <v>40</v>
      </c>
      <c r="D624" s="259">
        <v>16</v>
      </c>
      <c r="E624" s="64"/>
      <c r="F624" s="265">
        <f t="shared" si="341"/>
        <v>97</v>
      </c>
      <c r="G624" s="216">
        <v>1553.12</v>
      </c>
      <c r="H624" s="274"/>
      <c r="I624" s="238"/>
      <c r="J624" s="265"/>
      <c r="K624" s="193"/>
      <c r="L624" s="274">
        <v>6.31</v>
      </c>
      <c r="M624" s="238">
        <v>16</v>
      </c>
      <c r="N624" s="265">
        <f t="shared" si="342"/>
        <v>487</v>
      </c>
      <c r="O624" s="193">
        <f t="shared" si="343"/>
        <v>7793</v>
      </c>
      <c r="P624" s="272"/>
      <c r="Q624" s="236"/>
      <c r="R624" s="265"/>
      <c r="S624" s="193"/>
      <c r="T624" s="232">
        <f t="shared" si="355"/>
        <v>16</v>
      </c>
      <c r="U624" s="289">
        <v>217</v>
      </c>
      <c r="V624" s="199">
        <f t="shared" si="356"/>
        <v>3472</v>
      </c>
      <c r="W624" s="232"/>
      <c r="X624" s="292"/>
      <c r="Y624" s="199"/>
      <c r="Z624" s="153"/>
      <c r="AA624" s="147"/>
      <c r="AB624" s="101">
        <f t="shared" si="351"/>
        <v>0</v>
      </c>
      <c r="AC624" s="226">
        <f t="shared" si="352"/>
        <v>0</v>
      </c>
      <c r="AD624" s="304">
        <f>N624-X624</f>
        <v>487</v>
      </c>
      <c r="AE624" s="305">
        <f>O624-V624</f>
        <v>4321</v>
      </c>
    </row>
    <row r="625" spans="1:31" hidden="1" outlineLevel="2" x14ac:dyDescent="0.3">
      <c r="A625" s="141"/>
      <c r="B625" s="328" t="s">
        <v>596</v>
      </c>
      <c r="C625" s="127" t="s">
        <v>40</v>
      </c>
      <c r="D625" s="259">
        <v>6</v>
      </c>
      <c r="E625" s="64"/>
      <c r="F625" s="265">
        <f t="shared" si="341"/>
        <v>168</v>
      </c>
      <c r="G625" s="216">
        <v>1006.14</v>
      </c>
      <c r="H625" s="274"/>
      <c r="I625" s="238"/>
      <c r="J625" s="265"/>
      <c r="K625" s="193"/>
      <c r="L625" s="274"/>
      <c r="M625" s="238"/>
      <c r="N625" s="265"/>
      <c r="O625" s="193"/>
      <c r="P625" s="272">
        <v>5.43</v>
      </c>
      <c r="Q625" s="236">
        <f t="shared" si="344"/>
        <v>6</v>
      </c>
      <c r="R625" s="265">
        <f t="shared" si="345"/>
        <v>726</v>
      </c>
      <c r="S625" s="193">
        <f t="shared" si="346"/>
        <v>4356</v>
      </c>
      <c r="T625" s="232"/>
      <c r="U625" s="292"/>
      <c r="V625" s="199"/>
      <c r="W625" s="232">
        <f t="shared" si="357"/>
        <v>6</v>
      </c>
      <c r="X625" s="292">
        <v>831.6</v>
      </c>
      <c r="Y625" s="199">
        <f t="shared" si="358"/>
        <v>4989.6000000000004</v>
      </c>
      <c r="Z625" s="153"/>
      <c r="AA625" s="147"/>
      <c r="AB625" s="101">
        <f t="shared" si="351"/>
        <v>0</v>
      </c>
      <c r="AC625" s="226">
        <f t="shared" si="352"/>
        <v>6</v>
      </c>
      <c r="AD625" s="302">
        <f>R625-X625</f>
        <v>-105.60000000000002</v>
      </c>
      <c r="AE625" s="202">
        <f>S625-Y625</f>
        <v>-633.60000000000036</v>
      </c>
    </row>
    <row r="626" spans="1:31" hidden="1" outlineLevel="2" x14ac:dyDescent="0.3">
      <c r="A626" s="141"/>
      <c r="B626" s="328" t="s">
        <v>597</v>
      </c>
      <c r="C626" s="127" t="s">
        <v>364</v>
      </c>
      <c r="D626" s="259">
        <v>12</v>
      </c>
      <c r="E626" s="64"/>
      <c r="F626" s="265">
        <f t="shared" si="341"/>
        <v>2802</v>
      </c>
      <c r="G626" s="216">
        <v>33619</v>
      </c>
      <c r="H626" s="274"/>
      <c r="I626" s="238"/>
      <c r="J626" s="265"/>
      <c r="K626" s="193"/>
      <c r="L626" s="274">
        <v>5.43</v>
      </c>
      <c r="M626" s="238">
        <v>12</v>
      </c>
      <c r="N626" s="265">
        <f t="shared" si="342"/>
        <v>12108</v>
      </c>
      <c r="O626" s="193">
        <f t="shared" si="343"/>
        <v>145296</v>
      </c>
      <c r="P626" s="272"/>
      <c r="Q626" s="236"/>
      <c r="R626" s="265"/>
      <c r="S626" s="193"/>
      <c r="T626" s="232">
        <f t="shared" si="355"/>
        <v>12</v>
      </c>
      <c r="U626" s="389">
        <v>16130</v>
      </c>
      <c r="V626" s="199">
        <f t="shared" si="356"/>
        <v>193560</v>
      </c>
      <c r="W626" s="232"/>
      <c r="X626" s="292"/>
      <c r="Y626" s="199"/>
      <c r="Z626" s="153"/>
      <c r="AA626" s="147"/>
      <c r="AB626" s="101">
        <f t="shared" si="351"/>
        <v>0</v>
      </c>
      <c r="AC626" s="226">
        <f t="shared" si="352"/>
        <v>0</v>
      </c>
      <c r="AD626" s="304">
        <f>N626-X626</f>
        <v>12108</v>
      </c>
      <c r="AE626" s="305">
        <f>O626-V626</f>
        <v>-48264</v>
      </c>
    </row>
    <row r="627" spans="1:31" hidden="1" outlineLevel="2" x14ac:dyDescent="0.3">
      <c r="A627" s="141"/>
      <c r="B627" s="328" t="s">
        <v>598</v>
      </c>
      <c r="C627" s="127" t="s">
        <v>364</v>
      </c>
      <c r="D627" s="259">
        <v>7</v>
      </c>
      <c r="E627" s="64"/>
      <c r="F627" s="265">
        <f t="shared" si="341"/>
        <v>2490</v>
      </c>
      <c r="G627" s="216">
        <v>17431</v>
      </c>
      <c r="H627" s="274"/>
      <c r="I627" s="238"/>
      <c r="J627" s="265"/>
      <c r="K627" s="193"/>
      <c r="L627" s="274">
        <v>5.43</v>
      </c>
      <c r="M627" s="238">
        <v>7</v>
      </c>
      <c r="N627" s="265">
        <f t="shared" si="342"/>
        <v>10760</v>
      </c>
      <c r="O627" s="193">
        <f t="shared" si="343"/>
        <v>75318</v>
      </c>
      <c r="P627" s="272"/>
      <c r="Q627" s="236"/>
      <c r="R627" s="265"/>
      <c r="S627" s="193"/>
      <c r="T627" s="232">
        <f t="shared" si="355"/>
        <v>7</v>
      </c>
      <c r="U627" s="389">
        <v>14750</v>
      </c>
      <c r="V627" s="199">
        <f t="shared" si="356"/>
        <v>103250</v>
      </c>
      <c r="W627" s="232"/>
      <c r="X627" s="292"/>
      <c r="Y627" s="199"/>
      <c r="Z627" s="153"/>
      <c r="AA627" s="147"/>
      <c r="AB627" s="101">
        <f t="shared" si="351"/>
        <v>0</v>
      </c>
      <c r="AC627" s="226">
        <f t="shared" si="352"/>
        <v>0</v>
      </c>
      <c r="AD627" s="304">
        <f>N627-X627</f>
        <v>10760</v>
      </c>
      <c r="AE627" s="305">
        <f>O627-V627</f>
        <v>-27932</v>
      </c>
    </row>
    <row r="628" spans="1:31" hidden="1" outlineLevel="2" x14ac:dyDescent="0.3">
      <c r="A628" s="141"/>
      <c r="B628" s="328" t="s">
        <v>599</v>
      </c>
      <c r="C628" s="127" t="s">
        <v>40</v>
      </c>
      <c r="D628" s="259">
        <v>6</v>
      </c>
      <c r="E628" s="64"/>
      <c r="F628" s="265">
        <f t="shared" si="341"/>
        <v>54</v>
      </c>
      <c r="G628" s="216">
        <v>322.5</v>
      </c>
      <c r="H628" s="274"/>
      <c r="I628" s="238"/>
      <c r="J628" s="265"/>
      <c r="K628" s="193"/>
      <c r="L628" s="274"/>
      <c r="M628" s="238"/>
      <c r="N628" s="265"/>
      <c r="O628" s="193"/>
      <c r="P628" s="272">
        <v>5.43</v>
      </c>
      <c r="Q628" s="236">
        <f t="shared" si="344"/>
        <v>6</v>
      </c>
      <c r="R628" s="265">
        <f t="shared" si="345"/>
        <v>233</v>
      </c>
      <c r="S628" s="193">
        <f t="shared" si="346"/>
        <v>1400</v>
      </c>
      <c r="T628" s="232"/>
      <c r="U628" s="292"/>
      <c r="V628" s="199"/>
      <c r="W628" s="232">
        <f t="shared" si="357"/>
        <v>6</v>
      </c>
      <c r="X628" s="292">
        <v>259.60000000000002</v>
      </c>
      <c r="Y628" s="199">
        <f t="shared" si="358"/>
        <v>1557.6000000000001</v>
      </c>
      <c r="Z628" s="153"/>
      <c r="AA628" s="147"/>
      <c r="AB628" s="101">
        <f t="shared" si="351"/>
        <v>0</v>
      </c>
      <c r="AC628" s="226">
        <f t="shared" si="352"/>
        <v>6</v>
      </c>
      <c r="AD628" s="302">
        <f>R628-X628</f>
        <v>-26.600000000000023</v>
      </c>
      <c r="AE628" s="202">
        <f>S628-Y628</f>
        <v>-157.60000000000014</v>
      </c>
    </row>
    <row r="629" spans="1:31" hidden="1" outlineLevel="2" x14ac:dyDescent="0.3">
      <c r="A629" s="141"/>
      <c r="B629" s="328" t="s">
        <v>600</v>
      </c>
      <c r="C629" s="127" t="s">
        <v>40</v>
      </c>
      <c r="D629" s="259">
        <v>6</v>
      </c>
      <c r="E629" s="64"/>
      <c r="F629" s="265">
        <f t="shared" si="341"/>
        <v>33</v>
      </c>
      <c r="G629" s="216">
        <v>196.5</v>
      </c>
      <c r="H629" s="274"/>
      <c r="I629" s="238"/>
      <c r="J629" s="265"/>
      <c r="K629" s="193"/>
      <c r="L629" s="274">
        <v>6.31</v>
      </c>
      <c r="M629" s="238">
        <v>6</v>
      </c>
      <c r="N629" s="265">
        <f t="shared" si="342"/>
        <v>166</v>
      </c>
      <c r="O629" s="193">
        <f t="shared" si="343"/>
        <v>994</v>
      </c>
      <c r="P629" s="272"/>
      <c r="Q629" s="236"/>
      <c r="R629" s="265"/>
      <c r="S629" s="193"/>
      <c r="T629" s="232">
        <f t="shared" si="355"/>
        <v>6</v>
      </c>
      <c r="U629" s="292">
        <v>133.80000000000001</v>
      </c>
      <c r="V629" s="199">
        <f t="shared" si="356"/>
        <v>802.80000000000007</v>
      </c>
      <c r="W629" s="232"/>
      <c r="X629" s="292"/>
      <c r="Y629" s="199"/>
      <c r="Z629" s="153"/>
      <c r="AA629" s="147"/>
      <c r="AB629" s="101">
        <f t="shared" si="351"/>
        <v>0</v>
      </c>
      <c r="AC629" s="226">
        <f t="shared" si="352"/>
        <v>0</v>
      </c>
      <c r="AD629" s="304">
        <f>N629-U629</f>
        <v>32.199999999999989</v>
      </c>
      <c r="AE629" s="305">
        <f>O629-V629</f>
        <v>191.19999999999993</v>
      </c>
    </row>
    <row r="630" spans="1:31" hidden="1" outlineLevel="2" x14ac:dyDescent="0.3">
      <c r="A630" s="141"/>
      <c r="B630" s="328" t="s">
        <v>601</v>
      </c>
      <c r="C630" s="127" t="s">
        <v>40</v>
      </c>
      <c r="D630" s="259">
        <v>6</v>
      </c>
      <c r="E630" s="64"/>
      <c r="F630" s="265">
        <f t="shared" si="341"/>
        <v>89</v>
      </c>
      <c r="G630" s="216">
        <v>536.46</v>
      </c>
      <c r="H630" s="274"/>
      <c r="I630" s="238"/>
      <c r="J630" s="265"/>
      <c r="K630" s="193"/>
      <c r="L630" s="274"/>
      <c r="M630" s="238"/>
      <c r="N630" s="265"/>
      <c r="O630" s="193"/>
      <c r="P630" s="272">
        <v>5.43</v>
      </c>
      <c r="Q630" s="236">
        <f t="shared" si="344"/>
        <v>6</v>
      </c>
      <c r="R630" s="265">
        <f t="shared" si="345"/>
        <v>385</v>
      </c>
      <c r="S630" s="193">
        <f t="shared" si="346"/>
        <v>2308</v>
      </c>
      <c r="T630" s="232"/>
      <c r="U630" s="292"/>
      <c r="V630" s="199"/>
      <c r="W630" s="232">
        <f t="shared" si="357"/>
        <v>6</v>
      </c>
      <c r="X630" s="289">
        <v>497</v>
      </c>
      <c r="Y630" s="199">
        <f t="shared" si="358"/>
        <v>2982</v>
      </c>
      <c r="Z630" s="153"/>
      <c r="AA630" s="147"/>
      <c r="AB630" s="101">
        <f t="shared" si="351"/>
        <v>0</v>
      </c>
      <c r="AC630" s="226">
        <f t="shared" si="352"/>
        <v>6</v>
      </c>
      <c r="AD630" s="302">
        <f>R630-X630</f>
        <v>-112</v>
      </c>
      <c r="AE630" s="202">
        <f>S630-Y630</f>
        <v>-674</v>
      </c>
    </row>
    <row r="631" spans="1:31" hidden="1" outlineLevel="2" x14ac:dyDescent="0.3">
      <c r="A631" s="141"/>
      <c r="B631" s="328" t="s">
        <v>602</v>
      </c>
      <c r="C631" s="127" t="s">
        <v>40</v>
      </c>
      <c r="D631" s="259">
        <v>6</v>
      </c>
      <c r="E631" s="64"/>
      <c r="F631" s="265">
        <f t="shared" si="341"/>
        <v>22</v>
      </c>
      <c r="G631" s="216">
        <v>132.12</v>
      </c>
      <c r="H631" s="274"/>
      <c r="I631" s="238"/>
      <c r="J631" s="265"/>
      <c r="K631" s="193"/>
      <c r="L631" s="274"/>
      <c r="M631" s="238"/>
      <c r="N631" s="265"/>
      <c r="O631" s="193"/>
      <c r="P631" s="272">
        <v>5.43</v>
      </c>
      <c r="Q631" s="236">
        <f t="shared" si="344"/>
        <v>6</v>
      </c>
      <c r="R631" s="265">
        <f t="shared" si="345"/>
        <v>95</v>
      </c>
      <c r="S631" s="193">
        <f t="shared" si="346"/>
        <v>570</v>
      </c>
      <c r="T631" s="232"/>
      <c r="U631" s="292"/>
      <c r="V631" s="199"/>
      <c r="W631" s="232">
        <f t="shared" si="357"/>
        <v>6</v>
      </c>
      <c r="X631" s="289">
        <v>60</v>
      </c>
      <c r="Y631" s="199">
        <f t="shared" si="358"/>
        <v>360</v>
      </c>
      <c r="Z631" s="153"/>
      <c r="AA631" s="147"/>
      <c r="AB631" s="101">
        <f t="shared" si="351"/>
        <v>0</v>
      </c>
      <c r="AC631" s="226">
        <f t="shared" si="352"/>
        <v>6</v>
      </c>
      <c r="AD631" s="304">
        <f>R631-X631</f>
        <v>35</v>
      </c>
      <c r="AE631" s="305">
        <f>S631-Y631</f>
        <v>210</v>
      </c>
    </row>
    <row r="632" spans="1:31" hidden="1" outlineLevel="2" x14ac:dyDescent="0.3">
      <c r="A632" s="141"/>
      <c r="B632" s="328" t="s">
        <v>603</v>
      </c>
      <c r="C632" s="127" t="s">
        <v>40</v>
      </c>
      <c r="D632" s="259">
        <v>5</v>
      </c>
      <c r="E632" s="64"/>
      <c r="F632" s="265">
        <f t="shared" si="341"/>
        <v>525</v>
      </c>
      <c r="G632" s="216">
        <v>2626.85</v>
      </c>
      <c r="H632" s="274"/>
      <c r="I632" s="238"/>
      <c r="J632" s="265"/>
      <c r="K632" s="193"/>
      <c r="L632" s="274">
        <v>6.31</v>
      </c>
      <c r="M632" s="238">
        <v>5</v>
      </c>
      <c r="N632" s="265">
        <f t="shared" si="342"/>
        <v>2636</v>
      </c>
      <c r="O632" s="193">
        <f t="shared" si="343"/>
        <v>13181</v>
      </c>
      <c r="P632" s="272"/>
      <c r="Q632" s="236"/>
      <c r="R632" s="265"/>
      <c r="S632" s="193"/>
      <c r="T632" s="232">
        <f t="shared" si="355"/>
        <v>5</v>
      </c>
      <c r="U632" s="289">
        <v>3041</v>
      </c>
      <c r="V632" s="199">
        <f t="shared" si="356"/>
        <v>15205</v>
      </c>
      <c r="W632" s="232"/>
      <c r="X632" s="292"/>
      <c r="Y632" s="199"/>
      <c r="Z632" s="153"/>
      <c r="AA632" s="147"/>
      <c r="AB632" s="101">
        <f t="shared" si="351"/>
        <v>0</v>
      </c>
      <c r="AC632" s="226">
        <f t="shared" si="352"/>
        <v>0</v>
      </c>
      <c r="AD632" s="302">
        <f>N632-U632</f>
        <v>-405</v>
      </c>
      <c r="AE632" s="202">
        <f>O632-V632</f>
        <v>-2024</v>
      </c>
    </row>
    <row r="633" spans="1:31" hidden="1" outlineLevel="2" x14ac:dyDescent="0.3">
      <c r="A633" s="141"/>
      <c r="B633" s="328" t="s">
        <v>604</v>
      </c>
      <c r="C633" s="127" t="s">
        <v>364</v>
      </c>
      <c r="D633" s="259">
        <v>1</v>
      </c>
      <c r="E633" s="64"/>
      <c r="F633" s="265">
        <f t="shared" si="341"/>
        <v>753</v>
      </c>
      <c r="G633" s="216">
        <v>753</v>
      </c>
      <c r="H633" s="274"/>
      <c r="I633" s="238"/>
      <c r="J633" s="265"/>
      <c r="K633" s="193"/>
      <c r="L633" s="274">
        <v>6.31</v>
      </c>
      <c r="M633" s="238">
        <v>1</v>
      </c>
      <c r="N633" s="265">
        <f t="shared" si="342"/>
        <v>3781</v>
      </c>
      <c r="O633" s="193">
        <f t="shared" si="343"/>
        <v>3781</v>
      </c>
      <c r="P633" s="272"/>
      <c r="Q633" s="236"/>
      <c r="R633" s="265"/>
      <c r="S633" s="193"/>
      <c r="T633" s="232">
        <f t="shared" si="355"/>
        <v>1</v>
      </c>
      <c r="U633" s="296">
        <v>6730</v>
      </c>
      <c r="V633" s="199">
        <f t="shared" si="356"/>
        <v>6730</v>
      </c>
      <c r="W633" s="232"/>
      <c r="X633" s="292"/>
      <c r="Y633" s="199"/>
      <c r="Z633" s="153"/>
      <c r="AA633" s="147"/>
      <c r="AB633" s="101">
        <f t="shared" si="351"/>
        <v>0</v>
      </c>
      <c r="AC633" s="226">
        <f t="shared" si="352"/>
        <v>0</v>
      </c>
      <c r="AD633" s="304">
        <f t="shared" ref="AD633:AD636" si="359">N633-U633</f>
        <v>-2949</v>
      </c>
      <c r="AE633" s="305">
        <f>O633-V633</f>
        <v>-2949</v>
      </c>
    </row>
    <row r="634" spans="1:31" hidden="1" outlineLevel="2" x14ac:dyDescent="0.3">
      <c r="A634" s="141"/>
      <c r="B634" s="328" t="s">
        <v>605</v>
      </c>
      <c r="C634" s="127" t="s">
        <v>364</v>
      </c>
      <c r="D634" s="259">
        <v>1</v>
      </c>
      <c r="E634" s="64"/>
      <c r="F634" s="265">
        <f t="shared" si="341"/>
        <v>3961</v>
      </c>
      <c r="G634" s="216">
        <v>3961</v>
      </c>
      <c r="H634" s="274"/>
      <c r="I634" s="238"/>
      <c r="J634" s="265"/>
      <c r="K634" s="193"/>
      <c r="L634" s="274">
        <v>5.43</v>
      </c>
      <c r="M634" s="238">
        <v>1</v>
      </c>
      <c r="N634" s="265">
        <f t="shared" si="342"/>
        <v>17116</v>
      </c>
      <c r="O634" s="193">
        <f t="shared" si="343"/>
        <v>17116</v>
      </c>
      <c r="P634" s="272"/>
      <c r="Q634" s="236"/>
      <c r="R634" s="265"/>
      <c r="S634" s="193"/>
      <c r="T634" s="232">
        <f t="shared" si="355"/>
        <v>1</v>
      </c>
      <c r="U634" s="296">
        <v>24179</v>
      </c>
      <c r="V634" s="199">
        <f t="shared" si="356"/>
        <v>24179</v>
      </c>
      <c r="W634" s="232"/>
      <c r="X634" s="292"/>
      <c r="Y634" s="199"/>
      <c r="Z634" s="153"/>
      <c r="AA634" s="147"/>
      <c r="AB634" s="101">
        <f t="shared" si="351"/>
        <v>0</v>
      </c>
      <c r="AC634" s="226">
        <f t="shared" si="352"/>
        <v>0</v>
      </c>
      <c r="AD634" s="304">
        <f t="shared" si="359"/>
        <v>-7063</v>
      </c>
      <c r="AE634" s="305">
        <f>O634-V634</f>
        <v>-7063</v>
      </c>
    </row>
    <row r="635" spans="1:31" hidden="1" outlineLevel="2" x14ac:dyDescent="0.3">
      <c r="A635" s="141"/>
      <c r="B635" s="328" t="s">
        <v>606</v>
      </c>
      <c r="C635" s="127" t="s">
        <v>40</v>
      </c>
      <c r="D635" s="259">
        <v>10</v>
      </c>
      <c r="E635" s="64"/>
      <c r="F635" s="265">
        <f t="shared" si="341"/>
        <v>44</v>
      </c>
      <c r="G635" s="216">
        <v>439</v>
      </c>
      <c r="H635" s="274"/>
      <c r="I635" s="238"/>
      <c r="J635" s="265"/>
      <c r="K635" s="193"/>
      <c r="L635" s="274">
        <v>5.43</v>
      </c>
      <c r="M635" s="238">
        <v>10</v>
      </c>
      <c r="N635" s="265">
        <f t="shared" si="342"/>
        <v>190</v>
      </c>
      <c r="O635" s="193">
        <f t="shared" si="343"/>
        <v>1901</v>
      </c>
      <c r="P635" s="272"/>
      <c r="Q635" s="236"/>
      <c r="R635" s="265"/>
      <c r="S635" s="193"/>
      <c r="T635" s="232">
        <f t="shared" si="355"/>
        <v>10</v>
      </c>
      <c r="U635" s="289">
        <v>292</v>
      </c>
      <c r="V635" s="199">
        <f t="shared" si="356"/>
        <v>2920</v>
      </c>
      <c r="W635" s="232"/>
      <c r="X635" s="292"/>
      <c r="Y635" s="199"/>
      <c r="Z635" s="153"/>
      <c r="AA635" s="147"/>
      <c r="AB635" s="101">
        <f t="shared" si="351"/>
        <v>0</v>
      </c>
      <c r="AC635" s="226">
        <f t="shared" si="352"/>
        <v>0</v>
      </c>
      <c r="AD635" s="302">
        <f t="shared" si="359"/>
        <v>-102</v>
      </c>
      <c r="AE635" s="202">
        <f>O635-V635</f>
        <v>-1019</v>
      </c>
    </row>
    <row r="636" spans="1:31" hidden="1" outlineLevel="2" x14ac:dyDescent="0.3">
      <c r="A636" s="141"/>
      <c r="B636" s="328" t="s">
        <v>607</v>
      </c>
      <c r="C636" s="127" t="s">
        <v>40</v>
      </c>
      <c r="D636" s="259">
        <v>16</v>
      </c>
      <c r="E636" s="64"/>
      <c r="F636" s="265">
        <f t="shared" si="341"/>
        <v>21</v>
      </c>
      <c r="G636" s="216">
        <v>328.48</v>
      </c>
      <c r="H636" s="274"/>
      <c r="I636" s="238"/>
      <c r="J636" s="265"/>
      <c r="K636" s="193"/>
      <c r="L636" s="274">
        <v>6.31</v>
      </c>
      <c r="M636" s="238">
        <v>16</v>
      </c>
      <c r="N636" s="265">
        <f t="shared" si="342"/>
        <v>105</v>
      </c>
      <c r="O636" s="193">
        <f t="shared" si="343"/>
        <v>1687</v>
      </c>
      <c r="P636" s="272"/>
      <c r="Q636" s="236"/>
      <c r="R636" s="265"/>
      <c r="S636" s="193"/>
      <c r="T636" s="232">
        <f t="shared" ref="T636" si="360">M636</f>
        <v>16</v>
      </c>
      <c r="U636" s="289">
        <v>103.9</v>
      </c>
      <c r="V636" s="199">
        <f t="shared" ref="V636" si="361">T636*U636</f>
        <v>1662.4</v>
      </c>
      <c r="W636" s="232"/>
      <c r="X636" s="292"/>
      <c r="Y636" s="199"/>
      <c r="Z636" s="153"/>
      <c r="AA636" s="147"/>
      <c r="AB636" s="101">
        <f t="shared" si="351"/>
        <v>0</v>
      </c>
      <c r="AC636" s="226">
        <f t="shared" si="352"/>
        <v>0</v>
      </c>
      <c r="AD636" s="304">
        <f t="shared" si="359"/>
        <v>1.0999999999999943</v>
      </c>
      <c r="AE636" s="305">
        <f>O636-V636</f>
        <v>24.599999999999909</v>
      </c>
    </row>
    <row r="637" spans="1:31" ht="37.5" hidden="1" customHeight="1" outlineLevel="2" x14ac:dyDescent="0.3">
      <c r="A637" s="141"/>
      <c r="B637" s="328" t="s">
        <v>928</v>
      </c>
      <c r="C637" s="127" t="s">
        <v>5</v>
      </c>
      <c r="D637" s="259">
        <v>900</v>
      </c>
      <c r="E637" s="82" t="s">
        <v>929</v>
      </c>
      <c r="F637" s="265">
        <f t="shared" si="341"/>
        <v>858</v>
      </c>
      <c r="G637" s="216">
        <v>771956</v>
      </c>
      <c r="H637" s="274"/>
      <c r="I637" s="238"/>
      <c r="J637" s="265"/>
      <c r="K637" s="193"/>
      <c r="L637" s="274"/>
      <c r="M637" s="238"/>
      <c r="N637" s="265"/>
      <c r="O637" s="193"/>
      <c r="P637" s="272">
        <v>5.43</v>
      </c>
      <c r="Q637" s="236">
        <f t="shared" si="344"/>
        <v>900</v>
      </c>
      <c r="R637" s="265">
        <f t="shared" si="345"/>
        <v>3708</v>
      </c>
      <c r="S637" s="193">
        <f t="shared" si="346"/>
        <v>3336826</v>
      </c>
      <c r="T637" s="232"/>
      <c r="U637" s="292"/>
      <c r="V637" s="199"/>
      <c r="W637" s="232">
        <f t="shared" ref="W637:W642" si="362">Q637</f>
        <v>900</v>
      </c>
      <c r="X637" s="292">
        <v>2530.4</v>
      </c>
      <c r="Y637" s="199">
        <f t="shared" ref="Y637:Y642" si="363">W637*X637</f>
        <v>2277360</v>
      </c>
      <c r="Z637" s="153"/>
      <c r="AA637" s="147"/>
      <c r="AB637" s="101">
        <f t="shared" si="351"/>
        <v>0</v>
      </c>
      <c r="AC637" s="226">
        <f t="shared" si="352"/>
        <v>900</v>
      </c>
      <c r="AD637" s="304">
        <f t="shared" si="353"/>
        <v>1177.5999999999999</v>
      </c>
      <c r="AE637" s="305">
        <f>S637-Y637</f>
        <v>1059466</v>
      </c>
    </row>
    <row r="638" spans="1:31" ht="37.5" hidden="1" customHeight="1" outlineLevel="2" x14ac:dyDescent="0.3">
      <c r="A638" s="141"/>
      <c r="B638" s="328" t="s">
        <v>930</v>
      </c>
      <c r="C638" s="127" t="s">
        <v>5</v>
      </c>
      <c r="D638" s="259">
        <v>50</v>
      </c>
      <c r="E638" s="82" t="s">
        <v>931</v>
      </c>
      <c r="F638" s="265">
        <f t="shared" si="341"/>
        <v>616</v>
      </c>
      <c r="G638" s="216">
        <v>30809</v>
      </c>
      <c r="H638" s="274"/>
      <c r="I638" s="238"/>
      <c r="J638" s="265"/>
      <c r="K638" s="193"/>
      <c r="L638" s="274"/>
      <c r="M638" s="238"/>
      <c r="N638" s="265"/>
      <c r="O638" s="193"/>
      <c r="P638" s="272">
        <v>5.43</v>
      </c>
      <c r="Q638" s="236">
        <f t="shared" si="344"/>
        <v>50</v>
      </c>
      <c r="R638" s="265">
        <f t="shared" si="345"/>
        <v>2662</v>
      </c>
      <c r="S638" s="193">
        <f t="shared" si="346"/>
        <v>133093</v>
      </c>
      <c r="T638" s="230"/>
      <c r="U638" s="292"/>
      <c r="V638" s="199"/>
      <c r="W638" s="232">
        <f t="shared" si="362"/>
        <v>50</v>
      </c>
      <c r="X638" s="289">
        <v>792</v>
      </c>
      <c r="Y638" s="199">
        <f t="shared" si="363"/>
        <v>39600</v>
      </c>
      <c r="Z638" s="153"/>
      <c r="AA638" s="147"/>
      <c r="AB638" s="101">
        <f t="shared" si="351"/>
        <v>0</v>
      </c>
      <c r="AC638" s="226">
        <f t="shared" si="352"/>
        <v>50</v>
      </c>
      <c r="AD638" s="304">
        <f t="shared" si="353"/>
        <v>1870</v>
      </c>
      <c r="AE638" s="305">
        <f>S638-Y638</f>
        <v>93493</v>
      </c>
    </row>
    <row r="639" spans="1:31" ht="37.5" hidden="1" customHeight="1" outlineLevel="2" x14ac:dyDescent="0.3">
      <c r="A639" s="141"/>
      <c r="B639" s="328" t="s">
        <v>934</v>
      </c>
      <c r="C639" s="127" t="s">
        <v>364</v>
      </c>
      <c r="D639" s="259">
        <v>30</v>
      </c>
      <c r="E639" s="64"/>
      <c r="F639" s="265">
        <f t="shared" si="341"/>
        <v>32</v>
      </c>
      <c r="G639" s="216">
        <v>961</v>
      </c>
      <c r="H639" s="274"/>
      <c r="I639" s="238"/>
      <c r="J639" s="265"/>
      <c r="K639" s="193"/>
      <c r="L639" s="274"/>
      <c r="M639" s="238"/>
      <c r="N639" s="265"/>
      <c r="O639" s="193"/>
      <c r="P639" s="272">
        <v>5.43</v>
      </c>
      <c r="Q639" s="236">
        <f t="shared" si="344"/>
        <v>30</v>
      </c>
      <c r="R639" s="265">
        <f t="shared" si="345"/>
        <v>138</v>
      </c>
      <c r="S639" s="193">
        <f t="shared" si="346"/>
        <v>4148</v>
      </c>
      <c r="T639" s="230"/>
      <c r="U639" s="292"/>
      <c r="V639" s="199"/>
      <c r="W639" s="232">
        <f t="shared" si="362"/>
        <v>30</v>
      </c>
      <c r="X639" s="292">
        <v>190</v>
      </c>
      <c r="Y639" s="199">
        <f>W639*X639</f>
        <v>5700</v>
      </c>
      <c r="Z639" s="153"/>
      <c r="AA639" s="147"/>
      <c r="AB639" s="101">
        <f t="shared" si="351"/>
        <v>0</v>
      </c>
      <c r="AC639" s="226">
        <f t="shared" si="352"/>
        <v>30</v>
      </c>
      <c r="AD639" s="302">
        <f t="shared" si="353"/>
        <v>-52</v>
      </c>
      <c r="AE639" s="202">
        <f t="shared" ref="AE639:AE640" si="364">S639-Y639</f>
        <v>-1552</v>
      </c>
    </row>
    <row r="640" spans="1:31" hidden="1" outlineLevel="2" x14ac:dyDescent="0.3">
      <c r="A640" s="141"/>
      <c r="B640" s="328" t="s">
        <v>935</v>
      </c>
      <c r="C640" s="127" t="s">
        <v>364</v>
      </c>
      <c r="D640" s="259">
        <v>160</v>
      </c>
      <c r="E640" s="64"/>
      <c r="F640" s="265">
        <f t="shared" si="341"/>
        <v>115</v>
      </c>
      <c r="G640" s="216">
        <v>18361</v>
      </c>
      <c r="H640" s="274"/>
      <c r="I640" s="238"/>
      <c r="J640" s="265"/>
      <c r="K640" s="193"/>
      <c r="L640" s="274"/>
      <c r="M640" s="238"/>
      <c r="N640" s="265"/>
      <c r="O640" s="193"/>
      <c r="P640" s="272">
        <v>5.43</v>
      </c>
      <c r="Q640" s="236">
        <f t="shared" si="344"/>
        <v>160</v>
      </c>
      <c r="R640" s="265">
        <f t="shared" si="345"/>
        <v>497</v>
      </c>
      <c r="S640" s="193">
        <f t="shared" si="346"/>
        <v>79510</v>
      </c>
      <c r="T640" s="230"/>
      <c r="U640" s="292"/>
      <c r="V640" s="199"/>
      <c r="W640" s="232">
        <f t="shared" si="362"/>
        <v>160</v>
      </c>
      <c r="X640" s="292">
        <v>290</v>
      </c>
      <c r="Y640" s="199">
        <f>W640*X640</f>
        <v>46400</v>
      </c>
      <c r="Z640" s="153"/>
      <c r="AA640" s="147"/>
      <c r="AB640" s="101">
        <f t="shared" si="351"/>
        <v>0</v>
      </c>
      <c r="AC640" s="226">
        <f t="shared" si="352"/>
        <v>160</v>
      </c>
      <c r="AD640" s="304">
        <f t="shared" si="353"/>
        <v>207</v>
      </c>
      <c r="AE640" s="305">
        <f t="shared" si="364"/>
        <v>33110</v>
      </c>
    </row>
    <row r="641" spans="1:31" ht="36" hidden="1" customHeight="1" outlineLevel="2" x14ac:dyDescent="0.3">
      <c r="A641" s="141"/>
      <c r="B641" s="328" t="s">
        <v>936</v>
      </c>
      <c r="C641" s="127" t="s">
        <v>40</v>
      </c>
      <c r="D641" s="259">
        <v>24</v>
      </c>
      <c r="E641" s="64"/>
      <c r="F641" s="265">
        <f t="shared" si="341"/>
        <v>42</v>
      </c>
      <c r="G641" s="216">
        <v>1006</v>
      </c>
      <c r="H641" s="274"/>
      <c r="I641" s="238"/>
      <c r="J641" s="265"/>
      <c r="K641" s="193"/>
      <c r="L641" s="274"/>
      <c r="M641" s="238"/>
      <c r="N641" s="265"/>
      <c r="O641" s="193"/>
      <c r="P641" s="272">
        <v>5.43</v>
      </c>
      <c r="Q641" s="236">
        <f t="shared" si="344"/>
        <v>24</v>
      </c>
      <c r="R641" s="265">
        <f t="shared" si="345"/>
        <v>181</v>
      </c>
      <c r="S641" s="193">
        <f t="shared" si="346"/>
        <v>4356</v>
      </c>
      <c r="T641" s="230"/>
      <c r="U641" s="292"/>
      <c r="V641" s="199"/>
      <c r="W641" s="232">
        <f t="shared" si="362"/>
        <v>24</v>
      </c>
      <c r="X641" s="292">
        <v>170</v>
      </c>
      <c r="Y641" s="199">
        <f t="shared" si="363"/>
        <v>4080</v>
      </c>
      <c r="Z641" s="153"/>
      <c r="AA641" s="147"/>
      <c r="AB641" s="101">
        <f t="shared" si="351"/>
        <v>0</v>
      </c>
      <c r="AC641" s="226">
        <f t="shared" si="352"/>
        <v>24</v>
      </c>
      <c r="AD641" s="304">
        <f t="shared" si="353"/>
        <v>11</v>
      </c>
      <c r="AE641" s="305">
        <f>S641-Y641</f>
        <v>276</v>
      </c>
    </row>
    <row r="642" spans="1:31" hidden="1" outlineLevel="2" x14ac:dyDescent="0.3">
      <c r="A642" s="141"/>
      <c r="B642" s="328" t="s">
        <v>608</v>
      </c>
      <c r="C642" s="127" t="s">
        <v>5</v>
      </c>
      <c r="D642" s="259">
        <v>30</v>
      </c>
      <c r="E642" s="64"/>
      <c r="F642" s="265">
        <f t="shared" si="341"/>
        <v>10</v>
      </c>
      <c r="G642" s="216">
        <v>304.77</v>
      </c>
      <c r="H642" s="274"/>
      <c r="I642" s="238"/>
      <c r="J642" s="265"/>
      <c r="K642" s="193"/>
      <c r="L642" s="274"/>
      <c r="M642" s="238"/>
      <c r="N642" s="265"/>
      <c r="O642" s="193"/>
      <c r="P642" s="272">
        <v>6.31</v>
      </c>
      <c r="Q642" s="236">
        <f t="shared" si="344"/>
        <v>30</v>
      </c>
      <c r="R642" s="265">
        <f t="shared" si="345"/>
        <v>50</v>
      </c>
      <c r="S642" s="193">
        <f t="shared" si="346"/>
        <v>1506</v>
      </c>
      <c r="T642" s="230"/>
      <c r="U642" s="292"/>
      <c r="V642" s="199"/>
      <c r="W642" s="232">
        <f t="shared" si="362"/>
        <v>30</v>
      </c>
      <c r="X642" s="292">
        <v>80</v>
      </c>
      <c r="Y642" s="199">
        <f t="shared" si="363"/>
        <v>2400</v>
      </c>
      <c r="Z642" s="153"/>
      <c r="AA642" s="147"/>
      <c r="AB642" s="101">
        <f t="shared" si="351"/>
        <v>0</v>
      </c>
      <c r="AC642" s="226">
        <f t="shared" si="352"/>
        <v>30</v>
      </c>
      <c r="AD642" s="302">
        <f t="shared" si="353"/>
        <v>-30</v>
      </c>
      <c r="AE642" s="202">
        <f>S642-Y642</f>
        <v>-894</v>
      </c>
    </row>
    <row r="643" spans="1:31" ht="32.25" hidden="1" customHeight="1" outlineLevel="2" x14ac:dyDescent="0.3">
      <c r="A643" s="141"/>
      <c r="B643" s="328" t="s">
        <v>956</v>
      </c>
      <c r="C643" s="127" t="s">
        <v>40</v>
      </c>
      <c r="D643" s="259">
        <v>5</v>
      </c>
      <c r="E643" s="1132" t="s">
        <v>960</v>
      </c>
      <c r="F643" s="1026">
        <f>ROUND(G643/0.219,0)</f>
        <v>11572</v>
      </c>
      <c r="G643" s="1151">
        <v>2534.35</v>
      </c>
      <c r="H643" s="1026"/>
      <c r="I643" s="1135"/>
      <c r="J643" s="1026"/>
      <c r="K643" s="1008"/>
      <c r="L643" s="1138">
        <v>6.31</v>
      </c>
      <c r="M643" s="1126">
        <v>0.21</v>
      </c>
      <c r="N643" s="1026">
        <f>ROUND(F643*L643*0.7958,0)</f>
        <v>58109</v>
      </c>
      <c r="O643" s="1008">
        <f>ROUND(M643*L643*F643*0.7958,0)</f>
        <v>12203</v>
      </c>
      <c r="P643" s="1138">
        <v>6.31</v>
      </c>
      <c r="Q643" s="1126">
        <f>0.219-M643</f>
        <v>9.000000000000008E-3</v>
      </c>
      <c r="R643" s="1026">
        <f t="shared" si="345"/>
        <v>58109</v>
      </c>
      <c r="S643" s="1008">
        <f t="shared" si="346"/>
        <v>523</v>
      </c>
      <c r="T643" s="1030"/>
      <c r="U643" s="1042"/>
      <c r="V643" s="1005"/>
      <c r="W643" s="1030">
        <v>0.219</v>
      </c>
      <c r="X643" s="1033">
        <v>135525</v>
      </c>
      <c r="Y643" s="1005">
        <f>W643*X643</f>
        <v>29679.974999999999</v>
      </c>
      <c r="Z643" s="153"/>
      <c r="AA643" s="147"/>
      <c r="AB643" s="101">
        <f t="shared" si="351"/>
        <v>0</v>
      </c>
      <c r="AC643" s="226">
        <f t="shared" si="352"/>
        <v>0.219</v>
      </c>
      <c r="AD643" s="1036"/>
      <c r="AE643" s="1039">
        <f>O643+S643-Y643-Y644-Y645-Y646-Y647-Y64701</f>
        <v>-16953.974999999999</v>
      </c>
    </row>
    <row r="644" spans="1:31" ht="33" hidden="1" customHeight="1" outlineLevel="2" x14ac:dyDescent="0.3">
      <c r="A644" s="141"/>
      <c r="B644" s="328" t="s">
        <v>958</v>
      </c>
      <c r="C644" s="127" t="s">
        <v>40</v>
      </c>
      <c r="D644" s="259">
        <v>13</v>
      </c>
      <c r="E644" s="1133"/>
      <c r="F644" s="1100"/>
      <c r="G644" s="1186"/>
      <c r="H644" s="1100"/>
      <c r="I644" s="1136"/>
      <c r="J644" s="1100"/>
      <c r="K644" s="1077"/>
      <c r="L644" s="1139">
        <v>6.31</v>
      </c>
      <c r="M644" s="1127">
        <v>0.21</v>
      </c>
      <c r="N644" s="1100">
        <f t="shared" ref="N644:N646" si="365">ROUND(F644*L644*0.7958,0)</f>
        <v>0</v>
      </c>
      <c r="O644" s="1077">
        <f t="shared" ref="O644:O646" si="366">ROUND(M644*L644*F644*0.7958,0)</f>
        <v>0</v>
      </c>
      <c r="P644" s="1139">
        <v>6.31</v>
      </c>
      <c r="Q644" s="1127">
        <f t="shared" ref="Q644:Q646" si="367">D644-I644-M644</f>
        <v>12.79</v>
      </c>
      <c r="R644" s="1100">
        <f t="shared" ref="R644:R646" si="368">ROUND(F644*P644*0.7958,0)</f>
        <v>0</v>
      </c>
      <c r="S644" s="1077">
        <f t="shared" ref="S644:S646" si="369">ROUND(Q644*P644*F644*0.7958,0)</f>
        <v>0</v>
      </c>
      <c r="T644" s="1031"/>
      <c r="U644" s="1043"/>
      <c r="V644" s="1006"/>
      <c r="W644" s="1031"/>
      <c r="X644" s="1034"/>
      <c r="Y644" s="1006"/>
      <c r="Z644" s="153"/>
      <c r="AA644" s="147"/>
      <c r="AB644" s="101">
        <f t="shared" ref="AB644:AB646" si="370">ROUND(Z644*AA644,0)</f>
        <v>0</v>
      </c>
      <c r="AC644" s="226">
        <f t="shared" si="352"/>
        <v>0</v>
      </c>
      <c r="AD644" s="1037"/>
      <c r="AE644" s="1040"/>
    </row>
    <row r="645" spans="1:31" ht="21.75" hidden="1" customHeight="1" outlineLevel="2" x14ac:dyDescent="0.3">
      <c r="A645" s="141"/>
      <c r="B645" s="328" t="s">
        <v>952</v>
      </c>
      <c r="C645" s="127" t="s">
        <v>40</v>
      </c>
      <c r="D645" s="259">
        <v>1</v>
      </c>
      <c r="E645" s="1133"/>
      <c r="F645" s="1100"/>
      <c r="G645" s="1186"/>
      <c r="H645" s="1100"/>
      <c r="I645" s="1136"/>
      <c r="J645" s="1100"/>
      <c r="K645" s="1077"/>
      <c r="L645" s="1139">
        <v>6.31</v>
      </c>
      <c r="M645" s="1127">
        <v>0.21</v>
      </c>
      <c r="N645" s="1100">
        <f t="shared" si="365"/>
        <v>0</v>
      </c>
      <c r="O645" s="1077">
        <f t="shared" si="366"/>
        <v>0</v>
      </c>
      <c r="P645" s="1139">
        <v>6.31</v>
      </c>
      <c r="Q645" s="1127">
        <f t="shared" si="367"/>
        <v>0.79</v>
      </c>
      <c r="R645" s="1100">
        <f t="shared" si="368"/>
        <v>0</v>
      </c>
      <c r="S645" s="1077">
        <f t="shared" si="369"/>
        <v>0</v>
      </c>
      <c r="T645" s="1031"/>
      <c r="U645" s="1043"/>
      <c r="V645" s="1006"/>
      <c r="W645" s="1031"/>
      <c r="X645" s="1034"/>
      <c r="Y645" s="1006"/>
      <c r="Z645" s="153"/>
      <c r="AA645" s="147"/>
      <c r="AB645" s="101">
        <f t="shared" si="370"/>
        <v>0</v>
      </c>
      <c r="AC645" s="226">
        <f t="shared" si="352"/>
        <v>0</v>
      </c>
      <c r="AD645" s="1037"/>
      <c r="AE645" s="1040"/>
    </row>
    <row r="646" spans="1:31" ht="30.75" hidden="1" customHeight="1" outlineLevel="2" x14ac:dyDescent="0.3">
      <c r="A646" s="141"/>
      <c r="B646" s="328" t="s">
        <v>957</v>
      </c>
      <c r="C646" s="127" t="s">
        <v>40</v>
      </c>
      <c r="D646" s="259">
        <v>12</v>
      </c>
      <c r="E646" s="1133"/>
      <c r="F646" s="1100"/>
      <c r="G646" s="1186"/>
      <c r="H646" s="1100"/>
      <c r="I646" s="1136"/>
      <c r="J646" s="1100"/>
      <c r="K646" s="1077"/>
      <c r="L646" s="1139">
        <v>6.31</v>
      </c>
      <c r="M646" s="1127">
        <v>0.21</v>
      </c>
      <c r="N646" s="1100">
        <f t="shared" si="365"/>
        <v>0</v>
      </c>
      <c r="O646" s="1077">
        <f t="shared" si="366"/>
        <v>0</v>
      </c>
      <c r="P646" s="1139">
        <v>6.31</v>
      </c>
      <c r="Q646" s="1127">
        <f t="shared" si="367"/>
        <v>11.79</v>
      </c>
      <c r="R646" s="1100">
        <f t="shared" si="368"/>
        <v>0</v>
      </c>
      <c r="S646" s="1077">
        <f t="shared" si="369"/>
        <v>0</v>
      </c>
      <c r="T646" s="1031"/>
      <c r="U646" s="1043"/>
      <c r="V646" s="1006"/>
      <c r="W646" s="1031"/>
      <c r="X646" s="1034"/>
      <c r="Y646" s="1006"/>
      <c r="Z646" s="153"/>
      <c r="AA646" s="147"/>
      <c r="AB646" s="101">
        <f t="shared" si="370"/>
        <v>0</v>
      </c>
      <c r="AC646" s="226">
        <f t="shared" si="352"/>
        <v>0</v>
      </c>
      <c r="AD646" s="1037"/>
      <c r="AE646" s="1040"/>
    </row>
    <row r="647" spans="1:31" ht="21.75" hidden="1" customHeight="1" outlineLevel="2" x14ac:dyDescent="0.3">
      <c r="A647" s="141"/>
      <c r="B647" s="328" t="s">
        <v>951</v>
      </c>
      <c r="C647" s="127" t="s">
        <v>40</v>
      </c>
      <c r="D647" s="259">
        <v>18</v>
      </c>
      <c r="E647" s="1133"/>
      <c r="F647" s="1100"/>
      <c r="G647" s="1186"/>
      <c r="H647" s="1100"/>
      <c r="I647" s="1136"/>
      <c r="J647" s="1100"/>
      <c r="K647" s="1077"/>
      <c r="L647" s="1139">
        <v>6.31</v>
      </c>
      <c r="M647" s="1127">
        <v>0.21</v>
      </c>
      <c r="N647" s="1100">
        <f t="shared" ref="N647" si="371">ROUND(F647*L647*0.7958,0)</f>
        <v>0</v>
      </c>
      <c r="O647" s="1077">
        <f t="shared" ref="O647" si="372">ROUND(M647*L647*F647*0.7958,0)</f>
        <v>0</v>
      </c>
      <c r="P647" s="1139">
        <v>6.31</v>
      </c>
      <c r="Q647" s="1127">
        <f t="shared" ref="Q647" si="373">D647-I647-M647</f>
        <v>17.79</v>
      </c>
      <c r="R647" s="1100">
        <f t="shared" ref="R647" si="374">ROUND(F647*P647*0.7958,0)</f>
        <v>0</v>
      </c>
      <c r="S647" s="1077">
        <f t="shared" ref="S647" si="375">ROUND(Q647*P647*F647*0.7958,0)</f>
        <v>0</v>
      </c>
      <c r="T647" s="1031"/>
      <c r="U647" s="1043"/>
      <c r="V647" s="1006"/>
      <c r="W647" s="1031"/>
      <c r="X647" s="1034"/>
      <c r="Y647" s="1006"/>
      <c r="Z647" s="153"/>
      <c r="AA647" s="147"/>
      <c r="AB647" s="101">
        <f t="shared" ref="AB647" si="376">ROUND(Z647*AA647,0)</f>
        <v>0</v>
      </c>
      <c r="AC647" s="226">
        <f t="shared" si="352"/>
        <v>0</v>
      </c>
      <c r="AD647" s="1037"/>
      <c r="AE647" s="1040"/>
    </row>
    <row r="648" spans="1:31" ht="32.25" hidden="1" customHeight="1" outlineLevel="2" x14ac:dyDescent="0.3">
      <c r="A648" s="141"/>
      <c r="B648" s="328" t="s">
        <v>959</v>
      </c>
      <c r="C648" s="127" t="s">
        <v>40</v>
      </c>
      <c r="D648" s="259">
        <v>2</v>
      </c>
      <c r="E648" s="1134"/>
      <c r="F648" s="1027"/>
      <c r="G648" s="1152"/>
      <c r="H648" s="1027"/>
      <c r="I648" s="1137"/>
      <c r="J648" s="1027"/>
      <c r="K648" s="1009"/>
      <c r="L648" s="1140">
        <v>6.31</v>
      </c>
      <c r="M648" s="1128">
        <v>0.21</v>
      </c>
      <c r="N648" s="1027">
        <f t="shared" ref="N648" si="377">ROUND(F648*L648*0.7958,0)</f>
        <v>0</v>
      </c>
      <c r="O648" s="1009">
        <f t="shared" ref="O648" si="378">ROUND(M648*L648*F648*0.7958,0)</f>
        <v>0</v>
      </c>
      <c r="P648" s="1140">
        <v>6.31</v>
      </c>
      <c r="Q648" s="1128">
        <f t="shared" ref="Q648" si="379">D648-I648-M648</f>
        <v>1.79</v>
      </c>
      <c r="R648" s="1027">
        <f t="shared" ref="R648" si="380">ROUND(F648*P648*0.7958,0)</f>
        <v>0</v>
      </c>
      <c r="S648" s="1009">
        <f t="shared" ref="S648" si="381">ROUND(Q648*P648*F648*0.7958,0)</f>
        <v>0</v>
      </c>
      <c r="T648" s="1032"/>
      <c r="U648" s="1044"/>
      <c r="V648" s="1007"/>
      <c r="W648" s="1032"/>
      <c r="X648" s="1035"/>
      <c r="Y648" s="1007"/>
      <c r="Z648" s="153"/>
      <c r="AA648" s="147"/>
      <c r="AB648" s="101">
        <f t="shared" ref="AB648" si="382">ROUND(Z648*AA648,0)</f>
        <v>0</v>
      </c>
      <c r="AC648" s="226">
        <f t="shared" si="352"/>
        <v>0</v>
      </c>
      <c r="AD648" s="1038"/>
      <c r="AE648" s="1041"/>
    </row>
    <row r="649" spans="1:31" hidden="1" outlineLevel="2" x14ac:dyDescent="0.3">
      <c r="A649" s="141"/>
      <c r="B649" s="328" t="s">
        <v>609</v>
      </c>
      <c r="C649" s="127" t="s">
        <v>364</v>
      </c>
      <c r="D649" s="259">
        <v>6</v>
      </c>
      <c r="E649" s="64"/>
      <c r="F649" s="265">
        <f t="shared" si="341"/>
        <v>528</v>
      </c>
      <c r="G649" s="216">
        <v>3169</v>
      </c>
      <c r="H649" s="274"/>
      <c r="I649" s="238"/>
      <c r="J649" s="265"/>
      <c r="K649" s="193"/>
      <c r="L649" s="274">
        <v>5.43</v>
      </c>
      <c r="M649" s="238">
        <v>6</v>
      </c>
      <c r="N649" s="265">
        <f t="shared" si="342"/>
        <v>2282</v>
      </c>
      <c r="O649" s="193">
        <f t="shared" si="343"/>
        <v>13690</v>
      </c>
      <c r="P649" s="272"/>
      <c r="Q649" s="236"/>
      <c r="R649" s="265"/>
      <c r="S649" s="193"/>
      <c r="T649" s="232">
        <f>M649</f>
        <v>6</v>
      </c>
      <c r="U649" s="296">
        <v>4610</v>
      </c>
      <c r="V649" s="199">
        <f t="shared" ref="V649" si="383">T649*U649</f>
        <v>27660</v>
      </c>
      <c r="W649" s="232"/>
      <c r="X649" s="290"/>
      <c r="Y649" s="199"/>
      <c r="Z649" s="153"/>
      <c r="AA649" s="147"/>
      <c r="AB649" s="101">
        <f t="shared" si="351"/>
        <v>0</v>
      </c>
      <c r="AC649" s="226">
        <f t="shared" si="352"/>
        <v>0</v>
      </c>
      <c r="AD649" s="304">
        <f>N649-U649</f>
        <v>-2328</v>
      </c>
      <c r="AE649" s="305">
        <f>O649-V649</f>
        <v>-13970</v>
      </c>
    </row>
    <row r="650" spans="1:31" ht="30" hidden="1" outlineLevel="2" x14ac:dyDescent="0.3">
      <c r="A650" s="141"/>
      <c r="B650" s="328" t="s">
        <v>954</v>
      </c>
      <c r="C650" s="127" t="s">
        <v>26</v>
      </c>
      <c r="D650" s="259">
        <v>4</v>
      </c>
      <c r="E650" s="64"/>
      <c r="F650" s="265">
        <f t="shared" si="341"/>
        <v>2300</v>
      </c>
      <c r="G650" s="216">
        <v>9201</v>
      </c>
      <c r="H650" s="274"/>
      <c r="I650" s="238"/>
      <c r="J650" s="265"/>
      <c r="K650" s="193"/>
      <c r="L650" s="274"/>
      <c r="M650" s="238"/>
      <c r="N650" s="265"/>
      <c r="O650" s="193"/>
      <c r="P650" s="272">
        <v>5.43</v>
      </c>
      <c r="Q650" s="236">
        <f t="shared" si="344"/>
        <v>4</v>
      </c>
      <c r="R650" s="265">
        <f t="shared" si="345"/>
        <v>9939</v>
      </c>
      <c r="S650" s="193">
        <f t="shared" si="346"/>
        <v>39755</v>
      </c>
      <c r="T650" s="232"/>
      <c r="U650" s="290"/>
      <c r="V650" s="199"/>
      <c r="W650" s="232">
        <f t="shared" ref="W650:W664" si="384">Q650</f>
        <v>4</v>
      </c>
      <c r="X650" s="289">
        <v>8760</v>
      </c>
      <c r="Y650" s="199">
        <f>W650*X650</f>
        <v>35040</v>
      </c>
      <c r="Z650" s="153"/>
      <c r="AA650" s="147"/>
      <c r="AB650" s="101">
        <f t="shared" si="351"/>
        <v>0</v>
      </c>
      <c r="AC650" s="226">
        <f t="shared" si="352"/>
        <v>4</v>
      </c>
      <c r="AD650" s="304">
        <f t="shared" si="353"/>
        <v>1179</v>
      </c>
      <c r="AE650" s="305">
        <f>S650-Y650</f>
        <v>4715</v>
      </c>
    </row>
    <row r="651" spans="1:31" ht="30" hidden="1" outlineLevel="2" x14ac:dyDescent="0.3">
      <c r="A651" s="141"/>
      <c r="B651" s="328" t="s">
        <v>955</v>
      </c>
      <c r="C651" s="127" t="s">
        <v>26</v>
      </c>
      <c r="D651" s="259">
        <v>4</v>
      </c>
      <c r="E651" s="64"/>
      <c r="F651" s="265">
        <f t="shared" si="341"/>
        <v>2946</v>
      </c>
      <c r="G651" s="216">
        <v>11782</v>
      </c>
      <c r="H651" s="274"/>
      <c r="I651" s="238"/>
      <c r="J651" s="265"/>
      <c r="K651" s="193"/>
      <c r="L651" s="274"/>
      <c r="M651" s="238"/>
      <c r="N651" s="265"/>
      <c r="O651" s="193"/>
      <c r="P651" s="272">
        <v>5.43</v>
      </c>
      <c r="Q651" s="236">
        <f t="shared" si="344"/>
        <v>4</v>
      </c>
      <c r="R651" s="265">
        <f t="shared" si="345"/>
        <v>12730</v>
      </c>
      <c r="S651" s="193">
        <f t="shared" si="346"/>
        <v>50921</v>
      </c>
      <c r="T651" s="232"/>
      <c r="U651" s="290"/>
      <c r="V651" s="199"/>
      <c r="W651" s="232">
        <f t="shared" si="384"/>
        <v>4</v>
      </c>
      <c r="X651" s="289">
        <v>13664</v>
      </c>
      <c r="Y651" s="199">
        <f t="shared" ref="Y651:Y653" si="385">W651*X651</f>
        <v>54656</v>
      </c>
      <c r="Z651" s="153"/>
      <c r="AA651" s="147"/>
      <c r="AB651" s="101">
        <f t="shared" si="351"/>
        <v>0</v>
      </c>
      <c r="AC651" s="226">
        <f t="shared" si="352"/>
        <v>4</v>
      </c>
      <c r="AD651" s="302">
        <f t="shared" si="353"/>
        <v>-934</v>
      </c>
      <c r="AE651" s="202">
        <f>S651-Y651</f>
        <v>-3735</v>
      </c>
    </row>
    <row r="652" spans="1:31" ht="46.5" hidden="1" customHeight="1" outlineLevel="2" x14ac:dyDescent="0.3">
      <c r="A652" s="141"/>
      <c r="B652" s="328" t="s">
        <v>610</v>
      </c>
      <c r="C652" s="127" t="s">
        <v>26</v>
      </c>
      <c r="D652" s="259">
        <v>4</v>
      </c>
      <c r="E652" s="64"/>
      <c r="F652" s="265">
        <f t="shared" si="341"/>
        <v>3771</v>
      </c>
      <c r="G652" s="216">
        <v>15085</v>
      </c>
      <c r="H652" s="274"/>
      <c r="I652" s="238"/>
      <c r="J652" s="265"/>
      <c r="K652" s="193"/>
      <c r="L652" s="274"/>
      <c r="M652" s="238"/>
      <c r="N652" s="265"/>
      <c r="O652" s="193"/>
      <c r="P652" s="272">
        <v>5.43</v>
      </c>
      <c r="Q652" s="236">
        <f t="shared" si="344"/>
        <v>4</v>
      </c>
      <c r="R652" s="265">
        <f t="shared" si="345"/>
        <v>16295</v>
      </c>
      <c r="S652" s="193">
        <f t="shared" si="346"/>
        <v>65181</v>
      </c>
      <c r="T652" s="232"/>
      <c r="U652" s="290"/>
      <c r="V652" s="199"/>
      <c r="W652" s="232">
        <f t="shared" si="384"/>
        <v>4</v>
      </c>
      <c r="X652" s="289">
        <v>17648</v>
      </c>
      <c r="Y652" s="199">
        <f t="shared" si="385"/>
        <v>70592</v>
      </c>
      <c r="Z652" s="153"/>
      <c r="AA652" s="147"/>
      <c r="AB652" s="101">
        <f t="shared" si="351"/>
        <v>0</v>
      </c>
      <c r="AC652" s="226">
        <f t="shared" si="352"/>
        <v>4</v>
      </c>
      <c r="AD652" s="302">
        <f>R652-X652</f>
        <v>-1353</v>
      </c>
      <c r="AE652" s="202">
        <f>S652-Y652</f>
        <v>-5411</v>
      </c>
    </row>
    <row r="653" spans="1:31" hidden="1" outlineLevel="2" x14ac:dyDescent="0.3">
      <c r="A653" s="141"/>
      <c r="B653" s="328" t="s">
        <v>611</v>
      </c>
      <c r="C653" s="127" t="s">
        <v>40</v>
      </c>
      <c r="D653" s="259">
        <v>1</v>
      </c>
      <c r="E653" s="64"/>
      <c r="F653" s="265">
        <f t="shared" si="341"/>
        <v>625</v>
      </c>
      <c r="G653" s="216">
        <v>625.49</v>
      </c>
      <c r="H653" s="274"/>
      <c r="I653" s="238"/>
      <c r="J653" s="265"/>
      <c r="K653" s="193"/>
      <c r="L653" s="274"/>
      <c r="M653" s="238"/>
      <c r="N653" s="265"/>
      <c r="O653" s="193"/>
      <c r="P653" s="272">
        <v>6.31</v>
      </c>
      <c r="Q653" s="236">
        <f t="shared" si="344"/>
        <v>1</v>
      </c>
      <c r="R653" s="265">
        <f t="shared" si="345"/>
        <v>3138</v>
      </c>
      <c r="S653" s="193">
        <f t="shared" si="346"/>
        <v>3138</v>
      </c>
      <c r="T653" s="232"/>
      <c r="U653" s="290"/>
      <c r="V653" s="199"/>
      <c r="W653" s="232">
        <f t="shared" si="384"/>
        <v>1</v>
      </c>
      <c r="X653" s="290">
        <v>762.4</v>
      </c>
      <c r="Y653" s="199">
        <f t="shared" si="385"/>
        <v>762.4</v>
      </c>
      <c r="Z653" s="153"/>
      <c r="AA653" s="147"/>
      <c r="AB653" s="101">
        <f t="shared" si="351"/>
        <v>0</v>
      </c>
      <c r="AC653" s="226">
        <f t="shared" si="352"/>
        <v>1</v>
      </c>
      <c r="AD653" s="304">
        <f>R653-X653</f>
        <v>2375.6</v>
      </c>
      <c r="AE653" s="305">
        <f>S653-Y653</f>
        <v>2375.6</v>
      </c>
    </row>
    <row r="654" spans="1:31" hidden="1" outlineLevel="2" x14ac:dyDescent="0.3">
      <c r="A654" s="141"/>
      <c r="B654" s="328" t="s">
        <v>612</v>
      </c>
      <c r="C654" s="127" t="s">
        <v>40</v>
      </c>
      <c r="D654" s="259">
        <v>8</v>
      </c>
      <c r="E654" s="64"/>
      <c r="F654" s="265">
        <f t="shared" si="341"/>
        <v>28</v>
      </c>
      <c r="G654" s="216">
        <v>222.32</v>
      </c>
      <c r="H654" s="274"/>
      <c r="I654" s="238"/>
      <c r="J654" s="265"/>
      <c r="K654" s="193"/>
      <c r="L654" s="274">
        <v>6.31</v>
      </c>
      <c r="M654" s="238">
        <v>8</v>
      </c>
      <c r="N654" s="265">
        <f t="shared" si="342"/>
        <v>141</v>
      </c>
      <c r="O654" s="193">
        <f t="shared" si="343"/>
        <v>1125</v>
      </c>
      <c r="P654" s="272"/>
      <c r="Q654" s="236"/>
      <c r="R654" s="265"/>
      <c r="S654" s="193"/>
      <c r="T654" s="232">
        <f>M654</f>
        <v>8</v>
      </c>
      <c r="U654" s="290">
        <v>280.5</v>
      </c>
      <c r="V654" s="199">
        <f t="shared" ref="V654" si="386">T654*U654</f>
        <v>2244</v>
      </c>
      <c r="W654" s="232"/>
      <c r="X654" s="290"/>
      <c r="Y654" s="199"/>
      <c r="Z654" s="153"/>
      <c r="AA654" s="147"/>
      <c r="AB654" s="101">
        <f t="shared" si="351"/>
        <v>0</v>
      </c>
      <c r="AC654" s="226">
        <f t="shared" si="352"/>
        <v>0</v>
      </c>
      <c r="AD654" s="302">
        <f>N654-U654</f>
        <v>-139.5</v>
      </c>
      <c r="AE654" s="202">
        <f>O654-V654</f>
        <v>-1119</v>
      </c>
    </row>
    <row r="655" spans="1:31" hidden="1" outlineLevel="2" x14ac:dyDescent="0.3">
      <c r="A655" s="141"/>
      <c r="B655" s="328" t="s">
        <v>949</v>
      </c>
      <c r="C655" s="127" t="s">
        <v>40</v>
      </c>
      <c r="D655" s="259">
        <v>6</v>
      </c>
      <c r="E655" s="64"/>
      <c r="F655" s="265">
        <f t="shared" si="341"/>
        <v>348</v>
      </c>
      <c r="G655" s="216">
        <v>2090.88</v>
      </c>
      <c r="H655" s="274"/>
      <c r="I655" s="238"/>
      <c r="J655" s="265"/>
      <c r="K655" s="193"/>
      <c r="L655" s="274"/>
      <c r="M655" s="238"/>
      <c r="N655" s="265"/>
      <c r="O655" s="193"/>
      <c r="P655" s="272">
        <v>6.31</v>
      </c>
      <c r="Q655" s="236">
        <f t="shared" si="344"/>
        <v>6</v>
      </c>
      <c r="R655" s="265">
        <f t="shared" si="345"/>
        <v>1747</v>
      </c>
      <c r="S655" s="193">
        <f t="shared" si="346"/>
        <v>10485</v>
      </c>
      <c r="T655" s="232"/>
      <c r="U655" s="290"/>
      <c r="V655" s="199"/>
      <c r="W655" s="232">
        <f t="shared" si="384"/>
        <v>6</v>
      </c>
      <c r="X655" s="289">
        <v>852</v>
      </c>
      <c r="Y655" s="199">
        <f>W655*X655</f>
        <v>5112</v>
      </c>
      <c r="Z655" s="153"/>
      <c r="AA655" s="147"/>
      <c r="AB655" s="101">
        <f t="shared" si="351"/>
        <v>0</v>
      </c>
      <c r="AC655" s="226">
        <f t="shared" si="352"/>
        <v>6</v>
      </c>
      <c r="AD655" s="304">
        <f>R655-X655</f>
        <v>895</v>
      </c>
      <c r="AE655" s="305">
        <f>S655-Y655</f>
        <v>5373</v>
      </c>
    </row>
    <row r="656" spans="1:31" hidden="1" outlineLevel="2" x14ac:dyDescent="0.3">
      <c r="B656" s="328" t="s">
        <v>613</v>
      </c>
      <c r="C656" s="127" t="s">
        <v>40</v>
      </c>
      <c r="D656" s="259">
        <v>12</v>
      </c>
      <c r="E656" s="64"/>
      <c r="F656" s="265">
        <f t="shared" si="341"/>
        <v>38</v>
      </c>
      <c r="G656" s="216">
        <v>458.88</v>
      </c>
      <c r="H656" s="274"/>
      <c r="I656" s="238"/>
      <c r="J656" s="265"/>
      <c r="K656" s="193"/>
      <c r="L656" s="274"/>
      <c r="M656" s="238"/>
      <c r="N656" s="265"/>
      <c r="O656" s="193"/>
      <c r="P656" s="272">
        <v>6.31</v>
      </c>
      <c r="Q656" s="236">
        <f t="shared" si="344"/>
        <v>12</v>
      </c>
      <c r="R656" s="265">
        <f t="shared" si="345"/>
        <v>191</v>
      </c>
      <c r="S656" s="193">
        <f t="shared" si="346"/>
        <v>2290</v>
      </c>
      <c r="T656" s="232"/>
      <c r="U656" s="290"/>
      <c r="V656" s="199"/>
      <c r="W656" s="232">
        <f t="shared" si="384"/>
        <v>12</v>
      </c>
      <c r="X656" s="289">
        <v>591</v>
      </c>
      <c r="Y656" s="199">
        <f t="shared" ref="Y656:Y657" si="387">W656*X656</f>
        <v>7092</v>
      </c>
      <c r="Z656" s="153"/>
      <c r="AA656" s="147"/>
      <c r="AB656" s="101">
        <f t="shared" si="351"/>
        <v>0</v>
      </c>
      <c r="AC656" s="226">
        <f t="shared" si="352"/>
        <v>12</v>
      </c>
      <c r="AD656" s="302">
        <f>R656-X656</f>
        <v>-400</v>
      </c>
      <c r="AE656" s="202">
        <f>S656-Y656</f>
        <v>-4802</v>
      </c>
    </row>
    <row r="657" spans="1:31" hidden="1" outlineLevel="2" x14ac:dyDescent="0.3">
      <c r="B657" s="328" t="s">
        <v>614</v>
      </c>
      <c r="C657" s="127" t="s">
        <v>40</v>
      </c>
      <c r="D657" s="259">
        <v>120</v>
      </c>
      <c r="E657" s="64"/>
      <c r="F657" s="265">
        <f t="shared" si="341"/>
        <v>40</v>
      </c>
      <c r="G657" s="216">
        <v>4775.63</v>
      </c>
      <c r="H657" s="274"/>
      <c r="I657" s="238"/>
      <c r="J657" s="265"/>
      <c r="K657" s="193"/>
      <c r="L657" s="274">
        <v>6.31</v>
      </c>
      <c r="M657" s="238">
        <v>26.52</v>
      </c>
      <c r="N657" s="265">
        <f t="shared" si="342"/>
        <v>201</v>
      </c>
      <c r="O657" s="193">
        <f t="shared" si="343"/>
        <v>5327</v>
      </c>
      <c r="P657" s="272">
        <v>6.31</v>
      </c>
      <c r="Q657" s="236">
        <f>D657-I657-M657</f>
        <v>93.48</v>
      </c>
      <c r="R657" s="265">
        <f t="shared" si="345"/>
        <v>201</v>
      </c>
      <c r="S657" s="193">
        <f t="shared" si="346"/>
        <v>18776</v>
      </c>
      <c r="T657" s="232">
        <f>M657</f>
        <v>26.52</v>
      </c>
      <c r="U657" s="289">
        <v>167</v>
      </c>
      <c r="V657" s="199">
        <f t="shared" ref="V657:V658" si="388">T657*U657</f>
        <v>4428.84</v>
      </c>
      <c r="W657" s="232">
        <f t="shared" si="384"/>
        <v>93.48</v>
      </c>
      <c r="X657" s="289">
        <v>167</v>
      </c>
      <c r="Y657" s="199">
        <f t="shared" si="387"/>
        <v>15611.16</v>
      </c>
      <c r="Z657" s="153"/>
      <c r="AA657" s="147"/>
      <c r="AB657" s="101">
        <f t="shared" si="351"/>
        <v>0</v>
      </c>
      <c r="AC657" s="226">
        <f t="shared" si="352"/>
        <v>93.48</v>
      </c>
      <c r="AD657" s="304">
        <f>R657-X657</f>
        <v>34</v>
      </c>
      <c r="AE657" s="305">
        <f>O657+S657-V657-Y657</f>
        <v>4063</v>
      </c>
    </row>
    <row r="658" spans="1:31" hidden="1" outlineLevel="2" x14ac:dyDescent="0.3">
      <c r="B658" s="328" t="s">
        <v>375</v>
      </c>
      <c r="C658" s="127" t="s">
        <v>40</v>
      </c>
      <c r="D658" s="259">
        <v>51</v>
      </c>
      <c r="E658" s="64"/>
      <c r="F658" s="265">
        <f t="shared" si="341"/>
        <v>4</v>
      </c>
      <c r="G658" s="216">
        <v>199.92</v>
      </c>
      <c r="H658" s="274"/>
      <c r="I658" s="238"/>
      <c r="J658" s="265"/>
      <c r="K658" s="193"/>
      <c r="L658" s="274">
        <v>6.31</v>
      </c>
      <c r="M658" s="238">
        <v>13</v>
      </c>
      <c r="N658" s="265">
        <f t="shared" si="342"/>
        <v>20</v>
      </c>
      <c r="O658" s="193">
        <f t="shared" si="343"/>
        <v>261</v>
      </c>
      <c r="P658" s="272">
        <v>6.31</v>
      </c>
      <c r="Q658" s="236">
        <f t="shared" si="344"/>
        <v>38</v>
      </c>
      <c r="R658" s="265">
        <f t="shared" si="345"/>
        <v>20</v>
      </c>
      <c r="S658" s="193">
        <f t="shared" si="346"/>
        <v>763</v>
      </c>
      <c r="T658" s="232">
        <f>M658</f>
        <v>13</v>
      </c>
      <c r="U658" s="289">
        <v>20</v>
      </c>
      <c r="V658" s="199">
        <f t="shared" si="388"/>
        <v>260</v>
      </c>
      <c r="W658" s="232">
        <f t="shared" si="384"/>
        <v>38</v>
      </c>
      <c r="X658" s="289">
        <v>20</v>
      </c>
      <c r="Y658" s="199">
        <f>W658*X658</f>
        <v>760</v>
      </c>
      <c r="Z658" s="153"/>
      <c r="AA658" s="147"/>
      <c r="AB658" s="101">
        <f t="shared" si="351"/>
        <v>0</v>
      </c>
      <c r="AC658" s="226">
        <f t="shared" si="352"/>
        <v>38</v>
      </c>
      <c r="AD658" s="304">
        <f>R658-X658</f>
        <v>0</v>
      </c>
      <c r="AE658" s="305">
        <f>O658+S658-V658-Y658</f>
        <v>4</v>
      </c>
    </row>
    <row r="659" spans="1:31" hidden="1" outlineLevel="2" x14ac:dyDescent="0.3">
      <c r="B659" s="328" t="s">
        <v>615</v>
      </c>
      <c r="C659" s="127" t="s">
        <v>40</v>
      </c>
      <c r="D659" s="259">
        <v>12</v>
      </c>
      <c r="E659" s="64"/>
      <c r="F659" s="265">
        <f t="shared" si="341"/>
        <v>38</v>
      </c>
      <c r="G659" s="216">
        <v>458.88</v>
      </c>
      <c r="H659" s="274"/>
      <c r="I659" s="238"/>
      <c r="J659" s="265"/>
      <c r="K659" s="193"/>
      <c r="L659" s="274"/>
      <c r="M659" s="238"/>
      <c r="N659" s="265"/>
      <c r="O659" s="193"/>
      <c r="P659" s="272">
        <v>6.31</v>
      </c>
      <c r="Q659" s="236">
        <f t="shared" si="344"/>
        <v>12</v>
      </c>
      <c r="R659" s="265">
        <f t="shared" si="345"/>
        <v>191</v>
      </c>
      <c r="S659" s="193">
        <f t="shared" si="346"/>
        <v>2290</v>
      </c>
      <c r="T659" s="232"/>
      <c r="U659" s="289"/>
      <c r="V659" s="199"/>
      <c r="W659" s="232">
        <f t="shared" si="384"/>
        <v>12</v>
      </c>
      <c r="X659" s="289">
        <v>400</v>
      </c>
      <c r="Y659" s="199">
        <f>W659*X659</f>
        <v>4800</v>
      </c>
      <c r="Z659" s="153"/>
      <c r="AA659" s="147"/>
      <c r="AB659" s="101">
        <f t="shared" si="351"/>
        <v>0</v>
      </c>
      <c r="AC659" s="226">
        <f t="shared" si="352"/>
        <v>12</v>
      </c>
      <c r="AD659" s="302">
        <f t="shared" si="353"/>
        <v>-209</v>
      </c>
      <c r="AE659" s="202">
        <f>S659-Y659</f>
        <v>-2510</v>
      </c>
    </row>
    <row r="660" spans="1:31" hidden="1" outlineLevel="2" x14ac:dyDescent="0.3">
      <c r="B660" s="328" t="s">
        <v>616</v>
      </c>
      <c r="C660" s="127" t="s">
        <v>17</v>
      </c>
      <c r="D660" s="259">
        <v>2.5</v>
      </c>
      <c r="E660" s="64"/>
      <c r="F660" s="265">
        <f t="shared" si="341"/>
        <v>66</v>
      </c>
      <c r="G660" s="216">
        <v>164.95</v>
      </c>
      <c r="H660" s="274"/>
      <c r="I660" s="238"/>
      <c r="J660" s="265"/>
      <c r="K660" s="193"/>
      <c r="L660" s="274"/>
      <c r="M660" s="238"/>
      <c r="N660" s="265"/>
      <c r="O660" s="193"/>
      <c r="P660" s="272">
        <v>6.31</v>
      </c>
      <c r="Q660" s="236">
        <f t="shared" si="344"/>
        <v>2.5</v>
      </c>
      <c r="R660" s="265">
        <f t="shared" si="345"/>
        <v>331</v>
      </c>
      <c r="S660" s="193">
        <f t="shared" si="346"/>
        <v>829</v>
      </c>
      <c r="T660" s="232"/>
      <c r="U660" s="289"/>
      <c r="V660" s="199"/>
      <c r="W660" s="232">
        <f t="shared" si="384"/>
        <v>2.5</v>
      </c>
      <c r="X660" s="289">
        <v>331</v>
      </c>
      <c r="Y660" s="199">
        <f t="shared" ref="Y660" si="389">W660*X660</f>
        <v>827.5</v>
      </c>
      <c r="Z660" s="153"/>
      <c r="AA660" s="147"/>
      <c r="AB660" s="101">
        <f t="shared" si="351"/>
        <v>0</v>
      </c>
      <c r="AC660" s="226">
        <f t="shared" si="352"/>
        <v>2.5</v>
      </c>
      <c r="AD660" s="302">
        <f>R660-X660</f>
        <v>0</v>
      </c>
      <c r="AE660" s="202">
        <f>S660-Y660</f>
        <v>1.5</v>
      </c>
    </row>
    <row r="661" spans="1:31" hidden="1" outlineLevel="2" x14ac:dyDescent="0.3">
      <c r="B661" s="328" t="s">
        <v>617</v>
      </c>
      <c r="C661" s="127" t="s">
        <v>17</v>
      </c>
      <c r="D661" s="259">
        <v>0.47160000000000002</v>
      </c>
      <c r="E661" s="64"/>
      <c r="F661" s="265">
        <f t="shared" si="341"/>
        <v>66</v>
      </c>
      <c r="G661" s="216">
        <v>31.11</v>
      </c>
      <c r="H661" s="274"/>
      <c r="I661" s="238"/>
      <c r="J661" s="265"/>
      <c r="K661" s="193"/>
      <c r="L661" s="274">
        <v>6.31</v>
      </c>
      <c r="M661" s="238">
        <v>3.1600000000000003E-2</v>
      </c>
      <c r="N661" s="265">
        <f t="shared" si="342"/>
        <v>331</v>
      </c>
      <c r="O661" s="193">
        <f t="shared" si="343"/>
        <v>10</v>
      </c>
      <c r="P661" s="272">
        <v>6.31</v>
      </c>
      <c r="Q661" s="236">
        <f t="shared" si="344"/>
        <v>0.44</v>
      </c>
      <c r="R661" s="265">
        <f t="shared" si="345"/>
        <v>331</v>
      </c>
      <c r="S661" s="193">
        <f t="shared" si="346"/>
        <v>146</v>
      </c>
      <c r="T661" s="232">
        <f>M661</f>
        <v>3.1600000000000003E-2</v>
      </c>
      <c r="U661" s="289">
        <v>331</v>
      </c>
      <c r="V661" s="199">
        <f>T661*U661</f>
        <v>10.459600000000002</v>
      </c>
      <c r="W661" s="232">
        <f t="shared" si="384"/>
        <v>0.44</v>
      </c>
      <c r="X661" s="289">
        <v>331</v>
      </c>
      <c r="Y661" s="199">
        <f>W661*X661</f>
        <v>145.64000000000001</v>
      </c>
      <c r="Z661" s="153"/>
      <c r="AA661" s="147"/>
      <c r="AB661" s="101">
        <f t="shared" si="351"/>
        <v>0</v>
      </c>
      <c r="AC661" s="226">
        <f t="shared" si="352"/>
        <v>0.44</v>
      </c>
      <c r="AD661" s="304">
        <f>R661-X661</f>
        <v>0</v>
      </c>
      <c r="AE661" s="305">
        <f>O661+S661-V661-Y661</f>
        <v>-9.9600000000009459E-2</v>
      </c>
    </row>
    <row r="662" spans="1:31" hidden="1" outlineLevel="2" x14ac:dyDescent="0.3">
      <c r="B662" s="328" t="s">
        <v>618</v>
      </c>
      <c r="C662" s="127" t="s">
        <v>28</v>
      </c>
      <c r="D662" s="259">
        <v>5.1999999999999998E-2</v>
      </c>
      <c r="E662" s="64"/>
      <c r="F662" s="265">
        <f t="shared" si="341"/>
        <v>51803</v>
      </c>
      <c r="G662" s="216">
        <v>2693.77</v>
      </c>
      <c r="H662" s="274">
        <v>6.11</v>
      </c>
      <c r="I662" s="238">
        <v>0.03</v>
      </c>
      <c r="J662" s="265">
        <f t="shared" ref="J662:J677" si="390">ROUND(F662*H662*0.7958,0)</f>
        <v>251884</v>
      </c>
      <c r="K662" s="193">
        <f t="shared" ref="K662:K677" si="391">ROUND(I662*H662*F662*0.7958,0)</f>
        <v>7557</v>
      </c>
      <c r="L662" s="274"/>
      <c r="M662" s="238"/>
      <c r="N662" s="265"/>
      <c r="O662" s="193"/>
      <c r="P662" s="272">
        <v>6.31</v>
      </c>
      <c r="Q662" s="236">
        <f t="shared" si="344"/>
        <v>2.1999999999999999E-2</v>
      </c>
      <c r="R662" s="265">
        <f t="shared" si="345"/>
        <v>260129</v>
      </c>
      <c r="S662" s="193">
        <f t="shared" si="346"/>
        <v>5723</v>
      </c>
      <c r="T662" s="232">
        <f>I662</f>
        <v>0.03</v>
      </c>
      <c r="U662" s="296"/>
      <c r="V662" s="199">
        <f>T662*U662</f>
        <v>0</v>
      </c>
      <c r="W662" s="232">
        <f t="shared" si="384"/>
        <v>2.1999999999999999E-2</v>
      </c>
      <c r="X662" s="296">
        <v>317500</v>
      </c>
      <c r="Y662" s="199">
        <f>W662*X662</f>
        <v>6985</v>
      </c>
      <c r="Z662" s="153"/>
      <c r="AA662" s="147"/>
      <c r="AB662" s="101">
        <f t="shared" si="351"/>
        <v>0</v>
      </c>
      <c r="AC662" s="226">
        <f t="shared" si="352"/>
        <v>2.1999999999999999E-2</v>
      </c>
      <c r="AD662" s="304">
        <f>R662-X662</f>
        <v>-57371</v>
      </c>
      <c r="AE662" s="305">
        <f>K662+O662+S662-V662-Y662</f>
        <v>6295</v>
      </c>
    </row>
    <row r="663" spans="1:31" hidden="1" outlineLevel="2" x14ac:dyDescent="0.3">
      <c r="A663" s="142"/>
      <c r="B663" s="328" t="s">
        <v>484</v>
      </c>
      <c r="C663" s="127" t="s">
        <v>16</v>
      </c>
      <c r="D663" s="259">
        <v>365.9</v>
      </c>
      <c r="E663" s="64"/>
      <c r="F663" s="265">
        <f t="shared" si="341"/>
        <v>13</v>
      </c>
      <c r="G663" s="216">
        <v>4906.74</v>
      </c>
      <c r="H663" s="274"/>
      <c r="I663" s="238"/>
      <c r="J663" s="265"/>
      <c r="K663" s="193"/>
      <c r="L663" s="274">
        <v>6.31</v>
      </c>
      <c r="M663" s="238">
        <v>335.5</v>
      </c>
      <c r="N663" s="265">
        <f t="shared" si="342"/>
        <v>65</v>
      </c>
      <c r="O663" s="193">
        <f t="shared" si="343"/>
        <v>21901</v>
      </c>
      <c r="P663" s="272">
        <v>6.31</v>
      </c>
      <c r="Q663" s="236">
        <f>D663-I663-M663</f>
        <v>30.399999999999977</v>
      </c>
      <c r="R663" s="265">
        <f t="shared" si="345"/>
        <v>65</v>
      </c>
      <c r="S663" s="193">
        <f t="shared" si="346"/>
        <v>1984</v>
      </c>
      <c r="T663" s="232">
        <f>M663</f>
        <v>335.5</v>
      </c>
      <c r="U663" s="296"/>
      <c r="V663" s="199">
        <f>T663*U663</f>
        <v>0</v>
      </c>
      <c r="W663" s="232">
        <f t="shared" si="384"/>
        <v>30.399999999999977</v>
      </c>
      <c r="X663" s="296">
        <v>137</v>
      </c>
      <c r="Y663" s="199">
        <f>W663*X663</f>
        <v>4164.7999999999965</v>
      </c>
      <c r="Z663" s="153"/>
      <c r="AA663" s="147"/>
      <c r="AB663" s="101">
        <f t="shared" si="351"/>
        <v>0</v>
      </c>
      <c r="AC663" s="226">
        <f t="shared" si="352"/>
        <v>30.399999999999977</v>
      </c>
      <c r="AD663" s="304">
        <f t="shared" si="353"/>
        <v>-72</v>
      </c>
      <c r="AE663" s="305">
        <f>K663+O663+S663-V663-Y663</f>
        <v>19720.200000000004</v>
      </c>
    </row>
    <row r="664" spans="1:31" hidden="1" outlineLevel="2" x14ac:dyDescent="0.3">
      <c r="B664" s="328" t="s">
        <v>427</v>
      </c>
      <c r="C664" s="127" t="s">
        <v>16</v>
      </c>
      <c r="D664" s="259">
        <v>7.9</v>
      </c>
      <c r="E664" s="64"/>
      <c r="F664" s="265">
        <f t="shared" si="341"/>
        <v>72</v>
      </c>
      <c r="G664" s="216">
        <v>571.09</v>
      </c>
      <c r="H664" s="274"/>
      <c r="I664" s="238"/>
      <c r="J664" s="265"/>
      <c r="K664" s="193"/>
      <c r="L664" s="274"/>
      <c r="M664" s="238"/>
      <c r="N664" s="265"/>
      <c r="O664" s="193"/>
      <c r="P664" s="272">
        <v>6.31</v>
      </c>
      <c r="Q664" s="236">
        <f t="shared" si="344"/>
        <v>7.9</v>
      </c>
      <c r="R664" s="265">
        <f t="shared" si="345"/>
        <v>362</v>
      </c>
      <c r="S664" s="193">
        <f t="shared" si="346"/>
        <v>2856</v>
      </c>
      <c r="T664" s="232"/>
      <c r="U664" s="290"/>
      <c r="V664" s="199"/>
      <c r="W664" s="232">
        <f t="shared" si="384"/>
        <v>7.9</v>
      </c>
      <c r="X664" s="289">
        <v>272</v>
      </c>
      <c r="Y664" s="199">
        <f t="shared" ref="Y664:Y667" si="392">W664*X664</f>
        <v>2148.8000000000002</v>
      </c>
      <c r="Z664" s="153"/>
      <c r="AA664" s="147"/>
      <c r="AB664" s="101">
        <f t="shared" si="351"/>
        <v>0</v>
      </c>
      <c r="AC664" s="226">
        <f t="shared" si="352"/>
        <v>7.9</v>
      </c>
      <c r="AD664" s="304">
        <f>R664-X664</f>
        <v>90</v>
      </c>
      <c r="AE664" s="305">
        <f>S664-Y664</f>
        <v>707.19999999999982</v>
      </c>
    </row>
    <row r="665" spans="1:31" hidden="1" outlineLevel="2" x14ac:dyDescent="0.3">
      <c r="A665" s="141"/>
      <c r="B665" s="328" t="s">
        <v>619</v>
      </c>
      <c r="C665" s="127" t="s">
        <v>28</v>
      </c>
      <c r="D665" s="259">
        <v>0.26800000000000002</v>
      </c>
      <c r="E665" s="64" t="s">
        <v>922</v>
      </c>
      <c r="F665" s="265">
        <f t="shared" si="341"/>
        <v>53604</v>
      </c>
      <c r="G665" s="216">
        <v>14365.97</v>
      </c>
      <c r="H665" s="274"/>
      <c r="I665" s="238"/>
      <c r="J665" s="265"/>
      <c r="K665" s="193"/>
      <c r="L665" s="274">
        <v>6.31</v>
      </c>
      <c r="M665" s="238">
        <v>0.25</v>
      </c>
      <c r="N665" s="265">
        <f t="shared" si="342"/>
        <v>269172</v>
      </c>
      <c r="O665" s="193">
        <f t="shared" si="343"/>
        <v>67293</v>
      </c>
      <c r="P665" s="272">
        <v>6.31</v>
      </c>
      <c r="Q665" s="236">
        <f t="shared" si="344"/>
        <v>1.8000000000000016E-2</v>
      </c>
      <c r="R665" s="265">
        <f t="shared" si="345"/>
        <v>269172</v>
      </c>
      <c r="S665" s="193">
        <f t="shared" si="346"/>
        <v>4845</v>
      </c>
      <c r="T665" s="232">
        <f>M665</f>
        <v>0.25</v>
      </c>
      <c r="U665" s="290">
        <v>164.73</v>
      </c>
      <c r="V665" s="199">
        <f>T665*U665</f>
        <v>41.182499999999997</v>
      </c>
      <c r="W665" s="232">
        <v>380</v>
      </c>
      <c r="X665" s="290">
        <v>164.73</v>
      </c>
      <c r="Y665" s="199">
        <f t="shared" si="392"/>
        <v>62597.399999999994</v>
      </c>
      <c r="Z665" s="153"/>
      <c r="AA665" s="147"/>
      <c r="AB665" s="101">
        <f t="shared" si="351"/>
        <v>0</v>
      </c>
      <c r="AC665" s="226">
        <f t="shared" si="352"/>
        <v>380</v>
      </c>
      <c r="AD665" s="304"/>
      <c r="AE665" s="305">
        <f>O665+S665-V665-Y665</f>
        <v>9499.4175000000105</v>
      </c>
    </row>
    <row r="666" spans="1:31" hidden="1" outlineLevel="2" x14ac:dyDescent="0.3">
      <c r="A666" s="141"/>
      <c r="B666" s="328" t="s">
        <v>620</v>
      </c>
      <c r="C666" s="127" t="s">
        <v>28</v>
      </c>
      <c r="D666" s="259">
        <v>0.192</v>
      </c>
      <c r="E666" s="64" t="s">
        <v>923</v>
      </c>
      <c r="F666" s="265">
        <f t="shared" si="341"/>
        <v>53604</v>
      </c>
      <c r="G666" s="216">
        <v>10292.040000000001</v>
      </c>
      <c r="H666" s="274"/>
      <c r="I666" s="238"/>
      <c r="J666" s="265"/>
      <c r="K666" s="193"/>
      <c r="L666" s="274"/>
      <c r="M666" s="238"/>
      <c r="N666" s="265"/>
      <c r="O666" s="193"/>
      <c r="P666" s="272">
        <v>6.31</v>
      </c>
      <c r="Q666" s="236">
        <f t="shared" si="344"/>
        <v>0.192</v>
      </c>
      <c r="R666" s="265">
        <f t="shared" si="345"/>
        <v>269172</v>
      </c>
      <c r="S666" s="193">
        <f t="shared" si="346"/>
        <v>51681</v>
      </c>
      <c r="T666" s="232"/>
      <c r="U666" s="290"/>
      <c r="V666" s="199"/>
      <c r="W666" s="232">
        <v>170</v>
      </c>
      <c r="X666" s="290">
        <v>189.6</v>
      </c>
      <c r="Y666" s="199">
        <f t="shared" si="392"/>
        <v>32232</v>
      </c>
      <c r="Z666" s="153"/>
      <c r="AA666" s="147"/>
      <c r="AB666" s="101">
        <f t="shared" si="351"/>
        <v>0</v>
      </c>
      <c r="AC666" s="226">
        <f t="shared" si="352"/>
        <v>170</v>
      </c>
      <c r="AD666" s="304"/>
      <c r="AE666" s="305">
        <f t="shared" ref="AE666:AE671" si="393">S666-Y666</f>
        <v>19449</v>
      </c>
    </row>
    <row r="667" spans="1:31" hidden="1" outlineLevel="2" x14ac:dyDescent="0.3">
      <c r="A667" s="141"/>
      <c r="B667" s="328" t="s">
        <v>924</v>
      </c>
      <c r="C667" s="127" t="s">
        <v>28</v>
      </c>
      <c r="D667" s="259">
        <v>0.115</v>
      </c>
      <c r="E667" s="64" t="s">
        <v>925</v>
      </c>
      <c r="F667" s="265">
        <f t="shared" si="341"/>
        <v>56117</v>
      </c>
      <c r="G667" s="216">
        <v>6453.4</v>
      </c>
      <c r="H667" s="274"/>
      <c r="I667" s="238"/>
      <c r="J667" s="265"/>
      <c r="K667" s="193"/>
      <c r="L667" s="274"/>
      <c r="M667" s="238"/>
      <c r="N667" s="265"/>
      <c r="O667" s="193"/>
      <c r="P667" s="272">
        <v>6.31</v>
      </c>
      <c r="Q667" s="236">
        <f t="shared" si="344"/>
        <v>0.115</v>
      </c>
      <c r="R667" s="265">
        <f t="shared" si="345"/>
        <v>281791</v>
      </c>
      <c r="S667" s="193">
        <f t="shared" si="346"/>
        <v>32406</v>
      </c>
      <c r="T667" s="232"/>
      <c r="U667" s="290"/>
      <c r="V667" s="199"/>
      <c r="W667" s="232">
        <v>75</v>
      </c>
      <c r="X667" s="290">
        <v>492.78</v>
      </c>
      <c r="Y667" s="199">
        <f t="shared" si="392"/>
        <v>36958.5</v>
      </c>
      <c r="Z667" s="153"/>
      <c r="AA667" s="147"/>
      <c r="AB667" s="101">
        <f t="shared" si="351"/>
        <v>0</v>
      </c>
      <c r="AC667" s="226">
        <f t="shared" si="352"/>
        <v>75</v>
      </c>
      <c r="AD667" s="304"/>
      <c r="AE667" s="202">
        <f t="shared" si="393"/>
        <v>-4552.5</v>
      </c>
    </row>
    <row r="668" spans="1:31" hidden="1" outlineLevel="2" x14ac:dyDescent="0.3">
      <c r="A668" s="141"/>
      <c r="B668" s="328" t="s">
        <v>621</v>
      </c>
      <c r="C668" s="127" t="s">
        <v>28</v>
      </c>
      <c r="D668" s="259">
        <v>2.7E-2</v>
      </c>
      <c r="E668" s="64" t="s">
        <v>921</v>
      </c>
      <c r="F668" s="265">
        <f t="shared" si="341"/>
        <v>49487</v>
      </c>
      <c r="G668" s="216">
        <v>1336.14</v>
      </c>
      <c r="H668" s="274"/>
      <c r="I668" s="238"/>
      <c r="J668" s="265"/>
      <c r="K668" s="193"/>
      <c r="L668" s="274"/>
      <c r="M668" s="238"/>
      <c r="N668" s="265"/>
      <c r="O668" s="193"/>
      <c r="P668" s="272">
        <v>6.31</v>
      </c>
      <c r="Q668" s="236">
        <f t="shared" si="344"/>
        <v>2.7E-2</v>
      </c>
      <c r="R668" s="265">
        <f t="shared" si="345"/>
        <v>248499</v>
      </c>
      <c r="S668" s="193">
        <f t="shared" si="346"/>
        <v>6709</v>
      </c>
      <c r="T668" s="232"/>
      <c r="U668" s="290"/>
      <c r="V668" s="199"/>
      <c r="W668" s="232">
        <v>70</v>
      </c>
      <c r="X668" s="289">
        <v>60</v>
      </c>
      <c r="Y668" s="199">
        <f>W668*X668</f>
        <v>4200</v>
      </c>
      <c r="Z668" s="153"/>
      <c r="AA668" s="147"/>
      <c r="AB668" s="101">
        <f t="shared" si="351"/>
        <v>0</v>
      </c>
      <c r="AC668" s="226">
        <f t="shared" si="352"/>
        <v>70</v>
      </c>
      <c r="AD668" s="304"/>
      <c r="AE668" s="305">
        <f t="shared" si="393"/>
        <v>2509</v>
      </c>
    </row>
    <row r="669" spans="1:31" ht="21" hidden="1" customHeight="1" outlineLevel="2" x14ac:dyDescent="0.3">
      <c r="A669" s="141"/>
      <c r="B669" s="328" t="s">
        <v>622</v>
      </c>
      <c r="C669" s="127" t="s">
        <v>5</v>
      </c>
      <c r="D669" s="259">
        <v>5</v>
      </c>
      <c r="E669" s="64"/>
      <c r="F669" s="265">
        <f t="shared" si="341"/>
        <v>1</v>
      </c>
      <c r="G669" s="216">
        <v>4.93</v>
      </c>
      <c r="H669" s="274"/>
      <c r="I669" s="238"/>
      <c r="J669" s="265"/>
      <c r="K669" s="193"/>
      <c r="L669" s="274"/>
      <c r="M669" s="238"/>
      <c r="N669" s="265"/>
      <c r="O669" s="193"/>
      <c r="P669" s="272">
        <v>6.31</v>
      </c>
      <c r="Q669" s="236">
        <f t="shared" si="344"/>
        <v>5</v>
      </c>
      <c r="R669" s="265">
        <f t="shared" si="345"/>
        <v>5</v>
      </c>
      <c r="S669" s="193">
        <f t="shared" si="346"/>
        <v>25</v>
      </c>
      <c r="T669" s="230"/>
      <c r="U669" s="290"/>
      <c r="V669" s="199"/>
      <c r="W669" s="232">
        <f>Q669</f>
        <v>5</v>
      </c>
      <c r="X669" s="290">
        <v>8.8000000000000007</v>
      </c>
      <c r="Y669" s="199">
        <f t="shared" ref="Y669:Y671" si="394">W669*X669</f>
        <v>44</v>
      </c>
      <c r="Z669" s="153"/>
      <c r="AA669" s="147"/>
      <c r="AB669" s="101">
        <f t="shared" si="351"/>
        <v>0</v>
      </c>
      <c r="AC669" s="226">
        <f t="shared" si="352"/>
        <v>5</v>
      </c>
      <c r="AD669" s="302">
        <f t="shared" si="353"/>
        <v>-3.8000000000000007</v>
      </c>
      <c r="AE669" s="202">
        <f t="shared" si="393"/>
        <v>-19</v>
      </c>
    </row>
    <row r="670" spans="1:31" hidden="1" outlineLevel="2" x14ac:dyDescent="0.3">
      <c r="B670" s="328" t="s">
        <v>623</v>
      </c>
      <c r="C670" s="127" t="s">
        <v>28</v>
      </c>
      <c r="D670" s="259">
        <v>1.4E-3</v>
      </c>
      <c r="E670" s="64"/>
      <c r="F670" s="265">
        <f t="shared" si="341"/>
        <v>78257</v>
      </c>
      <c r="G670" s="216">
        <v>109.56</v>
      </c>
      <c r="H670" s="274"/>
      <c r="I670" s="238"/>
      <c r="J670" s="265"/>
      <c r="K670" s="193"/>
      <c r="L670" s="274"/>
      <c r="M670" s="238"/>
      <c r="N670" s="265"/>
      <c r="O670" s="193"/>
      <c r="P670" s="272">
        <v>6.31</v>
      </c>
      <c r="Q670" s="236">
        <f t="shared" si="344"/>
        <v>1.4E-3</v>
      </c>
      <c r="R670" s="265">
        <f t="shared" si="345"/>
        <v>392967</v>
      </c>
      <c r="S670" s="193">
        <f t="shared" si="346"/>
        <v>550</v>
      </c>
      <c r="T670" s="230"/>
      <c r="U670" s="290"/>
      <c r="V670" s="199"/>
      <c r="W670" s="232">
        <f t="shared" ref="W670:W671" si="395">Q670</f>
        <v>1.4E-3</v>
      </c>
      <c r="X670" s="289">
        <v>637000</v>
      </c>
      <c r="Y670" s="199">
        <f t="shared" si="394"/>
        <v>891.8</v>
      </c>
      <c r="Z670" s="153"/>
      <c r="AA670" s="147"/>
      <c r="AB670" s="101">
        <f t="shared" si="351"/>
        <v>0</v>
      </c>
      <c r="AC670" s="226">
        <f t="shared" si="352"/>
        <v>1.4E-3</v>
      </c>
      <c r="AD670" s="302">
        <f t="shared" ref="AD670:AD671" si="396">R670-X670</f>
        <v>-244033</v>
      </c>
      <c r="AE670" s="202">
        <f t="shared" si="393"/>
        <v>-341.79999999999995</v>
      </c>
    </row>
    <row r="671" spans="1:31" hidden="1" outlineLevel="2" x14ac:dyDescent="0.3">
      <c r="B671" s="328" t="s">
        <v>624</v>
      </c>
      <c r="C671" s="127" t="s">
        <v>28</v>
      </c>
      <c r="D671" s="259">
        <v>3.1899999999999998E-2</v>
      </c>
      <c r="E671" s="64"/>
      <c r="F671" s="265">
        <f t="shared" si="341"/>
        <v>14773</v>
      </c>
      <c r="G671" s="216">
        <v>471.27</v>
      </c>
      <c r="H671" s="274"/>
      <c r="I671" s="238"/>
      <c r="J671" s="265"/>
      <c r="K671" s="193"/>
      <c r="L671" s="274"/>
      <c r="M671" s="238"/>
      <c r="N671" s="265"/>
      <c r="O671" s="193"/>
      <c r="P671" s="272">
        <v>6.31</v>
      </c>
      <c r="Q671" s="236">
        <f t="shared" si="344"/>
        <v>3.1899999999999998E-2</v>
      </c>
      <c r="R671" s="265">
        <f t="shared" si="345"/>
        <v>74183</v>
      </c>
      <c r="S671" s="193">
        <f t="shared" si="346"/>
        <v>2366</v>
      </c>
      <c r="T671" s="230"/>
      <c r="U671" s="290"/>
      <c r="V671" s="199"/>
      <c r="W671" s="232">
        <f t="shared" si="395"/>
        <v>3.1899999999999998E-2</v>
      </c>
      <c r="X671" s="289">
        <v>110000</v>
      </c>
      <c r="Y671" s="199">
        <f t="shared" si="394"/>
        <v>3508.9999999999995</v>
      </c>
      <c r="Z671" s="153"/>
      <c r="AA671" s="147"/>
      <c r="AB671" s="101">
        <f t="shared" si="351"/>
        <v>0</v>
      </c>
      <c r="AC671" s="226">
        <f t="shared" si="352"/>
        <v>3.1899999999999998E-2</v>
      </c>
      <c r="AD671" s="302">
        <f t="shared" si="396"/>
        <v>-35817</v>
      </c>
      <c r="AE671" s="202">
        <f t="shared" si="393"/>
        <v>-1142.9999999999995</v>
      </c>
    </row>
    <row r="672" spans="1:31" ht="30" hidden="1" outlineLevel="2" x14ac:dyDescent="0.3">
      <c r="A672" s="141"/>
      <c r="B672" s="328" t="s">
        <v>948</v>
      </c>
      <c r="C672" s="127" t="s">
        <v>28</v>
      </c>
      <c r="D672" s="259">
        <v>2.5840000000000001</v>
      </c>
      <c r="E672" s="64" t="s">
        <v>947</v>
      </c>
      <c r="F672" s="265">
        <f t="shared" si="341"/>
        <v>2044</v>
      </c>
      <c r="G672" s="216">
        <v>5281.52</v>
      </c>
      <c r="H672" s="274"/>
      <c r="I672" s="238"/>
      <c r="J672" s="265"/>
      <c r="K672" s="193"/>
      <c r="L672" s="274">
        <v>6.31</v>
      </c>
      <c r="M672" s="238">
        <v>2.5840000000000001</v>
      </c>
      <c r="N672" s="265">
        <f t="shared" si="342"/>
        <v>10264</v>
      </c>
      <c r="O672" s="193">
        <f t="shared" si="343"/>
        <v>26522</v>
      </c>
      <c r="P672" s="272"/>
      <c r="Q672" s="236"/>
      <c r="R672" s="265"/>
      <c r="S672" s="193"/>
      <c r="T672" s="230">
        <v>2.5840000000000001</v>
      </c>
      <c r="U672" s="289">
        <v>35636</v>
      </c>
      <c r="V672" s="199">
        <f>T672*U672</f>
        <v>92083.423999999999</v>
      </c>
      <c r="W672" s="232"/>
      <c r="X672" s="290"/>
      <c r="Y672" s="199"/>
      <c r="Z672" s="153"/>
      <c r="AA672" s="147"/>
      <c r="AB672" s="101">
        <f t="shared" si="351"/>
        <v>0</v>
      </c>
      <c r="AC672" s="226">
        <f t="shared" si="352"/>
        <v>0</v>
      </c>
      <c r="AD672" s="302">
        <f t="shared" ref="AD672:AD675" si="397">N672-U672</f>
        <v>-25372</v>
      </c>
      <c r="AE672" s="202">
        <f>O672-V672</f>
        <v>-65561.423999999999</v>
      </c>
    </row>
    <row r="673" spans="1:31" hidden="1" outlineLevel="2" x14ac:dyDescent="0.3">
      <c r="A673" s="141"/>
      <c r="B673" s="328" t="s">
        <v>625</v>
      </c>
      <c r="C673" s="127" t="s">
        <v>40</v>
      </c>
      <c r="D673" s="259">
        <v>13</v>
      </c>
      <c r="E673" s="64"/>
      <c r="F673" s="265">
        <f t="shared" si="341"/>
        <v>12</v>
      </c>
      <c r="G673" s="216">
        <v>160.81</v>
      </c>
      <c r="H673" s="274"/>
      <c r="I673" s="238"/>
      <c r="J673" s="265"/>
      <c r="K673" s="193"/>
      <c r="L673" s="274">
        <v>6.31</v>
      </c>
      <c r="M673" s="238">
        <v>13</v>
      </c>
      <c r="N673" s="265">
        <f t="shared" si="342"/>
        <v>60</v>
      </c>
      <c r="O673" s="193">
        <f t="shared" si="343"/>
        <v>783</v>
      </c>
      <c r="P673" s="272"/>
      <c r="Q673" s="236"/>
      <c r="R673" s="265"/>
      <c r="S673" s="193"/>
      <c r="T673" s="230">
        <f>I673+M673</f>
        <v>13</v>
      </c>
      <c r="U673" s="290">
        <v>63.26</v>
      </c>
      <c r="V673" s="199">
        <f>T673*U673</f>
        <v>822.38</v>
      </c>
      <c r="W673" s="232"/>
      <c r="X673" s="290"/>
      <c r="Y673" s="199"/>
      <c r="Z673" s="153"/>
      <c r="AA673" s="147"/>
      <c r="AB673" s="101">
        <f t="shared" si="351"/>
        <v>0</v>
      </c>
      <c r="AC673" s="226">
        <f t="shared" si="352"/>
        <v>0</v>
      </c>
      <c r="AD673" s="302">
        <f t="shared" si="397"/>
        <v>-3.259999999999998</v>
      </c>
      <c r="AE673" s="202">
        <f>O673-V673</f>
        <v>-39.379999999999995</v>
      </c>
    </row>
    <row r="674" spans="1:31" hidden="1" outlineLevel="2" x14ac:dyDescent="0.3">
      <c r="B674" s="328" t="s">
        <v>953</v>
      </c>
      <c r="C674" s="127" t="s">
        <v>40</v>
      </c>
      <c r="D674" s="263">
        <v>26</v>
      </c>
      <c r="E674" s="64"/>
      <c r="F674" s="265">
        <f t="shared" si="341"/>
        <v>11</v>
      </c>
      <c r="G674" s="216">
        <v>287.36</v>
      </c>
      <c r="H674" s="274"/>
      <c r="I674" s="238"/>
      <c r="J674" s="265"/>
      <c r="K674" s="193"/>
      <c r="L674" s="274">
        <v>6.31</v>
      </c>
      <c r="M674" s="238">
        <v>16</v>
      </c>
      <c r="N674" s="265">
        <f t="shared" si="342"/>
        <v>55</v>
      </c>
      <c r="O674" s="193">
        <f t="shared" si="343"/>
        <v>884</v>
      </c>
      <c r="P674" s="272">
        <v>6.31</v>
      </c>
      <c r="Q674" s="236">
        <f t="shared" si="344"/>
        <v>10</v>
      </c>
      <c r="R674" s="265">
        <f t="shared" si="345"/>
        <v>55</v>
      </c>
      <c r="S674" s="193">
        <f t="shared" si="346"/>
        <v>552</v>
      </c>
      <c r="T674" s="230">
        <v>26</v>
      </c>
      <c r="U674" s="290">
        <v>91.23</v>
      </c>
      <c r="V674" s="199">
        <f>T674*U674</f>
        <v>2371.98</v>
      </c>
      <c r="W674" s="232"/>
      <c r="X674" s="290"/>
      <c r="Y674" s="199"/>
      <c r="Z674" s="153"/>
      <c r="AA674" s="147"/>
      <c r="AB674" s="101">
        <f t="shared" si="351"/>
        <v>0</v>
      </c>
      <c r="AC674" s="226">
        <f t="shared" si="352"/>
        <v>0</v>
      </c>
      <c r="AD674" s="302">
        <f t="shared" si="397"/>
        <v>-36.230000000000004</v>
      </c>
      <c r="AE674" s="202">
        <f>O674-V674</f>
        <v>-1487.98</v>
      </c>
    </row>
    <row r="675" spans="1:31" hidden="1" outlineLevel="2" x14ac:dyDescent="0.3">
      <c r="A675" s="141"/>
      <c r="B675" s="328" t="s">
        <v>626</v>
      </c>
      <c r="C675" s="127" t="s">
        <v>40</v>
      </c>
      <c r="D675" s="259">
        <v>16</v>
      </c>
      <c r="E675" s="64"/>
      <c r="F675" s="265">
        <f t="shared" ref="F675" si="398">ROUND(G675/D675,0)</f>
        <v>18</v>
      </c>
      <c r="G675" s="216">
        <v>287.36</v>
      </c>
      <c r="H675" s="274"/>
      <c r="I675" s="238"/>
      <c r="J675" s="265"/>
      <c r="K675" s="193"/>
      <c r="L675" s="274">
        <v>6.31</v>
      </c>
      <c r="M675" s="238">
        <v>16</v>
      </c>
      <c r="N675" s="265">
        <f t="shared" ref="N675" si="399">ROUND(F675*L675*0.7958,0)</f>
        <v>90</v>
      </c>
      <c r="O675" s="193">
        <f t="shared" ref="O675" si="400">ROUND(M675*L675*F675*0.7958,0)</f>
        <v>1446</v>
      </c>
      <c r="P675" s="272"/>
      <c r="Q675" s="236"/>
      <c r="R675" s="265"/>
      <c r="S675" s="193"/>
      <c r="T675" s="230">
        <f>M675</f>
        <v>16</v>
      </c>
      <c r="U675" s="290">
        <v>91.2</v>
      </c>
      <c r="V675" s="199">
        <f t="shared" ref="V675" si="401">T675*U675</f>
        <v>1459.2</v>
      </c>
      <c r="W675" s="232"/>
      <c r="X675" s="290"/>
      <c r="Y675" s="199"/>
      <c r="Z675" s="153"/>
      <c r="AA675" s="147"/>
      <c r="AB675" s="101">
        <f t="shared" ref="AB675" si="402">ROUND(Z675*AA675,0)</f>
        <v>0</v>
      </c>
      <c r="AC675" s="226">
        <f t="shared" si="352"/>
        <v>0</v>
      </c>
      <c r="AD675" s="302">
        <f t="shared" si="397"/>
        <v>-1.2000000000000028</v>
      </c>
      <c r="AE675" s="202">
        <f>O675-V675</f>
        <v>-13.200000000000045</v>
      </c>
    </row>
    <row r="676" spans="1:31" hidden="1" outlineLevel="2" x14ac:dyDescent="0.3">
      <c r="B676" s="328" t="s">
        <v>627</v>
      </c>
      <c r="C676" s="127" t="s">
        <v>40</v>
      </c>
      <c r="D676" s="259">
        <v>1.32</v>
      </c>
      <c r="E676" s="64"/>
      <c r="F676" s="265">
        <f t="shared" si="341"/>
        <v>6</v>
      </c>
      <c r="G676" s="216">
        <v>8.34</v>
      </c>
      <c r="H676" s="274"/>
      <c r="I676" s="238"/>
      <c r="J676" s="265"/>
      <c r="K676" s="193"/>
      <c r="L676" s="274"/>
      <c r="M676" s="238"/>
      <c r="N676" s="265"/>
      <c r="O676" s="193"/>
      <c r="P676" s="272">
        <v>6.31</v>
      </c>
      <c r="Q676" s="236">
        <f t="shared" si="344"/>
        <v>1.32</v>
      </c>
      <c r="R676" s="265">
        <f t="shared" si="345"/>
        <v>30</v>
      </c>
      <c r="S676" s="193">
        <f t="shared" si="346"/>
        <v>40</v>
      </c>
      <c r="T676" s="230"/>
      <c r="U676" s="290"/>
      <c r="V676" s="199"/>
      <c r="W676" s="232">
        <f t="shared" ref="W676" si="403">Q676</f>
        <v>1.32</v>
      </c>
      <c r="X676" s="290">
        <v>33.299999999999997</v>
      </c>
      <c r="Y676" s="199">
        <f t="shared" ref="Y676" si="404">W676*X676</f>
        <v>43.955999999999996</v>
      </c>
      <c r="Z676" s="153"/>
      <c r="AA676" s="147"/>
      <c r="AB676" s="101">
        <f t="shared" si="351"/>
        <v>0</v>
      </c>
      <c r="AC676" s="226">
        <f t="shared" si="352"/>
        <v>1.32</v>
      </c>
      <c r="AD676" s="302">
        <f t="shared" si="353"/>
        <v>-3.2999999999999972</v>
      </c>
      <c r="AE676" s="202">
        <f>S676-Y676</f>
        <v>-3.955999999999996</v>
      </c>
    </row>
    <row r="677" spans="1:31" hidden="1" outlineLevel="2" x14ac:dyDescent="0.3">
      <c r="B677" s="328" t="s">
        <v>628</v>
      </c>
      <c r="C677" s="127" t="s">
        <v>16</v>
      </c>
      <c r="D677" s="259">
        <v>66.599999999999994</v>
      </c>
      <c r="E677" s="64"/>
      <c r="F677" s="265">
        <f t="shared" si="341"/>
        <v>7</v>
      </c>
      <c r="G677" s="216">
        <v>455.54</v>
      </c>
      <c r="H677" s="274">
        <v>6.11</v>
      </c>
      <c r="I677" s="238">
        <v>66.599999999999994</v>
      </c>
      <c r="J677" s="265">
        <f t="shared" si="390"/>
        <v>34</v>
      </c>
      <c r="K677" s="193">
        <f t="shared" si="391"/>
        <v>2267</v>
      </c>
      <c r="L677" s="274"/>
      <c r="M677" s="238"/>
      <c r="N677" s="265"/>
      <c r="O677" s="193"/>
      <c r="P677" s="272"/>
      <c r="Q677" s="236"/>
      <c r="R677" s="265"/>
      <c r="S677" s="193"/>
      <c r="T677" s="230"/>
      <c r="U677" s="290"/>
      <c r="V677" s="199"/>
      <c r="W677" s="232">
        <v>66.599999999999994</v>
      </c>
      <c r="X677" s="289">
        <v>204</v>
      </c>
      <c r="Y677" s="199">
        <f>W677*X677</f>
        <v>13586.4</v>
      </c>
      <c r="Z677" s="153"/>
      <c r="AA677" s="147"/>
      <c r="AB677" s="101">
        <f t="shared" si="351"/>
        <v>0</v>
      </c>
      <c r="AC677" s="226">
        <f t="shared" si="352"/>
        <v>66.599999999999994</v>
      </c>
      <c r="AD677" s="302">
        <f>J677-X677</f>
        <v>-170</v>
      </c>
      <c r="AE677" s="202">
        <f>K677-Y677</f>
        <v>-11319.4</v>
      </c>
    </row>
    <row r="678" spans="1:31" hidden="1" outlineLevel="2" x14ac:dyDescent="0.3">
      <c r="A678" s="141"/>
      <c r="B678" s="360" t="s">
        <v>945</v>
      </c>
      <c r="C678" s="127" t="s">
        <v>28</v>
      </c>
      <c r="D678" s="259">
        <v>1.4004000000000001</v>
      </c>
      <c r="E678" s="145" t="s">
        <v>944</v>
      </c>
      <c r="F678" s="265">
        <f t="shared" si="341"/>
        <v>4797</v>
      </c>
      <c r="G678" s="216">
        <v>6717.26</v>
      </c>
      <c r="H678" s="274"/>
      <c r="I678" s="238"/>
      <c r="J678" s="265"/>
      <c r="K678" s="193"/>
      <c r="L678" s="274">
        <v>6.31</v>
      </c>
      <c r="M678" s="238">
        <v>0.22370000000000001</v>
      </c>
      <c r="N678" s="265">
        <f t="shared" si="342"/>
        <v>24088</v>
      </c>
      <c r="O678" s="193">
        <f t="shared" si="343"/>
        <v>5389</v>
      </c>
      <c r="P678" s="272">
        <v>6.31</v>
      </c>
      <c r="Q678" s="236">
        <f t="shared" si="344"/>
        <v>1.1767000000000001</v>
      </c>
      <c r="R678" s="265">
        <f t="shared" si="345"/>
        <v>24088</v>
      </c>
      <c r="S678" s="193">
        <f t="shared" si="346"/>
        <v>28344</v>
      </c>
      <c r="T678" s="230">
        <f t="shared" ref="T678:T680" si="405">M678</f>
        <v>0.22370000000000001</v>
      </c>
      <c r="U678" s="289">
        <v>51500</v>
      </c>
      <c r="V678" s="199">
        <f t="shared" ref="V678:V681" si="406">T678*U678</f>
        <v>11520.550000000001</v>
      </c>
      <c r="W678" s="232">
        <f t="shared" ref="W678" si="407">Q678</f>
        <v>1.1767000000000001</v>
      </c>
      <c r="X678" s="289">
        <v>37000</v>
      </c>
      <c r="Y678" s="199">
        <f t="shared" ref="Y678" si="408">W678*X678</f>
        <v>43537.9</v>
      </c>
      <c r="Z678" s="153"/>
      <c r="AA678" s="147"/>
      <c r="AB678" s="101">
        <f t="shared" si="351"/>
        <v>0</v>
      </c>
      <c r="AC678" s="226">
        <f t="shared" ref="AC678:AC699" si="409">W678</f>
        <v>1.1767000000000001</v>
      </c>
      <c r="AD678" s="302">
        <f>R678-X678</f>
        <v>-12912</v>
      </c>
      <c r="AE678" s="202">
        <f>O678+S678-V678-Y678</f>
        <v>-21325.450000000004</v>
      </c>
    </row>
    <row r="679" spans="1:31" hidden="1" outlineLevel="2" x14ac:dyDescent="0.3">
      <c r="A679" s="141"/>
      <c r="B679" s="328" t="s">
        <v>376</v>
      </c>
      <c r="C679" s="127" t="s">
        <v>28</v>
      </c>
      <c r="D679" s="259">
        <v>0.73499999999999999</v>
      </c>
      <c r="E679" s="64" t="s">
        <v>942</v>
      </c>
      <c r="F679" s="265">
        <f t="shared" si="341"/>
        <v>5547</v>
      </c>
      <c r="G679" s="216">
        <v>4077.21</v>
      </c>
      <c r="H679" s="274"/>
      <c r="I679" s="238"/>
      <c r="J679" s="265"/>
      <c r="K679" s="193"/>
      <c r="L679" s="274">
        <v>6.31</v>
      </c>
      <c r="M679" s="238">
        <v>0.73499999999999999</v>
      </c>
      <c r="N679" s="265">
        <f t="shared" si="342"/>
        <v>27854</v>
      </c>
      <c r="O679" s="193">
        <f t="shared" si="343"/>
        <v>20473</v>
      </c>
      <c r="P679" s="272"/>
      <c r="Q679" s="236"/>
      <c r="R679" s="265"/>
      <c r="S679" s="193"/>
      <c r="T679" s="230">
        <f t="shared" si="405"/>
        <v>0.73499999999999999</v>
      </c>
      <c r="U679" s="289">
        <v>41008</v>
      </c>
      <c r="V679" s="199">
        <f t="shared" si="406"/>
        <v>30140.880000000001</v>
      </c>
      <c r="W679" s="232"/>
      <c r="X679" s="290"/>
      <c r="Y679" s="199"/>
      <c r="Z679" s="153"/>
      <c r="AA679" s="147"/>
      <c r="AB679" s="101">
        <f t="shared" si="351"/>
        <v>0</v>
      </c>
      <c r="AC679" s="226">
        <f t="shared" si="409"/>
        <v>0</v>
      </c>
      <c r="AD679" s="302">
        <f>N679-U679</f>
        <v>-13154</v>
      </c>
      <c r="AE679" s="202">
        <f>O679-V679</f>
        <v>-9667.880000000001</v>
      </c>
    </row>
    <row r="680" spans="1:31" hidden="1" outlineLevel="2" x14ac:dyDescent="0.3">
      <c r="A680" s="141"/>
      <c r="B680" s="328" t="s">
        <v>943</v>
      </c>
      <c r="C680" s="127" t="s">
        <v>28</v>
      </c>
      <c r="D680" s="259">
        <v>4.7880000000000003</v>
      </c>
      <c r="E680" s="64" t="s">
        <v>941</v>
      </c>
      <c r="F680" s="265">
        <f t="shared" si="341"/>
        <v>8998</v>
      </c>
      <c r="G680" s="216">
        <v>43080.800000000003</v>
      </c>
      <c r="H680" s="274"/>
      <c r="I680" s="238"/>
      <c r="J680" s="265"/>
      <c r="K680" s="193"/>
      <c r="L680" s="274">
        <v>6.31</v>
      </c>
      <c r="M680" s="238">
        <v>4.7880000000000003</v>
      </c>
      <c r="N680" s="265">
        <f t="shared" si="342"/>
        <v>45183</v>
      </c>
      <c r="O680" s="193">
        <f t="shared" si="343"/>
        <v>216338</v>
      </c>
      <c r="P680" s="272"/>
      <c r="Q680" s="236"/>
      <c r="R680" s="265"/>
      <c r="S680" s="193"/>
      <c r="T680" s="230">
        <f t="shared" si="405"/>
        <v>4.7880000000000003</v>
      </c>
      <c r="U680" s="161">
        <v>41360</v>
      </c>
      <c r="V680" s="199">
        <f t="shared" si="406"/>
        <v>198031.68000000002</v>
      </c>
      <c r="W680" s="232"/>
      <c r="X680" s="161"/>
      <c r="Y680" s="199"/>
      <c r="Z680" s="153"/>
      <c r="AA680" s="147"/>
      <c r="AB680" s="101">
        <f t="shared" si="351"/>
        <v>0</v>
      </c>
      <c r="AC680" s="226">
        <f t="shared" si="409"/>
        <v>0</v>
      </c>
      <c r="AD680" s="304">
        <f>N680-U680</f>
        <v>3823</v>
      </c>
      <c r="AE680" s="305">
        <f>O680-V680</f>
        <v>18306.319999999978</v>
      </c>
    </row>
    <row r="681" spans="1:31" ht="30.75" hidden="1" customHeight="1" outlineLevel="2" x14ac:dyDescent="0.3">
      <c r="A681" s="141"/>
      <c r="B681" s="328" t="s">
        <v>629</v>
      </c>
      <c r="C681" s="127" t="s">
        <v>28</v>
      </c>
      <c r="D681" s="261">
        <v>0.32800000000000001</v>
      </c>
      <c r="E681" s="64" t="s">
        <v>946</v>
      </c>
      <c r="F681" s="265">
        <f t="shared" ref="F681:F697" si="410">ROUND(G681/D681,0)</f>
        <v>5966</v>
      </c>
      <c r="G681" s="216">
        <v>1957</v>
      </c>
      <c r="H681" s="274">
        <v>6.11</v>
      </c>
      <c r="I681" s="238">
        <v>2E-3</v>
      </c>
      <c r="J681" s="265">
        <f t="shared" ref="J681:J697" si="411">ROUND(F681*H681*0.7958,0)</f>
        <v>29009</v>
      </c>
      <c r="K681" s="196">
        <f>ROUND(F681*H681*I681*0.7958,0)</f>
        <v>58</v>
      </c>
      <c r="L681" s="279">
        <v>6.31</v>
      </c>
      <c r="M681" s="246">
        <v>0.32800000000000001</v>
      </c>
      <c r="N681" s="265">
        <f t="shared" ref="N681:N697" si="412">ROUND(F681*L681*0.7958,0)</f>
        <v>29958</v>
      </c>
      <c r="O681" s="193">
        <f t="shared" ref="O681:O697" si="413">ROUND(M681*L681*F681*0.7958,0)</f>
        <v>9826</v>
      </c>
      <c r="P681" s="272"/>
      <c r="Q681" s="236"/>
      <c r="R681" s="265"/>
      <c r="S681" s="193"/>
      <c r="T681" s="230">
        <f>M681+I681</f>
        <v>0.33</v>
      </c>
      <c r="U681" s="296">
        <v>42300</v>
      </c>
      <c r="V681" s="199">
        <f t="shared" si="406"/>
        <v>13959</v>
      </c>
      <c r="W681" s="232"/>
      <c r="X681" s="290"/>
      <c r="Y681" s="199"/>
      <c r="Z681" s="153"/>
      <c r="AA681" s="147"/>
      <c r="AB681" s="101">
        <f t="shared" ref="AB681:AB697" si="414">ROUND(Z681*AA681,0)</f>
        <v>0</v>
      </c>
      <c r="AC681" s="226">
        <f t="shared" si="409"/>
        <v>0</v>
      </c>
      <c r="AD681" s="302">
        <f>N681-U681</f>
        <v>-12342</v>
      </c>
      <c r="AE681" s="202">
        <f>K681+O681+S681-V681-Y681</f>
        <v>-4075</v>
      </c>
    </row>
    <row r="682" spans="1:31" hidden="1" outlineLevel="2" x14ac:dyDescent="0.3">
      <c r="B682" s="328" t="s">
        <v>630</v>
      </c>
      <c r="C682" s="127" t="s">
        <v>28</v>
      </c>
      <c r="D682" s="259">
        <v>2.6800000000000001E-2</v>
      </c>
      <c r="E682" s="64"/>
      <c r="F682" s="265">
        <f t="shared" si="410"/>
        <v>68916</v>
      </c>
      <c r="G682" s="216">
        <v>1846.95</v>
      </c>
      <c r="H682" s="274"/>
      <c r="I682" s="238"/>
      <c r="J682" s="265"/>
      <c r="K682" s="193"/>
      <c r="L682" s="274"/>
      <c r="M682" s="238"/>
      <c r="N682" s="265"/>
      <c r="O682" s="193"/>
      <c r="P682" s="272">
        <v>6.31</v>
      </c>
      <c r="Q682" s="236">
        <f t="shared" ref="Q682:Q697" si="415">D682-I682-M682</f>
        <v>2.6800000000000001E-2</v>
      </c>
      <c r="R682" s="265">
        <f t="shared" ref="R682:R697" si="416">ROUND(F682*P682*0.7958,0)</f>
        <v>346062</v>
      </c>
      <c r="S682" s="193">
        <f t="shared" ref="S682:S697" si="417">ROUND(Q682*P682*F682*0.7958,0)</f>
        <v>9274</v>
      </c>
      <c r="T682" s="230"/>
      <c r="U682" s="290"/>
      <c r="V682" s="199"/>
      <c r="W682" s="232">
        <f t="shared" ref="W682" si="418">Q682</f>
        <v>2.6800000000000001E-2</v>
      </c>
      <c r="X682" s="289">
        <v>525311</v>
      </c>
      <c r="Y682" s="199">
        <f t="shared" ref="Y682" si="419">W682*X682</f>
        <v>14078.334800000001</v>
      </c>
      <c r="Z682" s="153"/>
      <c r="AA682" s="147"/>
      <c r="AB682" s="101">
        <f t="shared" si="414"/>
        <v>0</v>
      </c>
      <c r="AC682" s="226">
        <f t="shared" si="409"/>
        <v>2.6800000000000001E-2</v>
      </c>
      <c r="AD682" s="302">
        <f>R682-X682</f>
        <v>-179249</v>
      </c>
      <c r="AE682" s="202">
        <f>S682-Y682</f>
        <v>-4804.3348000000005</v>
      </c>
    </row>
    <row r="683" spans="1:31" ht="38.25" hidden="1" customHeight="1" outlineLevel="2" x14ac:dyDescent="0.3">
      <c r="A683" s="141"/>
      <c r="B683" s="328" t="s">
        <v>937</v>
      </c>
      <c r="C683" s="127" t="s">
        <v>5</v>
      </c>
      <c r="D683" s="259">
        <v>535</v>
      </c>
      <c r="E683" s="64"/>
      <c r="F683" s="265">
        <f t="shared" si="410"/>
        <v>14</v>
      </c>
      <c r="G683" s="216">
        <v>7463.25</v>
      </c>
      <c r="H683" s="274"/>
      <c r="I683" s="238"/>
      <c r="J683" s="265"/>
      <c r="K683" s="193"/>
      <c r="L683" s="274"/>
      <c r="M683" s="238"/>
      <c r="N683" s="265"/>
      <c r="O683" s="193"/>
      <c r="P683" s="272">
        <v>6.31</v>
      </c>
      <c r="Q683" s="236">
        <f t="shared" si="415"/>
        <v>535</v>
      </c>
      <c r="R683" s="265">
        <f t="shared" si="416"/>
        <v>70</v>
      </c>
      <c r="S683" s="193">
        <f t="shared" si="417"/>
        <v>37611</v>
      </c>
      <c r="T683" s="230"/>
      <c r="U683" s="290"/>
      <c r="V683" s="199"/>
      <c r="W683" s="232">
        <f t="shared" ref="W683:W686" si="420">Q683</f>
        <v>535</v>
      </c>
      <c r="X683" s="290">
        <v>78.11</v>
      </c>
      <c r="Y683" s="199">
        <f t="shared" ref="Y683:Y685" si="421">W683*X683</f>
        <v>41788.85</v>
      </c>
      <c r="Z683" s="153"/>
      <c r="AA683" s="147"/>
      <c r="AB683" s="101">
        <f t="shared" si="414"/>
        <v>0</v>
      </c>
      <c r="AC683" s="226">
        <f t="shared" si="409"/>
        <v>535</v>
      </c>
      <c r="AD683" s="302">
        <f>R683-X683</f>
        <v>-8.11</v>
      </c>
      <c r="AE683" s="202">
        <f>S683-Y683</f>
        <v>-4177.8499999999985</v>
      </c>
    </row>
    <row r="684" spans="1:31" ht="37.5" hidden="1" customHeight="1" outlineLevel="2" x14ac:dyDescent="0.3">
      <c r="A684" s="141"/>
      <c r="B684" s="328" t="s">
        <v>938</v>
      </c>
      <c r="C684" s="127" t="s">
        <v>5</v>
      </c>
      <c r="D684" s="259">
        <v>190</v>
      </c>
      <c r="E684" s="64"/>
      <c r="F684" s="265">
        <f t="shared" si="410"/>
        <v>22</v>
      </c>
      <c r="G684" s="216">
        <v>4107.8</v>
      </c>
      <c r="H684" s="274"/>
      <c r="I684" s="238"/>
      <c r="J684" s="265"/>
      <c r="K684" s="193"/>
      <c r="L684" s="274"/>
      <c r="M684" s="238"/>
      <c r="N684" s="265"/>
      <c r="O684" s="193"/>
      <c r="P684" s="272">
        <v>6.31</v>
      </c>
      <c r="Q684" s="236">
        <f t="shared" si="415"/>
        <v>190</v>
      </c>
      <c r="R684" s="265">
        <f t="shared" si="416"/>
        <v>110</v>
      </c>
      <c r="S684" s="193">
        <f t="shared" si="417"/>
        <v>20990</v>
      </c>
      <c r="T684" s="230"/>
      <c r="U684" s="290"/>
      <c r="V684" s="199"/>
      <c r="W684" s="232">
        <f t="shared" si="420"/>
        <v>190</v>
      </c>
      <c r="X684" s="290">
        <v>58.11</v>
      </c>
      <c r="Y684" s="199">
        <f t="shared" si="421"/>
        <v>11040.9</v>
      </c>
      <c r="Z684" s="153"/>
      <c r="AA684" s="147"/>
      <c r="AB684" s="101">
        <f t="shared" si="414"/>
        <v>0</v>
      </c>
      <c r="AC684" s="226">
        <f t="shared" si="409"/>
        <v>190</v>
      </c>
      <c r="AD684" s="304">
        <f t="shared" ref="AD684:AD685" si="422">R684-X684</f>
        <v>51.89</v>
      </c>
      <c r="AE684" s="305">
        <f>S684-Y684</f>
        <v>9949.1</v>
      </c>
    </row>
    <row r="685" spans="1:31" ht="39" hidden="1" customHeight="1" outlineLevel="2" x14ac:dyDescent="0.3">
      <c r="A685" s="141"/>
      <c r="B685" s="328" t="s">
        <v>939</v>
      </c>
      <c r="C685" s="127" t="s">
        <v>5</v>
      </c>
      <c r="D685" s="259">
        <v>10</v>
      </c>
      <c r="E685" s="64"/>
      <c r="F685" s="265">
        <f t="shared" si="410"/>
        <v>10</v>
      </c>
      <c r="G685" s="216">
        <v>95.03</v>
      </c>
      <c r="H685" s="274"/>
      <c r="I685" s="238"/>
      <c r="J685" s="265"/>
      <c r="K685" s="193"/>
      <c r="L685" s="274"/>
      <c r="M685" s="238"/>
      <c r="N685" s="265"/>
      <c r="O685" s="193"/>
      <c r="P685" s="272">
        <v>6.31</v>
      </c>
      <c r="Q685" s="236">
        <f t="shared" si="415"/>
        <v>10</v>
      </c>
      <c r="R685" s="265">
        <f t="shared" si="416"/>
        <v>50</v>
      </c>
      <c r="S685" s="193">
        <f t="shared" si="417"/>
        <v>502</v>
      </c>
      <c r="T685" s="230"/>
      <c r="U685" s="290"/>
      <c r="V685" s="199"/>
      <c r="W685" s="232">
        <f t="shared" si="420"/>
        <v>10</v>
      </c>
      <c r="X685" s="290">
        <v>37.58</v>
      </c>
      <c r="Y685" s="199">
        <f t="shared" si="421"/>
        <v>375.79999999999995</v>
      </c>
      <c r="Z685" s="153"/>
      <c r="AA685" s="147"/>
      <c r="AB685" s="101">
        <f t="shared" si="414"/>
        <v>0</v>
      </c>
      <c r="AC685" s="226">
        <f t="shared" si="409"/>
        <v>10</v>
      </c>
      <c r="AD685" s="304">
        <f t="shared" si="422"/>
        <v>12.420000000000002</v>
      </c>
      <c r="AE685" s="305">
        <f>S685-Y685</f>
        <v>126.20000000000005</v>
      </c>
    </row>
    <row r="686" spans="1:31" ht="50.25" hidden="1" customHeight="1" outlineLevel="2" x14ac:dyDescent="0.3">
      <c r="A686" s="141"/>
      <c r="B686" s="328" t="s">
        <v>926</v>
      </c>
      <c r="C686" s="127" t="s">
        <v>28</v>
      </c>
      <c r="D686" s="259">
        <v>6.3E-2</v>
      </c>
      <c r="E686" s="64" t="s">
        <v>927</v>
      </c>
      <c r="F686" s="265">
        <f t="shared" si="410"/>
        <v>59478</v>
      </c>
      <c r="G686" s="216">
        <v>3747.09</v>
      </c>
      <c r="H686" s="274"/>
      <c r="I686" s="238"/>
      <c r="J686" s="265"/>
      <c r="K686" s="193"/>
      <c r="L686" s="274"/>
      <c r="M686" s="238"/>
      <c r="N686" s="265"/>
      <c r="O686" s="193"/>
      <c r="P686" s="272">
        <v>6.31</v>
      </c>
      <c r="Q686" s="236">
        <f t="shared" si="415"/>
        <v>6.3E-2</v>
      </c>
      <c r="R686" s="265">
        <f t="shared" si="416"/>
        <v>298669</v>
      </c>
      <c r="S686" s="193">
        <f t="shared" si="417"/>
        <v>18816</v>
      </c>
      <c r="T686" s="230"/>
      <c r="U686" s="290"/>
      <c r="V686" s="199"/>
      <c r="W686" s="232">
        <f t="shared" si="420"/>
        <v>6.3E-2</v>
      </c>
      <c r="X686" s="289">
        <v>156700</v>
      </c>
      <c r="Y686" s="199">
        <f>W686*X686</f>
        <v>9872.1</v>
      </c>
      <c r="Z686" s="153"/>
      <c r="AA686" s="147"/>
      <c r="AB686" s="101">
        <f t="shared" si="414"/>
        <v>0</v>
      </c>
      <c r="AC686" s="226">
        <f t="shared" si="409"/>
        <v>6.3E-2</v>
      </c>
      <c r="AD686" s="304">
        <f>R686-X686</f>
        <v>141969</v>
      </c>
      <c r="AE686" s="305">
        <f>S686-Y686</f>
        <v>8943.9</v>
      </c>
    </row>
    <row r="687" spans="1:31" hidden="1" outlineLevel="2" x14ac:dyDescent="0.3">
      <c r="B687" s="328" t="s">
        <v>631</v>
      </c>
      <c r="C687" s="127" t="s">
        <v>5</v>
      </c>
      <c r="D687" s="259">
        <v>0.17499999999999999</v>
      </c>
      <c r="E687" s="64"/>
      <c r="F687" s="265">
        <f t="shared" si="410"/>
        <v>31</v>
      </c>
      <c r="G687" s="216">
        <v>5.4</v>
      </c>
      <c r="H687" s="274">
        <v>6.11</v>
      </c>
      <c r="I687" s="238">
        <v>0.17499999999999999</v>
      </c>
      <c r="J687" s="265">
        <f t="shared" si="411"/>
        <v>151</v>
      </c>
      <c r="K687" s="193">
        <f t="shared" ref="K687:K697" si="423">ROUND(I687*H687*F687*0.7958,0)</f>
        <v>26</v>
      </c>
      <c r="L687" s="274"/>
      <c r="M687" s="238"/>
      <c r="N687" s="265"/>
      <c r="O687" s="193"/>
      <c r="P687" s="272"/>
      <c r="Q687" s="236"/>
      <c r="R687" s="265"/>
      <c r="S687" s="193"/>
      <c r="T687" s="230">
        <f>I687</f>
        <v>0.17499999999999999</v>
      </c>
      <c r="U687" s="289">
        <v>301</v>
      </c>
      <c r="V687" s="199">
        <f>T687*U687</f>
        <v>52.674999999999997</v>
      </c>
      <c r="W687" s="232"/>
      <c r="X687" s="290"/>
      <c r="Y687" s="199"/>
      <c r="Z687" s="153"/>
      <c r="AA687" s="147"/>
      <c r="AB687" s="101">
        <f t="shared" si="414"/>
        <v>0</v>
      </c>
      <c r="AC687" s="226">
        <f t="shared" si="409"/>
        <v>0</v>
      </c>
      <c r="AD687" s="302">
        <f>J687-U687</f>
        <v>-150</v>
      </c>
      <c r="AE687" s="202">
        <f>K687-V687</f>
        <v>-26.674999999999997</v>
      </c>
    </row>
    <row r="688" spans="1:31" hidden="1" outlineLevel="2" x14ac:dyDescent="0.3">
      <c r="A688" s="141"/>
      <c r="B688" s="328" t="s">
        <v>632</v>
      </c>
      <c r="C688" s="127" t="s">
        <v>40</v>
      </c>
      <c r="D688" s="259">
        <v>8</v>
      </c>
      <c r="E688" s="64"/>
      <c r="F688" s="265">
        <f t="shared" si="410"/>
        <v>28</v>
      </c>
      <c r="G688" s="216">
        <v>227.44</v>
      </c>
      <c r="H688" s="274"/>
      <c r="I688" s="238"/>
      <c r="J688" s="265"/>
      <c r="K688" s="193"/>
      <c r="L688" s="274">
        <v>6.31</v>
      </c>
      <c r="M688" s="238">
        <v>8</v>
      </c>
      <c r="N688" s="265">
        <f t="shared" si="412"/>
        <v>141</v>
      </c>
      <c r="O688" s="193">
        <f t="shared" si="413"/>
        <v>1125</v>
      </c>
      <c r="P688" s="272"/>
      <c r="Q688" s="236"/>
      <c r="R688" s="265"/>
      <c r="S688" s="193"/>
      <c r="T688" s="230">
        <f t="shared" ref="T688:T691" si="424">M688</f>
        <v>8</v>
      </c>
      <c r="U688" s="289">
        <v>310.27999999999997</v>
      </c>
      <c r="V688" s="199">
        <f t="shared" ref="V688:V697" si="425">T688*U688</f>
        <v>2482.2399999999998</v>
      </c>
      <c r="W688" s="232"/>
      <c r="X688" s="290"/>
      <c r="Y688" s="199"/>
      <c r="Z688" s="153"/>
      <c r="AA688" s="147"/>
      <c r="AB688" s="101">
        <f t="shared" si="414"/>
        <v>0</v>
      </c>
      <c r="AC688" s="226">
        <f t="shared" si="409"/>
        <v>0</v>
      </c>
      <c r="AD688" s="302">
        <f>N688-U688</f>
        <v>-169.27999999999997</v>
      </c>
      <c r="AE688" s="202">
        <f>O688-V688</f>
        <v>-1357.2399999999998</v>
      </c>
    </row>
    <row r="689" spans="1:32" hidden="1" outlineLevel="2" x14ac:dyDescent="0.3">
      <c r="A689" s="141"/>
      <c r="B689" s="328" t="s">
        <v>633</v>
      </c>
      <c r="C689" s="127" t="s">
        <v>40</v>
      </c>
      <c r="D689" s="259">
        <v>5</v>
      </c>
      <c r="E689" s="64"/>
      <c r="F689" s="265">
        <f t="shared" si="410"/>
        <v>48</v>
      </c>
      <c r="G689" s="216">
        <v>239.25</v>
      </c>
      <c r="H689" s="274"/>
      <c r="I689" s="238"/>
      <c r="J689" s="265"/>
      <c r="K689" s="193"/>
      <c r="L689" s="274">
        <v>6.31</v>
      </c>
      <c r="M689" s="238">
        <v>5</v>
      </c>
      <c r="N689" s="265">
        <f t="shared" si="412"/>
        <v>241</v>
      </c>
      <c r="O689" s="193">
        <f t="shared" si="413"/>
        <v>1205</v>
      </c>
      <c r="P689" s="272"/>
      <c r="Q689" s="236"/>
      <c r="R689" s="265"/>
      <c r="S689" s="193"/>
      <c r="T689" s="230">
        <f t="shared" si="424"/>
        <v>5</v>
      </c>
      <c r="U689" s="289">
        <v>301.44</v>
      </c>
      <c r="V689" s="199">
        <f t="shared" si="425"/>
        <v>1507.2</v>
      </c>
      <c r="W689" s="232"/>
      <c r="X689" s="290"/>
      <c r="Y689" s="199"/>
      <c r="Z689" s="153"/>
      <c r="AA689" s="147"/>
      <c r="AB689" s="101">
        <f t="shared" si="414"/>
        <v>0</v>
      </c>
      <c r="AC689" s="226">
        <f t="shared" si="409"/>
        <v>0</v>
      </c>
      <c r="AD689" s="302">
        <f>N689-U689</f>
        <v>-60.44</v>
      </c>
      <c r="AE689" s="202">
        <f>O689-V689</f>
        <v>-302.20000000000005</v>
      </c>
    </row>
    <row r="690" spans="1:32" hidden="1" outlineLevel="2" x14ac:dyDescent="0.3">
      <c r="A690" s="141"/>
      <c r="B690" s="328" t="s">
        <v>634</v>
      </c>
      <c r="C690" s="127" t="s">
        <v>40</v>
      </c>
      <c r="D690" s="259">
        <v>18</v>
      </c>
      <c r="E690" s="64"/>
      <c r="F690" s="265">
        <f t="shared" si="410"/>
        <v>57</v>
      </c>
      <c r="G690" s="216">
        <v>1020.96</v>
      </c>
      <c r="H690" s="274"/>
      <c r="I690" s="238"/>
      <c r="J690" s="265"/>
      <c r="K690" s="193"/>
      <c r="L690" s="274"/>
      <c r="M690" s="238"/>
      <c r="N690" s="265"/>
      <c r="O690" s="193"/>
      <c r="P690" s="272">
        <v>6.31</v>
      </c>
      <c r="Q690" s="236">
        <f t="shared" si="415"/>
        <v>18</v>
      </c>
      <c r="R690" s="265">
        <f t="shared" si="416"/>
        <v>286</v>
      </c>
      <c r="S690" s="193">
        <f t="shared" si="417"/>
        <v>5152</v>
      </c>
      <c r="T690" s="230"/>
      <c r="U690" s="289"/>
      <c r="V690" s="199"/>
      <c r="W690" s="232">
        <f t="shared" ref="W690:W697" si="426">Q690</f>
        <v>18</v>
      </c>
      <c r="X690" s="290">
        <v>507.5</v>
      </c>
      <c r="Y690" s="199">
        <f>W690*X690</f>
        <v>9135</v>
      </c>
      <c r="Z690" s="153"/>
      <c r="AA690" s="147"/>
      <c r="AB690" s="101">
        <f t="shared" si="414"/>
        <v>0</v>
      </c>
      <c r="AC690" s="226">
        <f t="shared" si="409"/>
        <v>18</v>
      </c>
      <c r="AD690" s="302">
        <f>R690-X690</f>
        <v>-221.5</v>
      </c>
      <c r="AE690" s="202">
        <f>S690-Y690</f>
        <v>-3983</v>
      </c>
    </row>
    <row r="691" spans="1:32" hidden="1" outlineLevel="2" x14ac:dyDescent="0.3">
      <c r="B691" s="328" t="s">
        <v>635</v>
      </c>
      <c r="C691" s="127" t="s">
        <v>40</v>
      </c>
      <c r="D691" s="259">
        <v>362</v>
      </c>
      <c r="E691" s="64"/>
      <c r="F691" s="265">
        <f t="shared" si="410"/>
        <v>3</v>
      </c>
      <c r="G691" s="216">
        <v>948.46</v>
      </c>
      <c r="H691" s="274"/>
      <c r="I691" s="238"/>
      <c r="J691" s="265"/>
      <c r="K691" s="193"/>
      <c r="L691" s="274">
        <v>6.31</v>
      </c>
      <c r="M691" s="238">
        <v>1.32</v>
      </c>
      <c r="N691" s="265">
        <f t="shared" si="412"/>
        <v>15</v>
      </c>
      <c r="O691" s="193">
        <f t="shared" si="413"/>
        <v>20</v>
      </c>
      <c r="P691" s="272">
        <v>6.31</v>
      </c>
      <c r="Q691" s="236">
        <f t="shared" si="415"/>
        <v>360.68</v>
      </c>
      <c r="R691" s="265">
        <f t="shared" si="416"/>
        <v>15</v>
      </c>
      <c r="S691" s="193">
        <f t="shared" si="417"/>
        <v>5433</v>
      </c>
      <c r="T691" s="230">
        <f t="shared" si="424"/>
        <v>1.32</v>
      </c>
      <c r="U691" s="289">
        <v>3</v>
      </c>
      <c r="V691" s="199">
        <f t="shared" si="425"/>
        <v>3.96</v>
      </c>
      <c r="W691" s="232">
        <f t="shared" si="426"/>
        <v>360.68</v>
      </c>
      <c r="X691" s="290"/>
      <c r="Y691" s="199">
        <f t="shared" ref="Y691:Y695" si="427">W691*X691</f>
        <v>0</v>
      </c>
      <c r="Z691" s="153"/>
      <c r="AA691" s="147"/>
      <c r="AB691" s="101">
        <f t="shared" si="414"/>
        <v>0</v>
      </c>
      <c r="AC691" s="226">
        <f t="shared" si="409"/>
        <v>360.68</v>
      </c>
      <c r="AD691" s="304">
        <f t="shared" ref="AD691:AD696" si="428">R691-X691</f>
        <v>15</v>
      </c>
      <c r="AE691" s="305">
        <f>O691+S691-V691-Y691</f>
        <v>5449.04</v>
      </c>
    </row>
    <row r="692" spans="1:32" hidden="1" outlineLevel="2" x14ac:dyDescent="0.3">
      <c r="B692" s="328" t="s">
        <v>636</v>
      </c>
      <c r="C692" s="127" t="s">
        <v>28</v>
      </c>
      <c r="D692" s="259">
        <v>1.0999999999999999E-2</v>
      </c>
      <c r="E692" s="64"/>
      <c r="F692" s="265">
        <f t="shared" si="410"/>
        <v>103923</v>
      </c>
      <c r="G692" s="216">
        <v>1143.1500000000001</v>
      </c>
      <c r="H692" s="274"/>
      <c r="I692" s="238"/>
      <c r="J692" s="265"/>
      <c r="K692" s="193"/>
      <c r="L692" s="274"/>
      <c r="M692" s="238"/>
      <c r="N692" s="265"/>
      <c r="O692" s="193"/>
      <c r="P692" s="272">
        <v>6.31</v>
      </c>
      <c r="Q692" s="236">
        <f t="shared" si="415"/>
        <v>1.0999999999999999E-2</v>
      </c>
      <c r="R692" s="265">
        <f t="shared" si="416"/>
        <v>521849</v>
      </c>
      <c r="S692" s="193">
        <f t="shared" si="417"/>
        <v>5740</v>
      </c>
      <c r="T692" s="230"/>
      <c r="U692" s="289"/>
      <c r="V692" s="199"/>
      <c r="W692" s="232">
        <f t="shared" si="426"/>
        <v>1.0999999999999999E-2</v>
      </c>
      <c r="X692" s="289">
        <v>570000</v>
      </c>
      <c r="Y692" s="199">
        <f t="shared" si="427"/>
        <v>6270</v>
      </c>
      <c r="Z692" s="153"/>
      <c r="AA692" s="147"/>
      <c r="AB692" s="101">
        <f t="shared" si="414"/>
        <v>0</v>
      </c>
      <c r="AC692" s="226">
        <f t="shared" si="409"/>
        <v>1.0999999999999999E-2</v>
      </c>
      <c r="AD692" s="302">
        <f t="shared" si="428"/>
        <v>-48151</v>
      </c>
      <c r="AE692" s="202">
        <f>S692-Y692</f>
        <v>-530</v>
      </c>
    </row>
    <row r="693" spans="1:32" ht="33" hidden="1" customHeight="1" outlineLevel="2" x14ac:dyDescent="0.3">
      <c r="A693" s="141"/>
      <c r="B693" s="328" t="s">
        <v>932</v>
      </c>
      <c r="C693" s="127" t="s">
        <v>16</v>
      </c>
      <c r="D693" s="259">
        <v>46.07</v>
      </c>
      <c r="E693" s="64" t="s">
        <v>933</v>
      </c>
      <c r="F693" s="265">
        <f t="shared" si="410"/>
        <v>63</v>
      </c>
      <c r="G693" s="216">
        <v>2891.35</v>
      </c>
      <c r="H693" s="274"/>
      <c r="I693" s="238"/>
      <c r="J693" s="265"/>
      <c r="K693" s="193"/>
      <c r="L693" s="274"/>
      <c r="M693" s="238"/>
      <c r="N693" s="265"/>
      <c r="O693" s="193"/>
      <c r="P693" s="272">
        <v>6.31</v>
      </c>
      <c r="Q693" s="236">
        <f t="shared" si="415"/>
        <v>46.07</v>
      </c>
      <c r="R693" s="265">
        <f t="shared" si="416"/>
        <v>316</v>
      </c>
      <c r="S693" s="193">
        <f t="shared" si="417"/>
        <v>14574</v>
      </c>
      <c r="T693" s="230"/>
      <c r="U693" s="289"/>
      <c r="V693" s="199"/>
      <c r="W693" s="232">
        <v>46.07</v>
      </c>
      <c r="X693" s="289">
        <v>680</v>
      </c>
      <c r="Y693" s="199">
        <f t="shared" si="427"/>
        <v>31327.599999999999</v>
      </c>
      <c r="Z693" s="153"/>
      <c r="AA693" s="147"/>
      <c r="AB693" s="101">
        <f t="shared" si="414"/>
        <v>0</v>
      </c>
      <c r="AC693" s="226">
        <f t="shared" si="409"/>
        <v>46.07</v>
      </c>
      <c r="AD693" s="302">
        <f t="shared" si="428"/>
        <v>-364</v>
      </c>
      <c r="AE693" s="202">
        <f>S693-Y693</f>
        <v>-16753.599999999999</v>
      </c>
    </row>
    <row r="694" spans="1:32" hidden="1" outlineLevel="2" x14ac:dyDescent="0.3">
      <c r="B694" s="328" t="s">
        <v>487</v>
      </c>
      <c r="C694" s="127" t="s">
        <v>40</v>
      </c>
      <c r="D694" s="259">
        <v>42.48</v>
      </c>
      <c r="E694" s="64"/>
      <c r="F694" s="265">
        <f t="shared" si="410"/>
        <v>228</v>
      </c>
      <c r="G694" s="216">
        <v>9702.43</v>
      </c>
      <c r="H694" s="274">
        <v>6.11</v>
      </c>
      <c r="I694" s="238">
        <v>7.36</v>
      </c>
      <c r="J694" s="265">
        <f t="shared" si="411"/>
        <v>1109</v>
      </c>
      <c r="K694" s="193">
        <f t="shared" si="423"/>
        <v>8159</v>
      </c>
      <c r="L694" s="274">
        <v>6.31</v>
      </c>
      <c r="M694" s="238">
        <v>30.8</v>
      </c>
      <c r="N694" s="265">
        <f t="shared" si="412"/>
        <v>1145</v>
      </c>
      <c r="O694" s="193">
        <f t="shared" si="413"/>
        <v>35263</v>
      </c>
      <c r="P694" s="272">
        <v>6.31</v>
      </c>
      <c r="Q694" s="236">
        <f t="shared" si="415"/>
        <v>4.3199999999999967</v>
      </c>
      <c r="R694" s="265">
        <f t="shared" si="416"/>
        <v>1145</v>
      </c>
      <c r="S694" s="193">
        <f t="shared" si="417"/>
        <v>4946</v>
      </c>
      <c r="T694" s="230">
        <f>M694+I694</f>
        <v>38.160000000000004</v>
      </c>
      <c r="U694" s="289">
        <v>2831</v>
      </c>
      <c r="V694" s="199">
        <f t="shared" si="425"/>
        <v>108030.96</v>
      </c>
      <c r="W694" s="232">
        <f t="shared" si="426"/>
        <v>4.3199999999999967</v>
      </c>
      <c r="X694" s="289">
        <v>2831</v>
      </c>
      <c r="Y694" s="199">
        <f t="shared" si="427"/>
        <v>12229.919999999991</v>
      </c>
      <c r="Z694" s="153"/>
      <c r="AA694" s="147"/>
      <c r="AB694" s="101">
        <f t="shared" si="414"/>
        <v>0</v>
      </c>
      <c r="AC694" s="226">
        <f t="shared" si="409"/>
        <v>4.3199999999999967</v>
      </c>
      <c r="AD694" s="302">
        <f t="shared" si="428"/>
        <v>-1686</v>
      </c>
      <c r="AE694" s="202">
        <f t="shared" ref="AE694:AE699" si="429">K694+O694+S694-V694-Y694</f>
        <v>-71892.88</v>
      </c>
    </row>
    <row r="695" spans="1:32" hidden="1" outlineLevel="2" x14ac:dyDescent="0.3">
      <c r="B695" s="328" t="s">
        <v>488</v>
      </c>
      <c r="C695" s="127" t="s">
        <v>16</v>
      </c>
      <c r="D695" s="259">
        <v>571.64980000000003</v>
      </c>
      <c r="E695" s="64"/>
      <c r="F695" s="265">
        <f t="shared" si="410"/>
        <v>11</v>
      </c>
      <c r="G695" s="216">
        <v>6361.7</v>
      </c>
      <c r="H695" s="274">
        <v>6.11</v>
      </c>
      <c r="I695" s="238">
        <v>11.66</v>
      </c>
      <c r="J695" s="265">
        <f t="shared" si="411"/>
        <v>53</v>
      </c>
      <c r="K695" s="193">
        <f t="shared" si="423"/>
        <v>624</v>
      </c>
      <c r="L695" s="274">
        <v>6.31</v>
      </c>
      <c r="M695" s="238">
        <v>72.2209</v>
      </c>
      <c r="N695" s="265">
        <f t="shared" si="412"/>
        <v>55</v>
      </c>
      <c r="O695" s="193">
        <f t="shared" si="413"/>
        <v>3989</v>
      </c>
      <c r="P695" s="272">
        <v>6.31</v>
      </c>
      <c r="Q695" s="236">
        <f t="shared" si="415"/>
        <v>487.76890000000003</v>
      </c>
      <c r="R695" s="265">
        <f t="shared" si="416"/>
        <v>55</v>
      </c>
      <c r="S695" s="193">
        <f t="shared" si="417"/>
        <v>26943</v>
      </c>
      <c r="T695" s="230">
        <f t="shared" ref="T695:T699" si="430">M695+I695</f>
        <v>83.880899999999997</v>
      </c>
      <c r="U695" s="290">
        <v>275.36</v>
      </c>
      <c r="V695" s="199">
        <f>T695*U695</f>
        <v>23097.444624</v>
      </c>
      <c r="W695" s="232">
        <f t="shared" si="426"/>
        <v>487.76890000000003</v>
      </c>
      <c r="X695" s="289">
        <v>275.36</v>
      </c>
      <c r="Y695" s="199">
        <f t="shared" si="427"/>
        <v>134312.04430400001</v>
      </c>
      <c r="Z695" s="153"/>
      <c r="AA695" s="147"/>
      <c r="AB695" s="101">
        <f t="shared" si="414"/>
        <v>0</v>
      </c>
      <c r="AC695" s="226">
        <f t="shared" si="409"/>
        <v>487.76890000000003</v>
      </c>
      <c r="AD695" s="304">
        <f t="shared" si="428"/>
        <v>-220.36</v>
      </c>
      <c r="AE695" s="305">
        <f t="shared" si="429"/>
        <v>-125853.48892800001</v>
      </c>
    </row>
    <row r="696" spans="1:32" hidden="1" outlineLevel="2" x14ac:dyDescent="0.3">
      <c r="B696" s="328" t="s">
        <v>1054</v>
      </c>
      <c r="C696" s="127" t="s">
        <v>364</v>
      </c>
      <c r="D696" s="259">
        <v>1</v>
      </c>
      <c r="E696" s="64"/>
      <c r="F696" s="265">
        <f t="shared" si="410"/>
        <v>2172</v>
      </c>
      <c r="G696" s="216">
        <v>2172.44</v>
      </c>
      <c r="H696" s="274"/>
      <c r="I696" s="238"/>
      <c r="J696" s="265"/>
      <c r="K696" s="193"/>
      <c r="L696" s="274"/>
      <c r="M696" s="238"/>
      <c r="N696" s="265"/>
      <c r="O696" s="193"/>
      <c r="P696" s="272">
        <v>6.31</v>
      </c>
      <c r="Q696" s="236">
        <f t="shared" si="415"/>
        <v>1</v>
      </c>
      <c r="R696" s="265">
        <f t="shared" si="416"/>
        <v>10907</v>
      </c>
      <c r="S696" s="193">
        <f t="shared" si="417"/>
        <v>10907</v>
      </c>
      <c r="T696" s="230"/>
      <c r="U696" s="290"/>
      <c r="V696" s="199"/>
      <c r="W696" s="232">
        <f t="shared" si="426"/>
        <v>1</v>
      </c>
      <c r="X696" s="289">
        <v>13592</v>
      </c>
      <c r="Y696" s="199">
        <f>X696*D696</f>
        <v>13592</v>
      </c>
      <c r="Z696" s="153"/>
      <c r="AA696" s="147"/>
      <c r="AB696" s="101">
        <f t="shared" si="414"/>
        <v>0</v>
      </c>
      <c r="AC696" s="226">
        <v>1</v>
      </c>
      <c r="AD696" s="302">
        <f t="shared" si="428"/>
        <v>-2685</v>
      </c>
      <c r="AE696" s="202">
        <f t="shared" si="429"/>
        <v>-2685</v>
      </c>
    </row>
    <row r="697" spans="1:32" hidden="1" outlineLevel="2" x14ac:dyDescent="0.3">
      <c r="B697" s="328" t="s">
        <v>483</v>
      </c>
      <c r="C697" s="127" t="s">
        <v>16</v>
      </c>
      <c r="D697" s="259">
        <v>543.90899999999999</v>
      </c>
      <c r="E697" s="64"/>
      <c r="F697" s="265">
        <f t="shared" si="410"/>
        <v>30</v>
      </c>
      <c r="G697" s="216">
        <v>16344.46</v>
      </c>
      <c r="H697" s="274">
        <v>6.11</v>
      </c>
      <c r="I697" s="238">
        <v>0.48</v>
      </c>
      <c r="J697" s="265">
        <f t="shared" si="411"/>
        <v>146</v>
      </c>
      <c r="K697" s="193">
        <f t="shared" si="423"/>
        <v>70</v>
      </c>
      <c r="L697" s="274">
        <v>6.31</v>
      </c>
      <c r="M697" s="238">
        <v>50.881</v>
      </c>
      <c r="N697" s="265">
        <f t="shared" si="412"/>
        <v>151</v>
      </c>
      <c r="O697" s="193">
        <f t="shared" si="413"/>
        <v>7665</v>
      </c>
      <c r="P697" s="272">
        <v>6.31</v>
      </c>
      <c r="Q697" s="236">
        <f t="shared" si="415"/>
        <v>492.548</v>
      </c>
      <c r="R697" s="265">
        <f t="shared" si="416"/>
        <v>151</v>
      </c>
      <c r="S697" s="193">
        <f t="shared" si="417"/>
        <v>74200</v>
      </c>
      <c r="T697" s="230">
        <f>M697+I697</f>
        <v>51.360999999999997</v>
      </c>
      <c r="U697" s="290">
        <v>173</v>
      </c>
      <c r="V697" s="199">
        <f t="shared" si="425"/>
        <v>8885.4529999999995</v>
      </c>
      <c r="W697" s="232">
        <f t="shared" si="426"/>
        <v>492.548</v>
      </c>
      <c r="X697" s="289">
        <v>173</v>
      </c>
      <c r="Y697" s="199">
        <f t="shared" ref="Y697:Y698" si="431">X697*W697</f>
        <v>85210.804000000004</v>
      </c>
      <c r="Z697" s="153"/>
      <c r="AA697" s="147"/>
      <c r="AB697" s="101">
        <f t="shared" si="414"/>
        <v>0</v>
      </c>
      <c r="AC697" s="226">
        <f t="shared" si="409"/>
        <v>492.548</v>
      </c>
      <c r="AD697" s="304">
        <f t="shared" ref="AD697" si="432">R697-X697</f>
        <v>-22</v>
      </c>
      <c r="AE697" s="305">
        <f t="shared" si="429"/>
        <v>-12161.256999999998</v>
      </c>
    </row>
    <row r="698" spans="1:32" hidden="1" outlineLevel="2" x14ac:dyDescent="0.3">
      <c r="A698" s="142"/>
      <c r="B698" s="328" t="s">
        <v>637</v>
      </c>
      <c r="C698" s="127" t="s">
        <v>28</v>
      </c>
      <c r="D698" s="259">
        <v>6.3600000000000004E-2</v>
      </c>
      <c r="E698" s="64"/>
      <c r="F698" s="265">
        <f>ROUND(G698/D698,0)</f>
        <v>23234</v>
      </c>
      <c r="G698" s="216">
        <v>1477.71</v>
      </c>
      <c r="H698" s="274"/>
      <c r="I698" s="238"/>
      <c r="J698" s="265"/>
      <c r="K698" s="193"/>
      <c r="L698" s="274"/>
      <c r="M698" s="238"/>
      <c r="N698" s="265"/>
      <c r="O698" s="193"/>
      <c r="P698" s="272">
        <v>6.31</v>
      </c>
      <c r="Q698" s="236">
        <f>D698-I698-M698</f>
        <v>6.3600000000000004E-2</v>
      </c>
      <c r="R698" s="265">
        <f>ROUND(F698*P698*0.7958,0)</f>
        <v>116669</v>
      </c>
      <c r="S698" s="193">
        <f>ROUND(Q698*P698*F698*0.7958,0)</f>
        <v>7420</v>
      </c>
      <c r="T698" s="230"/>
      <c r="U698" s="290"/>
      <c r="V698" s="199"/>
      <c r="W698" s="232">
        <f>Q698</f>
        <v>6.3600000000000004E-2</v>
      </c>
      <c r="X698" s="289">
        <v>110000</v>
      </c>
      <c r="Y698" s="199">
        <f t="shared" si="431"/>
        <v>6996</v>
      </c>
      <c r="Z698" s="153"/>
      <c r="AA698" s="147"/>
      <c r="AB698" s="101">
        <f>ROUND(Z698*AA698,0)</f>
        <v>0</v>
      </c>
      <c r="AC698" s="226">
        <f t="shared" si="409"/>
        <v>6.3600000000000004E-2</v>
      </c>
      <c r="AD698" s="304">
        <f>R698-X698</f>
        <v>6669</v>
      </c>
      <c r="AE698" s="305">
        <f t="shared" si="429"/>
        <v>424</v>
      </c>
    </row>
    <row r="699" spans="1:32" hidden="1" outlineLevel="2" x14ac:dyDescent="0.3">
      <c r="B699" s="328" t="s">
        <v>118</v>
      </c>
      <c r="C699" s="127" t="s">
        <v>16</v>
      </c>
      <c r="D699" s="259">
        <v>575.77199999999993</v>
      </c>
      <c r="E699" s="64"/>
      <c r="F699" s="265">
        <f>ROUND(G699/D699,0)</f>
        <v>10</v>
      </c>
      <c r="G699" s="216">
        <v>5527.59</v>
      </c>
      <c r="H699" s="274"/>
      <c r="I699" s="238"/>
      <c r="J699" s="265"/>
      <c r="K699" s="193"/>
      <c r="L699" s="274">
        <v>6.31</v>
      </c>
      <c r="M699" s="238">
        <v>115.02</v>
      </c>
      <c r="N699" s="265">
        <f t="shared" ref="N699" si="433">ROUND(F699*L699*0.7958,0)</f>
        <v>50</v>
      </c>
      <c r="O699" s="193">
        <f t="shared" ref="O699" si="434">ROUND(M699*L699*F699*0.7958,0)</f>
        <v>5776</v>
      </c>
      <c r="P699" s="272">
        <v>6.31</v>
      </c>
      <c r="Q699" s="236">
        <f>D699-I699-M699</f>
        <v>460.75199999999995</v>
      </c>
      <c r="R699" s="265">
        <f>ROUND(F699*P699*0.7958,0)</f>
        <v>50</v>
      </c>
      <c r="S699" s="193">
        <f>ROUND(Q699*P699*F699*0.7958,0)</f>
        <v>23137</v>
      </c>
      <c r="T699" s="230">
        <f t="shared" si="430"/>
        <v>115.02</v>
      </c>
      <c r="U699" s="290">
        <v>71.790000000000006</v>
      </c>
      <c r="V699" s="199">
        <f>T699*U699</f>
        <v>8257.2857999999997</v>
      </c>
      <c r="W699" s="232">
        <f>Q699</f>
        <v>460.75199999999995</v>
      </c>
      <c r="X699" s="290">
        <v>71.790000000000006</v>
      </c>
      <c r="Y699" s="199">
        <f>X699*W699</f>
        <v>33077.386079999997</v>
      </c>
      <c r="Z699" s="153"/>
      <c r="AA699" s="147"/>
      <c r="AB699" s="101">
        <f>ROUND(Z699*AA699,0)</f>
        <v>0</v>
      </c>
      <c r="AC699" s="226">
        <f t="shared" si="409"/>
        <v>460.75199999999995</v>
      </c>
      <c r="AD699" s="304">
        <f>R699-X699</f>
        <v>-21.790000000000006</v>
      </c>
      <c r="AE699" s="305">
        <f t="shared" si="429"/>
        <v>-12421.671879999994</v>
      </c>
    </row>
    <row r="700" spans="1:32" s="95" customFormat="1" hidden="1" outlineLevel="1" x14ac:dyDescent="0.3">
      <c r="A700" s="98"/>
      <c r="B700" s="160"/>
      <c r="C700" s="107"/>
      <c r="D700" s="253"/>
      <c r="E700" s="98"/>
      <c r="F700" s="154"/>
      <c r="G700" s="214"/>
      <c r="H700" s="154"/>
      <c r="I700" s="231"/>
      <c r="J700" s="154"/>
      <c r="K700" s="194"/>
      <c r="L700" s="154"/>
      <c r="M700" s="231"/>
      <c r="N700" s="154"/>
      <c r="O700" s="194"/>
      <c r="P700" s="154"/>
      <c r="Q700" s="231"/>
      <c r="R700" s="286"/>
      <c r="S700" s="194"/>
      <c r="T700" s="231"/>
      <c r="U700" s="155"/>
      <c r="V700" s="194"/>
      <c r="W700" s="231"/>
      <c r="X700" s="155"/>
      <c r="Y700" s="194"/>
      <c r="Z700" s="157"/>
      <c r="AA700" s="156"/>
      <c r="AB700" s="156"/>
      <c r="AC700" s="194"/>
      <c r="AD700" s="155"/>
      <c r="AE700" s="194"/>
    </row>
    <row r="701" spans="1:32" ht="27.75" hidden="1" customHeight="1" outlineLevel="1" x14ac:dyDescent="0.3">
      <c r="A701" s="400"/>
      <c r="B701" s="1082" t="s">
        <v>537</v>
      </c>
      <c r="C701" s="1083"/>
      <c r="D701" s="1083"/>
      <c r="E701" s="1083"/>
      <c r="F701" s="1084"/>
      <c r="G701" s="333">
        <f>SUM(G702:G749)</f>
        <v>1039673.5300000001</v>
      </c>
      <c r="H701" s="320"/>
      <c r="I701" s="320"/>
      <c r="J701" s="320"/>
      <c r="K701" s="321">
        <f>SUM(K702:K749)</f>
        <v>0</v>
      </c>
      <c r="L701" s="320"/>
      <c r="M701" s="320"/>
      <c r="N701" s="320"/>
      <c r="O701" s="321">
        <f>SUM(O702:O749)</f>
        <v>0</v>
      </c>
      <c r="P701" s="320"/>
      <c r="Q701" s="320"/>
      <c r="R701" s="320"/>
      <c r="S701" s="336">
        <f>SUM(S702:S749)</f>
        <v>5283268</v>
      </c>
      <c r="T701" s="320"/>
      <c r="U701" s="322"/>
      <c r="V701" s="321">
        <f>SUM(V702:V749)</f>
        <v>0</v>
      </c>
      <c r="W701" s="320"/>
      <c r="X701" s="322"/>
      <c r="Y701" s="321">
        <f>SUM(Y702:Y749)</f>
        <v>6861126.0820000004</v>
      </c>
      <c r="Z701" s="322"/>
      <c r="AA701" s="322"/>
      <c r="AB701" s="322"/>
      <c r="AC701" s="322"/>
      <c r="AD701" s="322"/>
      <c r="AE701" s="338">
        <f>SUM(AE702:AE749)</f>
        <v>-1577858.0819999999</v>
      </c>
      <c r="AF701" s="324">
        <f>AE701/S701</f>
        <v>-0.29865191052204809</v>
      </c>
    </row>
    <row r="702" spans="1:32" ht="36" hidden="1" customHeight="1" outlineLevel="2" x14ac:dyDescent="0.3">
      <c r="A702" s="141"/>
      <c r="B702" s="328" t="s">
        <v>962</v>
      </c>
      <c r="C702" s="78"/>
      <c r="D702" s="255">
        <v>1</v>
      </c>
      <c r="E702" s="64"/>
      <c r="F702" s="265">
        <f t="shared" ref="F702:F725" si="435">ROUND(G702/D702,0)</f>
        <v>530</v>
      </c>
      <c r="G702" s="215">
        <v>529.83000000000004</v>
      </c>
      <c r="H702" s="272"/>
      <c r="I702" s="236"/>
      <c r="J702" s="265"/>
      <c r="K702" s="193"/>
      <c r="L702" s="272"/>
      <c r="M702" s="236"/>
      <c r="N702" s="265"/>
      <c r="O702" s="193"/>
      <c r="P702" s="282">
        <v>6.39</v>
      </c>
      <c r="Q702" s="236">
        <f t="shared" ref="Q702:Q725" si="436">D702-I702-M702</f>
        <v>1</v>
      </c>
      <c r="R702" s="265">
        <f t="shared" ref="R702:R725" si="437">ROUND(F702*P702*0.7958,0)</f>
        <v>2695</v>
      </c>
      <c r="S702" s="193">
        <f>ROUND(Q702*P702*F702*0.7958,0)</f>
        <v>2695</v>
      </c>
      <c r="T702" s="230"/>
      <c r="U702" s="290"/>
      <c r="V702" s="200"/>
      <c r="W702" s="232">
        <f t="shared" ref="W702:W749" si="438">Q702</f>
        <v>1</v>
      </c>
      <c r="X702" s="289">
        <v>672</v>
      </c>
      <c r="Y702" s="199">
        <f t="shared" ref="Y702:Y749" si="439">W702*X702</f>
        <v>672</v>
      </c>
      <c r="Z702" s="153"/>
      <c r="AA702" s="147"/>
      <c r="AB702" s="101">
        <f t="shared" ref="AB702:AB725" si="440">ROUND(Z702*AA702,0)</f>
        <v>0</v>
      </c>
      <c r="AC702" s="226"/>
      <c r="AD702" s="304">
        <f t="shared" ref="AD702" si="441">R702-X702</f>
        <v>2023</v>
      </c>
      <c r="AE702" s="305">
        <f t="shared" ref="AE702" si="442">S702-Y702</f>
        <v>2023</v>
      </c>
    </row>
    <row r="703" spans="1:32" ht="36" hidden="1" customHeight="1" outlineLevel="2" x14ac:dyDescent="0.3">
      <c r="A703" s="141"/>
      <c r="B703" s="328" t="s">
        <v>449</v>
      </c>
      <c r="C703" s="78"/>
      <c r="D703" s="255">
        <v>1</v>
      </c>
      <c r="E703" s="64"/>
      <c r="F703" s="265">
        <f t="shared" si="435"/>
        <v>59</v>
      </c>
      <c r="G703" s="215">
        <v>58.93</v>
      </c>
      <c r="H703" s="272"/>
      <c r="I703" s="236"/>
      <c r="J703" s="265"/>
      <c r="K703" s="193"/>
      <c r="L703" s="272"/>
      <c r="M703" s="236"/>
      <c r="N703" s="265"/>
      <c r="O703" s="193"/>
      <c r="P703" s="282">
        <v>6.39</v>
      </c>
      <c r="Q703" s="236">
        <f t="shared" si="436"/>
        <v>1</v>
      </c>
      <c r="R703" s="265">
        <f t="shared" si="437"/>
        <v>300</v>
      </c>
      <c r="S703" s="193">
        <f t="shared" ref="S703:S725" si="443">ROUND(Q703*P703*F703*0.7958,0)</f>
        <v>300</v>
      </c>
      <c r="T703" s="230"/>
      <c r="U703" s="290"/>
      <c r="V703" s="200"/>
      <c r="W703" s="232">
        <f t="shared" si="438"/>
        <v>1</v>
      </c>
      <c r="X703" s="289">
        <v>1468.8</v>
      </c>
      <c r="Y703" s="199">
        <f t="shared" si="439"/>
        <v>1468.8</v>
      </c>
      <c r="Z703" s="153"/>
      <c r="AA703" s="147"/>
      <c r="AB703" s="101">
        <f t="shared" si="440"/>
        <v>0</v>
      </c>
      <c r="AC703" s="226"/>
      <c r="AD703" s="302">
        <f t="shared" ref="AD703:AD749" si="444">R703-X703</f>
        <v>-1168.8</v>
      </c>
      <c r="AE703" s="202">
        <f t="shared" ref="AE703:AE749" si="445">S703-Y703</f>
        <v>-1168.8</v>
      </c>
    </row>
    <row r="704" spans="1:32" ht="36" hidden="1" customHeight="1" outlineLevel="2" x14ac:dyDescent="0.3">
      <c r="A704" s="141"/>
      <c r="B704" s="328" t="s">
        <v>450</v>
      </c>
      <c r="C704" s="78" t="s">
        <v>5</v>
      </c>
      <c r="D704" s="255">
        <v>1430</v>
      </c>
      <c r="E704" s="64"/>
      <c r="F704" s="265">
        <f t="shared" si="435"/>
        <v>24</v>
      </c>
      <c r="G704" s="215">
        <v>34643.18</v>
      </c>
      <c r="H704" s="272"/>
      <c r="I704" s="236"/>
      <c r="J704" s="265"/>
      <c r="K704" s="193"/>
      <c r="L704" s="272"/>
      <c r="M704" s="236"/>
      <c r="N704" s="265"/>
      <c r="O704" s="193"/>
      <c r="P704" s="282">
        <v>6.39</v>
      </c>
      <c r="Q704" s="236">
        <f t="shared" si="436"/>
        <v>1430</v>
      </c>
      <c r="R704" s="265">
        <f t="shared" si="437"/>
        <v>122</v>
      </c>
      <c r="S704" s="193">
        <f t="shared" si="443"/>
        <v>174523</v>
      </c>
      <c r="T704" s="230"/>
      <c r="U704" s="290"/>
      <c r="V704" s="200"/>
      <c r="W704" s="232">
        <f t="shared" si="438"/>
        <v>1430</v>
      </c>
      <c r="X704" s="289">
        <v>184.16</v>
      </c>
      <c r="Y704" s="199">
        <f t="shared" si="439"/>
        <v>263348.8</v>
      </c>
      <c r="Z704" s="153"/>
      <c r="AA704" s="147"/>
      <c r="AB704" s="101">
        <f t="shared" si="440"/>
        <v>0</v>
      </c>
      <c r="AC704" s="226"/>
      <c r="AD704" s="302">
        <f t="shared" si="444"/>
        <v>-62.16</v>
      </c>
      <c r="AE704" s="202">
        <f t="shared" si="445"/>
        <v>-88825.799999999988</v>
      </c>
    </row>
    <row r="705" spans="1:31" ht="36" hidden="1" customHeight="1" outlineLevel="2" x14ac:dyDescent="0.3">
      <c r="A705" s="141"/>
      <c r="B705" s="328" t="s">
        <v>451</v>
      </c>
      <c r="C705" s="78" t="s">
        <v>5</v>
      </c>
      <c r="D705" s="255">
        <v>990</v>
      </c>
      <c r="E705" s="64"/>
      <c r="F705" s="265">
        <f t="shared" si="435"/>
        <v>32</v>
      </c>
      <c r="G705" s="215">
        <v>31816.53</v>
      </c>
      <c r="H705" s="272"/>
      <c r="I705" s="236"/>
      <c r="J705" s="265"/>
      <c r="K705" s="193"/>
      <c r="L705" s="272"/>
      <c r="M705" s="236"/>
      <c r="N705" s="265"/>
      <c r="O705" s="193"/>
      <c r="P705" s="282">
        <v>6.39</v>
      </c>
      <c r="Q705" s="236">
        <f t="shared" si="436"/>
        <v>990</v>
      </c>
      <c r="R705" s="265">
        <f t="shared" si="437"/>
        <v>163</v>
      </c>
      <c r="S705" s="193">
        <f t="shared" si="443"/>
        <v>161098</v>
      </c>
      <c r="T705" s="230"/>
      <c r="U705" s="290"/>
      <c r="V705" s="200"/>
      <c r="W705" s="232">
        <f t="shared" si="438"/>
        <v>990</v>
      </c>
      <c r="X705" s="289">
        <v>275</v>
      </c>
      <c r="Y705" s="199">
        <f t="shared" si="439"/>
        <v>272250</v>
      </c>
      <c r="Z705" s="153"/>
      <c r="AA705" s="147"/>
      <c r="AB705" s="101">
        <f t="shared" si="440"/>
        <v>0</v>
      </c>
      <c r="AC705" s="226"/>
      <c r="AD705" s="302">
        <f t="shared" si="444"/>
        <v>-112</v>
      </c>
      <c r="AE705" s="202">
        <f t="shared" si="445"/>
        <v>-111152</v>
      </c>
    </row>
    <row r="706" spans="1:31" ht="36" hidden="1" customHeight="1" outlineLevel="2" x14ac:dyDescent="0.3">
      <c r="A706" s="141"/>
      <c r="B706" s="328" t="s">
        <v>452</v>
      </c>
      <c r="C706" s="78" t="s">
        <v>5</v>
      </c>
      <c r="D706" s="255">
        <v>1000</v>
      </c>
      <c r="E706" s="64"/>
      <c r="F706" s="265">
        <f t="shared" si="435"/>
        <v>11</v>
      </c>
      <c r="G706" s="215">
        <v>11329.34</v>
      </c>
      <c r="H706" s="272"/>
      <c r="I706" s="236"/>
      <c r="J706" s="265"/>
      <c r="K706" s="193"/>
      <c r="L706" s="272"/>
      <c r="M706" s="236"/>
      <c r="N706" s="265"/>
      <c r="O706" s="193"/>
      <c r="P706" s="282">
        <v>6.39</v>
      </c>
      <c r="Q706" s="236">
        <f t="shared" si="436"/>
        <v>1000</v>
      </c>
      <c r="R706" s="265">
        <f t="shared" si="437"/>
        <v>56</v>
      </c>
      <c r="S706" s="193">
        <f t="shared" si="443"/>
        <v>55937</v>
      </c>
      <c r="T706" s="230"/>
      <c r="U706" s="290"/>
      <c r="V706" s="200"/>
      <c r="W706" s="232">
        <f t="shared" si="438"/>
        <v>1000</v>
      </c>
      <c r="X706" s="289">
        <v>80.66</v>
      </c>
      <c r="Y706" s="199">
        <f t="shared" si="439"/>
        <v>80660</v>
      </c>
      <c r="Z706" s="153"/>
      <c r="AA706" s="147"/>
      <c r="AB706" s="101">
        <f t="shared" si="440"/>
        <v>0</v>
      </c>
      <c r="AC706" s="226"/>
      <c r="AD706" s="302">
        <f t="shared" si="444"/>
        <v>-24.659999999999997</v>
      </c>
      <c r="AE706" s="202">
        <f t="shared" si="445"/>
        <v>-24723</v>
      </c>
    </row>
    <row r="707" spans="1:31" ht="36" hidden="1" customHeight="1" outlineLevel="2" x14ac:dyDescent="0.3">
      <c r="A707" s="141"/>
      <c r="B707" s="328" t="s">
        <v>453</v>
      </c>
      <c r="C707" s="78" t="s">
        <v>5</v>
      </c>
      <c r="D707" s="255">
        <v>3410</v>
      </c>
      <c r="E707" s="64"/>
      <c r="F707" s="265">
        <f t="shared" si="435"/>
        <v>17</v>
      </c>
      <c r="G707" s="215">
        <v>58728.66</v>
      </c>
      <c r="H707" s="272"/>
      <c r="I707" s="236"/>
      <c r="J707" s="265"/>
      <c r="K707" s="193"/>
      <c r="L707" s="272"/>
      <c r="M707" s="236"/>
      <c r="N707" s="265"/>
      <c r="O707" s="193"/>
      <c r="P707" s="282">
        <v>6.39</v>
      </c>
      <c r="Q707" s="236">
        <f t="shared" si="436"/>
        <v>3410</v>
      </c>
      <c r="R707" s="265">
        <f t="shared" si="437"/>
        <v>86</v>
      </c>
      <c r="S707" s="193">
        <f t="shared" si="443"/>
        <v>294787</v>
      </c>
      <c r="T707" s="230"/>
      <c r="U707" s="290"/>
      <c r="V707" s="200"/>
      <c r="W707" s="232">
        <f t="shared" si="438"/>
        <v>3410</v>
      </c>
      <c r="X707" s="289">
        <v>147.5</v>
      </c>
      <c r="Y707" s="199">
        <f t="shared" si="439"/>
        <v>502975</v>
      </c>
      <c r="Z707" s="153"/>
      <c r="AA707" s="147"/>
      <c r="AB707" s="101">
        <f t="shared" si="440"/>
        <v>0</v>
      </c>
      <c r="AC707" s="226"/>
      <c r="AD707" s="302">
        <f t="shared" si="444"/>
        <v>-61.5</v>
      </c>
      <c r="AE707" s="202">
        <f t="shared" si="445"/>
        <v>-208188</v>
      </c>
    </row>
    <row r="708" spans="1:31" ht="24.75" hidden="1" customHeight="1" outlineLevel="2" x14ac:dyDescent="0.3">
      <c r="A708" s="141"/>
      <c r="B708" s="328" t="s">
        <v>964</v>
      </c>
      <c r="C708" s="78" t="s">
        <v>5</v>
      </c>
      <c r="D708" s="255">
        <v>60</v>
      </c>
      <c r="E708" s="64"/>
      <c r="F708" s="265">
        <f t="shared" si="435"/>
        <v>15</v>
      </c>
      <c r="G708" s="215">
        <v>884.36</v>
      </c>
      <c r="H708" s="272"/>
      <c r="I708" s="236"/>
      <c r="J708" s="265"/>
      <c r="K708" s="193"/>
      <c r="L708" s="272"/>
      <c r="M708" s="236"/>
      <c r="N708" s="265"/>
      <c r="O708" s="193"/>
      <c r="P708" s="282">
        <v>6.39</v>
      </c>
      <c r="Q708" s="236">
        <f t="shared" si="436"/>
        <v>60</v>
      </c>
      <c r="R708" s="265">
        <f t="shared" si="437"/>
        <v>76</v>
      </c>
      <c r="S708" s="193">
        <f t="shared" si="443"/>
        <v>4577</v>
      </c>
      <c r="T708" s="230"/>
      <c r="U708" s="290"/>
      <c r="V708" s="200"/>
      <c r="W708" s="232">
        <f t="shared" si="438"/>
        <v>60</v>
      </c>
      <c r="X708" s="289">
        <v>50.6</v>
      </c>
      <c r="Y708" s="199">
        <f t="shared" si="439"/>
        <v>3036</v>
      </c>
      <c r="Z708" s="153"/>
      <c r="AA708" s="147"/>
      <c r="AB708" s="101">
        <f t="shared" si="440"/>
        <v>0</v>
      </c>
      <c r="AC708" s="226"/>
      <c r="AD708" s="304">
        <f t="shared" si="444"/>
        <v>25.4</v>
      </c>
      <c r="AE708" s="305">
        <f t="shared" si="445"/>
        <v>1541</v>
      </c>
    </row>
    <row r="709" spans="1:31" ht="24.75" hidden="1" customHeight="1" outlineLevel="2" x14ac:dyDescent="0.3">
      <c r="A709" s="141"/>
      <c r="B709" s="328" t="s">
        <v>965</v>
      </c>
      <c r="C709" s="78" t="s">
        <v>5</v>
      </c>
      <c r="D709" s="255">
        <v>30</v>
      </c>
      <c r="E709" s="64"/>
      <c r="F709" s="265">
        <f>ROUND(G729/3770,0)</f>
        <v>5</v>
      </c>
      <c r="G709" s="215">
        <v>884.36</v>
      </c>
      <c r="H709" s="272"/>
      <c r="I709" s="236"/>
      <c r="J709" s="265"/>
      <c r="K709" s="193"/>
      <c r="L709" s="272"/>
      <c r="M709" s="236"/>
      <c r="N709" s="265"/>
      <c r="O709" s="193"/>
      <c r="P709" s="282">
        <v>6.39</v>
      </c>
      <c r="Q709" s="236">
        <f t="shared" ref="Q709" si="446">D709-I709-M709</f>
        <v>30</v>
      </c>
      <c r="R709" s="265">
        <f t="shared" ref="R709" si="447">ROUND(F709*P709*0.7958,0)</f>
        <v>25</v>
      </c>
      <c r="S709" s="193">
        <f t="shared" ref="S709" si="448">ROUND(Q709*P709*F709*0.7958,0)</f>
        <v>763</v>
      </c>
      <c r="T709" s="230"/>
      <c r="U709" s="290"/>
      <c r="V709" s="200"/>
      <c r="W709" s="232">
        <f t="shared" si="438"/>
        <v>30</v>
      </c>
      <c r="X709" s="289">
        <v>106.4</v>
      </c>
      <c r="Y709" s="199">
        <f t="shared" si="439"/>
        <v>3192</v>
      </c>
      <c r="Z709" s="153"/>
      <c r="AA709" s="147"/>
      <c r="AB709" s="101">
        <f t="shared" ref="AB709" si="449">ROUND(Z709*AA709,0)</f>
        <v>0</v>
      </c>
      <c r="AC709" s="226"/>
      <c r="AD709" s="302">
        <f t="shared" si="444"/>
        <v>-81.400000000000006</v>
      </c>
      <c r="AE709" s="202">
        <f t="shared" si="445"/>
        <v>-2429</v>
      </c>
    </row>
    <row r="710" spans="1:31" ht="37.5" hidden="1" customHeight="1" outlineLevel="2" x14ac:dyDescent="0.3">
      <c r="A710" s="141"/>
      <c r="B710" s="328" t="s">
        <v>459</v>
      </c>
      <c r="C710" s="78" t="s">
        <v>5</v>
      </c>
      <c r="D710" s="255">
        <v>70</v>
      </c>
      <c r="E710" s="64"/>
      <c r="F710" s="265">
        <f>ROUND(G710/D710,0)</f>
        <v>14</v>
      </c>
      <c r="G710" s="215">
        <v>986.32</v>
      </c>
      <c r="H710" s="272"/>
      <c r="I710" s="236"/>
      <c r="J710" s="265"/>
      <c r="K710" s="193"/>
      <c r="L710" s="272"/>
      <c r="M710" s="236"/>
      <c r="N710" s="265"/>
      <c r="O710" s="193"/>
      <c r="P710" s="282">
        <v>6.39</v>
      </c>
      <c r="Q710" s="236">
        <f>D710-I710-M710</f>
        <v>70</v>
      </c>
      <c r="R710" s="265">
        <f>ROUND(F710*P710*0.7958,0)</f>
        <v>71</v>
      </c>
      <c r="S710" s="193">
        <f>ROUND(Q710*P710*F710*0.7958,0)</f>
        <v>4983</v>
      </c>
      <c r="T710" s="230"/>
      <c r="U710" s="290"/>
      <c r="V710" s="200"/>
      <c r="W710" s="232">
        <f t="shared" si="438"/>
        <v>70</v>
      </c>
      <c r="X710" s="289">
        <v>73.91</v>
      </c>
      <c r="Y710" s="199">
        <f t="shared" si="439"/>
        <v>5173.7</v>
      </c>
      <c r="Z710" s="153"/>
      <c r="AA710" s="147"/>
      <c r="AB710" s="101">
        <f>ROUND(Z710*AA710,0)</f>
        <v>0</v>
      </c>
      <c r="AC710" s="226"/>
      <c r="AD710" s="302">
        <f t="shared" si="444"/>
        <v>-2.9099999999999966</v>
      </c>
      <c r="AE710" s="202">
        <f t="shared" si="445"/>
        <v>-190.69999999999982</v>
      </c>
    </row>
    <row r="711" spans="1:31" ht="37.5" hidden="1" customHeight="1" outlineLevel="2" x14ac:dyDescent="0.3">
      <c r="A711" s="141"/>
      <c r="B711" s="328" t="s">
        <v>454</v>
      </c>
      <c r="C711" s="78" t="s">
        <v>5</v>
      </c>
      <c r="D711" s="255">
        <v>420</v>
      </c>
      <c r="E711" s="64"/>
      <c r="F711" s="265">
        <f t="shared" si="435"/>
        <v>30</v>
      </c>
      <c r="G711" s="215">
        <v>12627.35</v>
      </c>
      <c r="H711" s="272"/>
      <c r="I711" s="236"/>
      <c r="J711" s="265"/>
      <c r="K711" s="193"/>
      <c r="L711" s="272"/>
      <c r="M711" s="236"/>
      <c r="N711" s="265"/>
      <c r="O711" s="193"/>
      <c r="P711" s="282">
        <v>6.39</v>
      </c>
      <c r="Q711" s="236">
        <f t="shared" si="436"/>
        <v>420</v>
      </c>
      <c r="R711" s="265">
        <f t="shared" si="437"/>
        <v>153</v>
      </c>
      <c r="S711" s="193">
        <f t="shared" si="443"/>
        <v>64073</v>
      </c>
      <c r="T711" s="230"/>
      <c r="U711" s="290"/>
      <c r="V711" s="200"/>
      <c r="W711" s="232">
        <f t="shared" si="438"/>
        <v>420</v>
      </c>
      <c r="X711" s="289">
        <v>210</v>
      </c>
      <c r="Y711" s="199">
        <f t="shared" si="439"/>
        <v>88200</v>
      </c>
      <c r="Z711" s="153"/>
      <c r="AA711" s="147"/>
      <c r="AB711" s="101">
        <f t="shared" si="440"/>
        <v>0</v>
      </c>
      <c r="AC711" s="226"/>
      <c r="AD711" s="302">
        <f t="shared" si="444"/>
        <v>-57</v>
      </c>
      <c r="AE711" s="202">
        <f t="shared" si="445"/>
        <v>-24127</v>
      </c>
    </row>
    <row r="712" spans="1:31" ht="37.5" hidden="1" customHeight="1" outlineLevel="2" x14ac:dyDescent="0.3">
      <c r="A712" s="141"/>
      <c r="B712" s="328" t="s">
        <v>455</v>
      </c>
      <c r="C712" s="78" t="s">
        <v>5</v>
      </c>
      <c r="D712" s="255">
        <v>990</v>
      </c>
      <c r="E712" s="64"/>
      <c r="F712" s="265">
        <f t="shared" si="435"/>
        <v>16</v>
      </c>
      <c r="G712" s="215">
        <v>15891.19</v>
      </c>
      <c r="H712" s="272"/>
      <c r="I712" s="236"/>
      <c r="J712" s="265"/>
      <c r="K712" s="193"/>
      <c r="L712" s="272"/>
      <c r="M712" s="236"/>
      <c r="N712" s="265"/>
      <c r="O712" s="193"/>
      <c r="P712" s="282">
        <v>6.39</v>
      </c>
      <c r="Q712" s="236">
        <f t="shared" si="436"/>
        <v>990</v>
      </c>
      <c r="R712" s="265">
        <f t="shared" si="437"/>
        <v>81</v>
      </c>
      <c r="S712" s="193">
        <f t="shared" si="443"/>
        <v>80549</v>
      </c>
      <c r="T712" s="230"/>
      <c r="U712" s="290"/>
      <c r="V712" s="200"/>
      <c r="W712" s="232">
        <f t="shared" si="438"/>
        <v>990</v>
      </c>
      <c r="X712" s="289">
        <v>92.5</v>
      </c>
      <c r="Y712" s="199">
        <f t="shared" si="439"/>
        <v>91575</v>
      </c>
      <c r="Z712" s="153"/>
      <c r="AA712" s="147"/>
      <c r="AB712" s="101">
        <f t="shared" si="440"/>
        <v>0</v>
      </c>
      <c r="AC712" s="226"/>
      <c r="AD712" s="302">
        <f t="shared" si="444"/>
        <v>-11.5</v>
      </c>
      <c r="AE712" s="202">
        <f t="shared" si="445"/>
        <v>-11026</v>
      </c>
    </row>
    <row r="713" spans="1:31" ht="37.5" hidden="1" customHeight="1" outlineLevel="2" x14ac:dyDescent="0.3">
      <c r="A713" s="141"/>
      <c r="B713" s="328" t="s">
        <v>456</v>
      </c>
      <c r="C713" s="78" t="s">
        <v>5</v>
      </c>
      <c r="D713" s="255">
        <v>510</v>
      </c>
      <c r="E713" s="64"/>
      <c r="F713" s="265">
        <f t="shared" si="435"/>
        <v>22</v>
      </c>
      <c r="G713" s="215">
        <v>10991.39</v>
      </c>
      <c r="H713" s="272"/>
      <c r="I713" s="236"/>
      <c r="J713" s="265"/>
      <c r="K713" s="193"/>
      <c r="L713" s="272"/>
      <c r="M713" s="236"/>
      <c r="N713" s="265"/>
      <c r="O713" s="193"/>
      <c r="P713" s="282">
        <v>6.39</v>
      </c>
      <c r="Q713" s="236">
        <f t="shared" si="436"/>
        <v>510</v>
      </c>
      <c r="R713" s="265">
        <f t="shared" si="437"/>
        <v>112</v>
      </c>
      <c r="S713" s="193">
        <f t="shared" si="443"/>
        <v>57056</v>
      </c>
      <c r="T713" s="230"/>
      <c r="U713" s="290"/>
      <c r="V713" s="200"/>
      <c r="W713" s="232">
        <f t="shared" si="438"/>
        <v>510</v>
      </c>
      <c r="X713" s="289">
        <v>143.33000000000001</v>
      </c>
      <c r="Y713" s="199">
        <f t="shared" si="439"/>
        <v>73098.3</v>
      </c>
      <c r="Z713" s="153"/>
      <c r="AA713" s="147"/>
      <c r="AB713" s="101">
        <f t="shared" si="440"/>
        <v>0</v>
      </c>
      <c r="AC713" s="226"/>
      <c r="AD713" s="302">
        <f t="shared" si="444"/>
        <v>-31.330000000000013</v>
      </c>
      <c r="AE713" s="202">
        <f t="shared" si="445"/>
        <v>-16042.300000000003</v>
      </c>
    </row>
    <row r="714" spans="1:31" ht="37.5" hidden="1" customHeight="1" outlineLevel="2" x14ac:dyDescent="0.3">
      <c r="A714" s="141"/>
      <c r="B714" s="328" t="s">
        <v>457</v>
      </c>
      <c r="C714" s="78" t="s">
        <v>5</v>
      </c>
      <c r="D714" s="255">
        <v>40</v>
      </c>
      <c r="E714" s="64"/>
      <c r="F714" s="265">
        <f t="shared" si="435"/>
        <v>18</v>
      </c>
      <c r="G714" s="215">
        <v>719.02</v>
      </c>
      <c r="H714" s="272"/>
      <c r="I714" s="236"/>
      <c r="J714" s="265"/>
      <c r="K714" s="193"/>
      <c r="L714" s="272"/>
      <c r="M714" s="236"/>
      <c r="N714" s="265"/>
      <c r="O714" s="193"/>
      <c r="P714" s="282">
        <v>6.39</v>
      </c>
      <c r="Q714" s="236">
        <f t="shared" si="436"/>
        <v>40</v>
      </c>
      <c r="R714" s="265">
        <f t="shared" si="437"/>
        <v>92</v>
      </c>
      <c r="S714" s="193">
        <f t="shared" si="443"/>
        <v>3661</v>
      </c>
      <c r="T714" s="230"/>
      <c r="U714" s="290"/>
      <c r="V714" s="200"/>
      <c r="W714" s="232">
        <f t="shared" si="438"/>
        <v>40</v>
      </c>
      <c r="X714" s="289">
        <v>103.33</v>
      </c>
      <c r="Y714" s="199">
        <f t="shared" si="439"/>
        <v>4133.2</v>
      </c>
      <c r="Z714" s="153"/>
      <c r="AA714" s="147"/>
      <c r="AB714" s="101">
        <f t="shared" si="440"/>
        <v>0</v>
      </c>
      <c r="AC714" s="226"/>
      <c r="AD714" s="302">
        <f t="shared" si="444"/>
        <v>-11.329999999999998</v>
      </c>
      <c r="AE714" s="202">
        <f t="shared" si="445"/>
        <v>-472.19999999999982</v>
      </c>
    </row>
    <row r="715" spans="1:31" ht="37.5" hidden="1" customHeight="1" outlineLevel="2" x14ac:dyDescent="0.3">
      <c r="A715" s="141"/>
      <c r="B715" s="328" t="s">
        <v>458</v>
      </c>
      <c r="C715" s="78" t="s">
        <v>5</v>
      </c>
      <c r="D715" s="255">
        <v>1710</v>
      </c>
      <c r="E715" s="64"/>
      <c r="F715" s="265">
        <f t="shared" si="435"/>
        <v>23</v>
      </c>
      <c r="G715" s="215">
        <v>38951.94</v>
      </c>
      <c r="H715" s="272"/>
      <c r="I715" s="236"/>
      <c r="J715" s="265"/>
      <c r="K715" s="193"/>
      <c r="L715" s="272"/>
      <c r="M715" s="236"/>
      <c r="N715" s="265"/>
      <c r="O715" s="193"/>
      <c r="P715" s="282">
        <v>6.39</v>
      </c>
      <c r="Q715" s="236">
        <f t="shared" si="436"/>
        <v>1710</v>
      </c>
      <c r="R715" s="265">
        <f t="shared" si="437"/>
        <v>117</v>
      </c>
      <c r="S715" s="193">
        <f t="shared" si="443"/>
        <v>199999</v>
      </c>
      <c r="T715" s="230"/>
      <c r="U715" s="290"/>
      <c r="V715" s="200"/>
      <c r="W715" s="232">
        <f t="shared" si="438"/>
        <v>1710</v>
      </c>
      <c r="X715" s="289">
        <v>146.66</v>
      </c>
      <c r="Y715" s="199">
        <f t="shared" si="439"/>
        <v>250788.6</v>
      </c>
      <c r="Z715" s="153"/>
      <c r="AA715" s="147"/>
      <c r="AB715" s="101">
        <f t="shared" si="440"/>
        <v>0</v>
      </c>
      <c r="AC715" s="226"/>
      <c r="AD715" s="302">
        <f t="shared" si="444"/>
        <v>-29.659999999999997</v>
      </c>
      <c r="AE715" s="202">
        <f t="shared" si="445"/>
        <v>-50789.600000000006</v>
      </c>
    </row>
    <row r="716" spans="1:31" ht="23.25" hidden="1" customHeight="1" outlineLevel="2" x14ac:dyDescent="0.3">
      <c r="A716" s="141"/>
      <c r="B716" s="328" t="s">
        <v>462</v>
      </c>
      <c r="C716" s="78" t="s">
        <v>5</v>
      </c>
      <c r="D716" s="255">
        <v>570</v>
      </c>
      <c r="E716" s="64"/>
      <c r="F716" s="265">
        <f t="shared" si="435"/>
        <v>30</v>
      </c>
      <c r="G716" s="215">
        <v>17147.38</v>
      </c>
      <c r="H716" s="272"/>
      <c r="I716" s="236"/>
      <c r="J716" s="265"/>
      <c r="K716" s="193"/>
      <c r="L716" s="272"/>
      <c r="M716" s="236"/>
      <c r="N716" s="265"/>
      <c r="O716" s="193"/>
      <c r="P716" s="282">
        <v>6.39</v>
      </c>
      <c r="Q716" s="236">
        <f t="shared" si="436"/>
        <v>570</v>
      </c>
      <c r="R716" s="265">
        <f t="shared" si="437"/>
        <v>153</v>
      </c>
      <c r="S716" s="193">
        <f t="shared" si="443"/>
        <v>86956</v>
      </c>
      <c r="T716" s="230"/>
      <c r="U716" s="290"/>
      <c r="V716" s="200"/>
      <c r="W716" s="232">
        <f t="shared" si="438"/>
        <v>570</v>
      </c>
      <c r="X716" s="289">
        <v>183.33</v>
      </c>
      <c r="Y716" s="199">
        <f t="shared" si="439"/>
        <v>104498.1</v>
      </c>
      <c r="Z716" s="153"/>
      <c r="AA716" s="147"/>
      <c r="AB716" s="101">
        <f t="shared" si="440"/>
        <v>0</v>
      </c>
      <c r="AC716" s="226"/>
      <c r="AD716" s="302">
        <f t="shared" si="444"/>
        <v>-30.330000000000013</v>
      </c>
      <c r="AE716" s="202">
        <f t="shared" si="445"/>
        <v>-17542.100000000006</v>
      </c>
    </row>
    <row r="717" spans="1:31" ht="23.25" hidden="1" customHeight="1" outlineLevel="2" x14ac:dyDescent="0.3">
      <c r="A717" s="141"/>
      <c r="B717" s="328" t="s">
        <v>463</v>
      </c>
      <c r="C717" s="78" t="s">
        <v>5</v>
      </c>
      <c r="D717" s="255">
        <v>2350</v>
      </c>
      <c r="E717" s="64"/>
      <c r="F717" s="265">
        <f>ROUND(G717/D717,0)</f>
        <v>12</v>
      </c>
      <c r="G717" s="215">
        <v>27115.73</v>
      </c>
      <c r="H717" s="272"/>
      <c r="I717" s="236"/>
      <c r="J717" s="265"/>
      <c r="K717" s="193"/>
      <c r="L717" s="272"/>
      <c r="M717" s="236"/>
      <c r="N717" s="265"/>
      <c r="O717" s="193"/>
      <c r="P717" s="282">
        <v>6.39</v>
      </c>
      <c r="Q717" s="236">
        <f t="shared" ref="Q717" si="450">D717-I717-M717</f>
        <v>2350</v>
      </c>
      <c r="R717" s="265">
        <f t="shared" ref="R717" si="451">ROUND(F717*P717*0.7958,0)</f>
        <v>61</v>
      </c>
      <c r="S717" s="193">
        <f t="shared" ref="S717" si="452">ROUND(Q717*P717*F717*0.7958,0)</f>
        <v>143402</v>
      </c>
      <c r="T717" s="230"/>
      <c r="U717" s="290"/>
      <c r="V717" s="200"/>
      <c r="W717" s="232">
        <f t="shared" si="438"/>
        <v>2350</v>
      </c>
      <c r="X717" s="289">
        <v>42.75</v>
      </c>
      <c r="Y717" s="199">
        <f t="shared" si="439"/>
        <v>100462.5</v>
      </c>
      <c r="Z717" s="153"/>
      <c r="AA717" s="147"/>
      <c r="AB717" s="101">
        <f t="shared" ref="AB717" si="453">ROUND(Z717*AA717,0)</f>
        <v>0</v>
      </c>
      <c r="AC717" s="226"/>
      <c r="AD717" s="304">
        <f t="shared" si="444"/>
        <v>18.25</v>
      </c>
      <c r="AE717" s="305">
        <f t="shared" si="445"/>
        <v>42939.5</v>
      </c>
    </row>
    <row r="718" spans="1:31" ht="23.25" hidden="1" customHeight="1" outlineLevel="2" x14ac:dyDescent="0.3">
      <c r="A718" s="141"/>
      <c r="B718" s="328" t="s">
        <v>464</v>
      </c>
      <c r="C718" s="78" t="s">
        <v>5</v>
      </c>
      <c r="D718" s="255">
        <v>990</v>
      </c>
      <c r="E718" s="64"/>
      <c r="F718" s="265">
        <f t="shared" si="435"/>
        <v>16</v>
      </c>
      <c r="G718" s="215">
        <v>15970.98</v>
      </c>
      <c r="H718" s="272"/>
      <c r="I718" s="236"/>
      <c r="J718" s="265"/>
      <c r="K718" s="193"/>
      <c r="L718" s="272"/>
      <c r="M718" s="236"/>
      <c r="N718" s="265"/>
      <c r="O718" s="193"/>
      <c r="P718" s="282">
        <v>6.39</v>
      </c>
      <c r="Q718" s="236">
        <f t="shared" si="436"/>
        <v>990</v>
      </c>
      <c r="R718" s="265">
        <f t="shared" si="437"/>
        <v>81</v>
      </c>
      <c r="S718" s="193">
        <f t="shared" si="443"/>
        <v>80549</v>
      </c>
      <c r="T718" s="230"/>
      <c r="U718" s="290"/>
      <c r="V718" s="200"/>
      <c r="W718" s="232">
        <f t="shared" si="438"/>
        <v>990</v>
      </c>
      <c r="X718" s="289">
        <v>77</v>
      </c>
      <c r="Y718" s="199">
        <f t="shared" si="439"/>
        <v>76230</v>
      </c>
      <c r="Z718" s="153"/>
      <c r="AA718" s="147"/>
      <c r="AB718" s="101">
        <f t="shared" si="440"/>
        <v>0</v>
      </c>
      <c r="AC718" s="226"/>
      <c r="AD718" s="304">
        <f t="shared" si="444"/>
        <v>4</v>
      </c>
      <c r="AE718" s="305">
        <f t="shared" si="445"/>
        <v>4319</v>
      </c>
    </row>
    <row r="719" spans="1:31" ht="23.25" hidden="1" customHeight="1" outlineLevel="2" x14ac:dyDescent="0.3">
      <c r="A719" s="141"/>
      <c r="B719" s="328" t="s">
        <v>465</v>
      </c>
      <c r="C719" s="78" t="s">
        <v>5</v>
      </c>
      <c r="D719" s="255">
        <v>220</v>
      </c>
      <c r="E719" s="64"/>
      <c r="F719" s="265">
        <f t="shared" si="435"/>
        <v>19</v>
      </c>
      <c r="G719" s="215">
        <v>4199.71</v>
      </c>
      <c r="H719" s="272"/>
      <c r="I719" s="236"/>
      <c r="J719" s="265"/>
      <c r="K719" s="193"/>
      <c r="L719" s="272"/>
      <c r="M719" s="236"/>
      <c r="N719" s="265"/>
      <c r="O719" s="193"/>
      <c r="P719" s="282">
        <v>6.39</v>
      </c>
      <c r="Q719" s="236">
        <f t="shared" si="436"/>
        <v>220</v>
      </c>
      <c r="R719" s="265">
        <f t="shared" si="437"/>
        <v>97</v>
      </c>
      <c r="S719" s="193">
        <f t="shared" si="443"/>
        <v>21256</v>
      </c>
      <c r="T719" s="230"/>
      <c r="U719" s="290"/>
      <c r="V719" s="200"/>
      <c r="W719" s="232">
        <f t="shared" si="438"/>
        <v>220</v>
      </c>
      <c r="X719" s="289">
        <v>112.5</v>
      </c>
      <c r="Y719" s="199">
        <f t="shared" si="439"/>
        <v>24750</v>
      </c>
      <c r="Z719" s="153"/>
      <c r="AA719" s="147"/>
      <c r="AB719" s="101">
        <f t="shared" si="440"/>
        <v>0</v>
      </c>
      <c r="AC719" s="226"/>
      <c r="AD719" s="302">
        <f t="shared" si="444"/>
        <v>-15.5</v>
      </c>
      <c r="AE719" s="202">
        <f t="shared" si="445"/>
        <v>-3494</v>
      </c>
    </row>
    <row r="720" spans="1:31" ht="23.25" hidden="1" customHeight="1" outlineLevel="2" x14ac:dyDescent="0.3">
      <c r="A720" s="141"/>
      <c r="B720" s="328" t="s">
        <v>467</v>
      </c>
      <c r="C720" s="78" t="s">
        <v>5</v>
      </c>
      <c r="D720" s="255">
        <v>230</v>
      </c>
      <c r="E720" s="64"/>
      <c r="F720" s="265">
        <f t="shared" ref="F720" si="454">ROUND(G720/D720,0)</f>
        <v>50</v>
      </c>
      <c r="G720" s="215">
        <v>11586.43</v>
      </c>
      <c r="H720" s="272"/>
      <c r="I720" s="236"/>
      <c r="J720" s="265"/>
      <c r="K720" s="193"/>
      <c r="L720" s="272"/>
      <c r="M720" s="236"/>
      <c r="N720" s="265"/>
      <c r="O720" s="193"/>
      <c r="P720" s="282">
        <v>6.39</v>
      </c>
      <c r="Q720" s="236">
        <f t="shared" ref="Q720" si="455">D720-I720-M720</f>
        <v>230</v>
      </c>
      <c r="R720" s="265">
        <f t="shared" ref="R720" si="456">ROUND(F720*P720*0.7958,0)</f>
        <v>254</v>
      </c>
      <c r="S720" s="193">
        <f t="shared" ref="S720" si="457">ROUND(Q720*P720*F720*0.7958,0)</f>
        <v>58479</v>
      </c>
      <c r="T720" s="230"/>
      <c r="U720" s="290"/>
      <c r="V720" s="200"/>
      <c r="W720" s="232">
        <f t="shared" si="438"/>
        <v>230</v>
      </c>
      <c r="X720" s="289">
        <v>301.66000000000003</v>
      </c>
      <c r="Y720" s="199">
        <f t="shared" si="439"/>
        <v>69381.8</v>
      </c>
      <c r="Z720" s="153"/>
      <c r="AA720" s="147"/>
      <c r="AB720" s="101">
        <f t="shared" ref="AB720" si="458">ROUND(Z720*AA720,0)</f>
        <v>0</v>
      </c>
      <c r="AC720" s="226"/>
      <c r="AD720" s="302">
        <f t="shared" si="444"/>
        <v>-47.660000000000025</v>
      </c>
      <c r="AE720" s="202">
        <f t="shared" si="445"/>
        <v>-10902.800000000003</v>
      </c>
    </row>
    <row r="721" spans="1:31" ht="23.25" hidden="1" customHeight="1" outlineLevel="2" x14ac:dyDescent="0.3">
      <c r="A721" s="141"/>
      <c r="B721" s="328" t="s">
        <v>468</v>
      </c>
      <c r="C721" s="78" t="s">
        <v>5</v>
      </c>
      <c r="D721" s="255">
        <v>70</v>
      </c>
      <c r="E721" s="64"/>
      <c r="F721" s="265">
        <f t="shared" si="435"/>
        <v>79</v>
      </c>
      <c r="G721" s="215">
        <v>5550.11</v>
      </c>
      <c r="H721" s="272"/>
      <c r="I721" s="236"/>
      <c r="J721" s="265"/>
      <c r="K721" s="193"/>
      <c r="L721" s="272"/>
      <c r="M721" s="236"/>
      <c r="N721" s="265"/>
      <c r="O721" s="193"/>
      <c r="P721" s="282">
        <v>6.39</v>
      </c>
      <c r="Q721" s="236">
        <f t="shared" si="436"/>
        <v>70</v>
      </c>
      <c r="R721" s="265">
        <f t="shared" si="437"/>
        <v>402</v>
      </c>
      <c r="S721" s="193">
        <f t="shared" si="443"/>
        <v>28121</v>
      </c>
      <c r="T721" s="230"/>
      <c r="U721" s="290"/>
      <c r="V721" s="200"/>
      <c r="W721" s="232">
        <f t="shared" si="438"/>
        <v>70</v>
      </c>
      <c r="X721" s="289">
        <v>470.83</v>
      </c>
      <c r="Y721" s="199">
        <f t="shared" si="439"/>
        <v>32958.1</v>
      </c>
      <c r="Z721" s="153"/>
      <c r="AA721" s="147"/>
      <c r="AB721" s="101">
        <f t="shared" si="440"/>
        <v>0</v>
      </c>
      <c r="AC721" s="226"/>
      <c r="AD721" s="302">
        <f t="shared" si="444"/>
        <v>-68.829999999999984</v>
      </c>
      <c r="AE721" s="202">
        <f t="shared" si="445"/>
        <v>-4837.0999999999985</v>
      </c>
    </row>
    <row r="722" spans="1:31" ht="23.25" hidden="1" customHeight="1" outlineLevel="2" x14ac:dyDescent="0.3">
      <c r="A722" s="141"/>
      <c r="B722" s="328" t="s">
        <v>469</v>
      </c>
      <c r="C722" s="78" t="s">
        <v>5</v>
      </c>
      <c r="D722" s="255">
        <v>360</v>
      </c>
      <c r="E722" s="64"/>
      <c r="F722" s="265">
        <f t="shared" si="435"/>
        <v>17</v>
      </c>
      <c r="G722" s="215">
        <v>5954.35</v>
      </c>
      <c r="H722" s="272"/>
      <c r="I722" s="236"/>
      <c r="J722" s="265"/>
      <c r="K722" s="193"/>
      <c r="L722" s="272"/>
      <c r="M722" s="236"/>
      <c r="N722" s="265"/>
      <c r="O722" s="193"/>
      <c r="P722" s="282">
        <v>6.39</v>
      </c>
      <c r="Q722" s="236">
        <f t="shared" si="436"/>
        <v>360</v>
      </c>
      <c r="R722" s="265">
        <f t="shared" si="437"/>
        <v>86</v>
      </c>
      <c r="S722" s="193">
        <f t="shared" si="443"/>
        <v>31121</v>
      </c>
      <c r="T722" s="230"/>
      <c r="U722" s="290"/>
      <c r="V722" s="200"/>
      <c r="W722" s="232">
        <f t="shared" si="438"/>
        <v>360</v>
      </c>
      <c r="X722" s="289">
        <v>83.25</v>
      </c>
      <c r="Y722" s="199">
        <f t="shared" si="439"/>
        <v>29970</v>
      </c>
      <c r="Z722" s="153"/>
      <c r="AA722" s="147"/>
      <c r="AB722" s="101">
        <f t="shared" si="440"/>
        <v>0</v>
      </c>
      <c r="AC722" s="226"/>
      <c r="AD722" s="304">
        <f t="shared" si="444"/>
        <v>2.75</v>
      </c>
      <c r="AE722" s="305">
        <f t="shared" si="445"/>
        <v>1151</v>
      </c>
    </row>
    <row r="723" spans="1:31" ht="24.75" hidden="1" customHeight="1" outlineLevel="2" x14ac:dyDescent="0.3">
      <c r="A723" s="141"/>
      <c r="B723" s="328" t="s">
        <v>1356</v>
      </c>
      <c r="C723" s="78" t="s">
        <v>5</v>
      </c>
      <c r="D723" s="255">
        <v>1090</v>
      </c>
      <c r="E723" s="64"/>
      <c r="F723" s="265">
        <f t="shared" ref="F723" si="459">ROUND(G723/D723,0)</f>
        <v>23</v>
      </c>
      <c r="G723" s="215">
        <v>24774.26</v>
      </c>
      <c r="H723" s="272"/>
      <c r="I723" s="236"/>
      <c r="J723" s="265"/>
      <c r="K723" s="193"/>
      <c r="L723" s="272"/>
      <c r="M723" s="236"/>
      <c r="N723" s="265"/>
      <c r="O723" s="193"/>
      <c r="P723" s="282">
        <v>6.39</v>
      </c>
      <c r="Q723" s="236">
        <f t="shared" ref="Q723" si="460">D723-I723-M723</f>
        <v>1090</v>
      </c>
      <c r="R723" s="265">
        <f t="shared" ref="R723" si="461">ROUND(F723*P723*0.7958,0)</f>
        <v>117</v>
      </c>
      <c r="S723" s="193">
        <f t="shared" ref="S723" si="462">ROUND(Q723*P723*F723*0.7958,0)</f>
        <v>127485</v>
      </c>
      <c r="T723" s="230"/>
      <c r="U723" s="290"/>
      <c r="V723" s="200"/>
      <c r="W723" s="232">
        <f t="shared" si="438"/>
        <v>1090</v>
      </c>
      <c r="X723" s="289">
        <v>127.5</v>
      </c>
      <c r="Y723" s="199">
        <f t="shared" si="439"/>
        <v>138975</v>
      </c>
      <c r="Z723" s="153"/>
      <c r="AA723" s="147"/>
      <c r="AB723" s="101">
        <f t="shared" ref="AB723" si="463">ROUND(Z723*AA723,0)</f>
        <v>0</v>
      </c>
      <c r="AC723" s="226"/>
      <c r="AD723" s="302">
        <f t="shared" si="444"/>
        <v>-10.5</v>
      </c>
      <c r="AE723" s="202">
        <f t="shared" si="445"/>
        <v>-11490</v>
      </c>
    </row>
    <row r="724" spans="1:31" ht="23.25" hidden="1" customHeight="1" outlineLevel="2" x14ac:dyDescent="0.3">
      <c r="A724" s="141"/>
      <c r="B724" s="328" t="s">
        <v>470</v>
      </c>
      <c r="C724" s="78" t="s">
        <v>5</v>
      </c>
      <c r="D724" s="255">
        <v>880</v>
      </c>
      <c r="E724" s="64"/>
      <c r="F724" s="265">
        <f t="shared" si="435"/>
        <v>32</v>
      </c>
      <c r="G724" s="215">
        <v>28361.96</v>
      </c>
      <c r="H724" s="272"/>
      <c r="I724" s="236"/>
      <c r="J724" s="265"/>
      <c r="K724" s="193"/>
      <c r="L724" s="272"/>
      <c r="M724" s="236"/>
      <c r="N724" s="265"/>
      <c r="O724" s="193"/>
      <c r="P724" s="282">
        <v>6.39</v>
      </c>
      <c r="Q724" s="236">
        <f t="shared" si="436"/>
        <v>880</v>
      </c>
      <c r="R724" s="265">
        <f t="shared" si="437"/>
        <v>163</v>
      </c>
      <c r="S724" s="193">
        <f t="shared" si="443"/>
        <v>143198</v>
      </c>
      <c r="T724" s="230"/>
      <c r="U724" s="290"/>
      <c r="V724" s="200"/>
      <c r="W724" s="232">
        <f t="shared" si="438"/>
        <v>880</v>
      </c>
      <c r="X724" s="289">
        <v>190.83</v>
      </c>
      <c r="Y724" s="199">
        <f t="shared" si="439"/>
        <v>167930.40000000002</v>
      </c>
      <c r="Z724" s="153"/>
      <c r="AA724" s="147"/>
      <c r="AB724" s="101">
        <f t="shared" si="440"/>
        <v>0</v>
      </c>
      <c r="AC724" s="226"/>
      <c r="AD724" s="302">
        <f t="shared" si="444"/>
        <v>-27.830000000000013</v>
      </c>
      <c r="AE724" s="202">
        <f t="shared" si="445"/>
        <v>-24732.400000000023</v>
      </c>
    </row>
    <row r="725" spans="1:31" ht="23.25" hidden="1" customHeight="1" outlineLevel="2" x14ac:dyDescent="0.3">
      <c r="A725" s="141"/>
      <c r="B725" s="328" t="s">
        <v>472</v>
      </c>
      <c r="C725" s="78" t="s">
        <v>5</v>
      </c>
      <c r="D725" s="255">
        <v>120</v>
      </c>
      <c r="E725" s="64"/>
      <c r="F725" s="265">
        <f t="shared" si="435"/>
        <v>259</v>
      </c>
      <c r="G725" s="215">
        <v>31055.55</v>
      </c>
      <c r="H725" s="272"/>
      <c r="I725" s="236"/>
      <c r="J725" s="265"/>
      <c r="K725" s="193"/>
      <c r="L725" s="272"/>
      <c r="M725" s="236"/>
      <c r="N725" s="265"/>
      <c r="O725" s="193"/>
      <c r="P725" s="282">
        <v>6.39</v>
      </c>
      <c r="Q725" s="236">
        <f t="shared" si="436"/>
        <v>120</v>
      </c>
      <c r="R725" s="265">
        <f t="shared" si="437"/>
        <v>1317</v>
      </c>
      <c r="S725" s="193">
        <f t="shared" si="443"/>
        <v>158047</v>
      </c>
      <c r="T725" s="230"/>
      <c r="U725" s="290"/>
      <c r="V725" s="200"/>
      <c r="W725" s="232">
        <f t="shared" si="438"/>
        <v>120</v>
      </c>
      <c r="X725" s="289">
        <v>2817.5</v>
      </c>
      <c r="Y725" s="199">
        <f t="shared" si="439"/>
        <v>338100</v>
      </c>
      <c r="Z725" s="153"/>
      <c r="AA725" s="147"/>
      <c r="AB725" s="101">
        <f t="shared" si="440"/>
        <v>0</v>
      </c>
      <c r="AC725" s="226"/>
      <c r="AD725" s="302">
        <f t="shared" si="444"/>
        <v>-1500.5</v>
      </c>
      <c r="AE725" s="202">
        <f t="shared" si="445"/>
        <v>-180053</v>
      </c>
    </row>
    <row r="726" spans="1:31" ht="23.25" hidden="1" customHeight="1" outlineLevel="2" x14ac:dyDescent="0.3">
      <c r="A726" s="141"/>
      <c r="B726" s="328" t="s">
        <v>473</v>
      </c>
      <c r="C726" s="78" t="s">
        <v>5</v>
      </c>
      <c r="D726" s="255">
        <v>900</v>
      </c>
      <c r="E726" s="64"/>
      <c r="F726" s="265">
        <f t="shared" ref="F726:F780" si="464">ROUND(G726/D726,0)</f>
        <v>18</v>
      </c>
      <c r="G726" s="215">
        <v>16460.939999999999</v>
      </c>
      <c r="H726" s="272"/>
      <c r="I726" s="236"/>
      <c r="J726" s="265"/>
      <c r="K726" s="193"/>
      <c r="L726" s="272"/>
      <c r="M726" s="236"/>
      <c r="N726" s="265"/>
      <c r="O726" s="193"/>
      <c r="P726" s="282">
        <v>6.39</v>
      </c>
      <c r="Q726" s="236">
        <f t="shared" ref="Q726:Q780" si="465">D726-I726-M726</f>
        <v>900</v>
      </c>
      <c r="R726" s="265">
        <f t="shared" ref="R726:R780" si="466">ROUND(F726*P726*0.7958,0)</f>
        <v>92</v>
      </c>
      <c r="S726" s="193">
        <f t="shared" ref="S726:S780" si="467">ROUND(Q726*P726*F726*0.7958,0)</f>
        <v>82380</v>
      </c>
      <c r="T726" s="230"/>
      <c r="U726" s="290"/>
      <c r="V726" s="200"/>
      <c r="W726" s="232">
        <f t="shared" si="438"/>
        <v>900</v>
      </c>
      <c r="X726" s="289">
        <v>790.83</v>
      </c>
      <c r="Y726" s="199">
        <f t="shared" si="439"/>
        <v>711747</v>
      </c>
      <c r="Z726" s="153"/>
      <c r="AA726" s="147"/>
      <c r="AB726" s="101">
        <f t="shared" ref="AB726:AB780" si="468">ROUND(Z726*AA726,0)</f>
        <v>0</v>
      </c>
      <c r="AC726" s="226"/>
      <c r="AD726" s="302">
        <f t="shared" si="444"/>
        <v>-698.83</v>
      </c>
      <c r="AE726" s="202">
        <f t="shared" si="445"/>
        <v>-629367</v>
      </c>
    </row>
    <row r="727" spans="1:31" ht="23.25" hidden="1" customHeight="1" outlineLevel="2" x14ac:dyDescent="0.3">
      <c r="A727" s="141"/>
      <c r="B727" s="328" t="s">
        <v>474</v>
      </c>
      <c r="C727" s="78" t="s">
        <v>5</v>
      </c>
      <c r="D727" s="255">
        <v>350</v>
      </c>
      <c r="E727" s="64"/>
      <c r="F727" s="265">
        <f t="shared" si="464"/>
        <v>640</v>
      </c>
      <c r="G727" s="215">
        <v>224002.37</v>
      </c>
      <c r="H727" s="272"/>
      <c r="I727" s="236"/>
      <c r="J727" s="265"/>
      <c r="K727" s="193"/>
      <c r="L727" s="272"/>
      <c r="M727" s="236"/>
      <c r="N727" s="265"/>
      <c r="O727" s="193"/>
      <c r="P727" s="282">
        <v>6.39</v>
      </c>
      <c r="Q727" s="236">
        <f t="shared" si="465"/>
        <v>350</v>
      </c>
      <c r="R727" s="265">
        <f t="shared" si="466"/>
        <v>3255</v>
      </c>
      <c r="S727" s="193">
        <f t="shared" si="467"/>
        <v>1139076</v>
      </c>
      <c r="T727" s="230"/>
      <c r="U727" s="290"/>
      <c r="V727" s="200"/>
      <c r="W727" s="232">
        <f t="shared" si="438"/>
        <v>350</v>
      </c>
      <c r="X727" s="289">
        <v>3455.83</v>
      </c>
      <c r="Y727" s="199">
        <f t="shared" si="439"/>
        <v>1209540.5</v>
      </c>
      <c r="Z727" s="153"/>
      <c r="AA727" s="147"/>
      <c r="AB727" s="101">
        <f t="shared" si="468"/>
        <v>0</v>
      </c>
      <c r="AC727" s="226"/>
      <c r="AD727" s="302">
        <f t="shared" si="444"/>
        <v>-200.82999999999993</v>
      </c>
      <c r="AE727" s="202">
        <f t="shared" si="445"/>
        <v>-70464.5</v>
      </c>
    </row>
    <row r="728" spans="1:31" ht="23.25" hidden="1" customHeight="1" outlineLevel="2" x14ac:dyDescent="0.3">
      <c r="A728" s="141"/>
      <c r="B728" s="328" t="s">
        <v>475</v>
      </c>
      <c r="C728" s="78" t="s">
        <v>5</v>
      </c>
      <c r="D728" s="255">
        <v>430</v>
      </c>
      <c r="E728" s="64"/>
      <c r="F728" s="265">
        <f t="shared" si="464"/>
        <v>796</v>
      </c>
      <c r="G728" s="215">
        <v>342333.32</v>
      </c>
      <c r="H728" s="272"/>
      <c r="I728" s="236"/>
      <c r="J728" s="265"/>
      <c r="K728" s="193"/>
      <c r="L728" s="272"/>
      <c r="M728" s="236"/>
      <c r="N728" s="265"/>
      <c r="O728" s="193"/>
      <c r="P728" s="282">
        <v>6.39</v>
      </c>
      <c r="Q728" s="236">
        <f t="shared" si="465"/>
        <v>430</v>
      </c>
      <c r="R728" s="265">
        <f t="shared" si="466"/>
        <v>4048</v>
      </c>
      <c r="S728" s="193">
        <f t="shared" si="467"/>
        <v>1740549</v>
      </c>
      <c r="T728" s="230"/>
      <c r="U728" s="290"/>
      <c r="V728" s="200"/>
      <c r="W728" s="232">
        <f t="shared" si="438"/>
        <v>430</v>
      </c>
      <c r="X728" s="289">
        <v>4260.83</v>
      </c>
      <c r="Y728" s="199">
        <f t="shared" si="439"/>
        <v>1832156.9</v>
      </c>
      <c r="Z728" s="153"/>
      <c r="AA728" s="147"/>
      <c r="AB728" s="101">
        <f t="shared" si="468"/>
        <v>0</v>
      </c>
      <c r="AC728" s="226"/>
      <c r="AD728" s="302">
        <f t="shared" si="444"/>
        <v>-212.82999999999993</v>
      </c>
      <c r="AE728" s="202">
        <f t="shared" si="445"/>
        <v>-91607.899999999907</v>
      </c>
    </row>
    <row r="729" spans="1:31" ht="23.25" hidden="1" customHeight="1" outlineLevel="2" x14ac:dyDescent="0.3">
      <c r="A729" s="141"/>
      <c r="B729" s="328" t="s">
        <v>963</v>
      </c>
      <c r="C729" s="78" t="s">
        <v>5</v>
      </c>
      <c r="D729" s="255">
        <v>2110</v>
      </c>
      <c r="E729" s="144" t="s">
        <v>967</v>
      </c>
      <c r="F729" s="265">
        <f>ROUND(G729/3770,0)</f>
        <v>5</v>
      </c>
      <c r="G729" s="215">
        <v>19202.79</v>
      </c>
      <c r="H729" s="272"/>
      <c r="I729" s="236"/>
      <c r="J729" s="265"/>
      <c r="K729" s="193"/>
      <c r="L729" s="272"/>
      <c r="M729" s="236"/>
      <c r="N729" s="265"/>
      <c r="O729" s="193"/>
      <c r="P729" s="282">
        <v>6.39</v>
      </c>
      <c r="Q729" s="236">
        <f t="shared" ref="Q729" si="469">D729-I729-M729</f>
        <v>2110</v>
      </c>
      <c r="R729" s="265">
        <f t="shared" ref="R729" si="470">ROUND(F729*P729*0.7958,0)</f>
        <v>25</v>
      </c>
      <c r="S729" s="193">
        <f t="shared" ref="S729" si="471">ROUND(Q729*P729*F729*0.7958,0)</f>
        <v>53648</v>
      </c>
      <c r="T729" s="230"/>
      <c r="U729" s="290"/>
      <c r="V729" s="200"/>
      <c r="W729" s="232">
        <f t="shared" si="438"/>
        <v>2110</v>
      </c>
      <c r="X729" s="289">
        <v>28.8</v>
      </c>
      <c r="Y729" s="199">
        <f t="shared" si="439"/>
        <v>60768</v>
      </c>
      <c r="Z729" s="153"/>
      <c r="AA729" s="147"/>
      <c r="AB729" s="101">
        <f t="shared" ref="AB729" si="472">ROUND(Z729*AA729,0)</f>
        <v>0</v>
      </c>
      <c r="AC729" s="226"/>
      <c r="AD729" s="302">
        <f t="shared" si="444"/>
        <v>-3.8000000000000007</v>
      </c>
      <c r="AE729" s="202">
        <f t="shared" si="445"/>
        <v>-7120</v>
      </c>
    </row>
    <row r="730" spans="1:31" ht="23.25" hidden="1" customHeight="1" outlineLevel="2" x14ac:dyDescent="0.3">
      <c r="A730" s="141"/>
      <c r="B730" s="328" t="s">
        <v>476</v>
      </c>
      <c r="C730" s="78" t="s">
        <v>5</v>
      </c>
      <c r="D730" s="255">
        <v>400</v>
      </c>
      <c r="E730" s="64"/>
      <c r="F730" s="265">
        <f t="shared" si="464"/>
        <v>16</v>
      </c>
      <c r="G730" s="215">
        <v>6241.1</v>
      </c>
      <c r="H730" s="272"/>
      <c r="I730" s="236"/>
      <c r="J730" s="265"/>
      <c r="K730" s="193"/>
      <c r="L730" s="272"/>
      <c r="M730" s="236"/>
      <c r="N730" s="265"/>
      <c r="O730" s="193"/>
      <c r="P730" s="282">
        <v>6.39</v>
      </c>
      <c r="Q730" s="236">
        <f t="shared" si="465"/>
        <v>400</v>
      </c>
      <c r="R730" s="265">
        <f t="shared" si="466"/>
        <v>81</v>
      </c>
      <c r="S730" s="193">
        <f t="shared" si="467"/>
        <v>32545</v>
      </c>
      <c r="T730" s="230"/>
      <c r="U730" s="290"/>
      <c r="V730" s="200"/>
      <c r="W730" s="232">
        <f t="shared" si="438"/>
        <v>400</v>
      </c>
      <c r="X730" s="289">
        <v>120.83</v>
      </c>
      <c r="Y730" s="199">
        <f t="shared" si="439"/>
        <v>48332</v>
      </c>
      <c r="Z730" s="153"/>
      <c r="AA730" s="147"/>
      <c r="AB730" s="101">
        <f t="shared" si="468"/>
        <v>0</v>
      </c>
      <c r="AC730" s="226"/>
      <c r="AD730" s="302">
        <f t="shared" si="444"/>
        <v>-39.83</v>
      </c>
      <c r="AE730" s="202">
        <f t="shared" si="445"/>
        <v>-15787</v>
      </c>
    </row>
    <row r="731" spans="1:31" ht="23.25" hidden="1" customHeight="1" outlineLevel="2" x14ac:dyDescent="0.3">
      <c r="A731" s="141"/>
      <c r="B731" s="328" t="s">
        <v>466</v>
      </c>
      <c r="C731" s="78" t="s">
        <v>5</v>
      </c>
      <c r="D731" s="255">
        <v>50</v>
      </c>
      <c r="E731" s="64"/>
      <c r="F731" s="265">
        <f>ROUND(G731/D731,0)</f>
        <v>14</v>
      </c>
      <c r="G731" s="215">
        <v>682.01</v>
      </c>
      <c r="H731" s="272"/>
      <c r="I731" s="236"/>
      <c r="J731" s="265"/>
      <c r="K731" s="193"/>
      <c r="L731" s="272"/>
      <c r="M731" s="236"/>
      <c r="N731" s="265"/>
      <c r="O731" s="193"/>
      <c r="P731" s="282">
        <v>6.39</v>
      </c>
      <c r="Q731" s="236">
        <f t="shared" ref="Q731:Q737" si="473">D731-I731-M731</f>
        <v>50</v>
      </c>
      <c r="R731" s="265">
        <f t="shared" ref="R731:R737" si="474">ROUND(F731*P731*0.7958,0)</f>
        <v>71</v>
      </c>
      <c r="S731" s="193">
        <f t="shared" ref="S731:S737" si="475">ROUND(Q731*P731*F731*0.7958,0)</f>
        <v>3560</v>
      </c>
      <c r="T731" s="230"/>
      <c r="U731" s="290"/>
      <c r="V731" s="200"/>
      <c r="W731" s="232">
        <f t="shared" si="438"/>
        <v>50</v>
      </c>
      <c r="X731" s="289">
        <v>102.5</v>
      </c>
      <c r="Y731" s="199">
        <f t="shared" si="439"/>
        <v>5125</v>
      </c>
      <c r="Z731" s="153"/>
      <c r="AA731" s="147"/>
      <c r="AB731" s="101">
        <f t="shared" ref="AB731:AB737" si="476">ROUND(Z731*AA731,0)</f>
        <v>0</v>
      </c>
      <c r="AC731" s="226"/>
      <c r="AD731" s="302">
        <f t="shared" si="444"/>
        <v>-31.5</v>
      </c>
      <c r="AE731" s="202">
        <f t="shared" si="445"/>
        <v>-1565</v>
      </c>
    </row>
    <row r="732" spans="1:31" ht="23.25" hidden="1" customHeight="1" outlineLevel="2" x14ac:dyDescent="0.3">
      <c r="A732" s="141"/>
      <c r="B732" s="328" t="s">
        <v>471</v>
      </c>
      <c r="C732" s="78" t="s">
        <v>5</v>
      </c>
      <c r="D732" s="255">
        <v>70</v>
      </c>
      <c r="E732" s="64"/>
      <c r="F732" s="265">
        <f>ROUND(G732/D732,0)</f>
        <v>51</v>
      </c>
      <c r="G732" s="215">
        <v>3583.25</v>
      </c>
      <c r="H732" s="272"/>
      <c r="I732" s="236"/>
      <c r="J732" s="265"/>
      <c r="K732" s="193"/>
      <c r="L732" s="272"/>
      <c r="M732" s="236"/>
      <c r="N732" s="265"/>
      <c r="O732" s="193"/>
      <c r="P732" s="282">
        <v>6.39</v>
      </c>
      <c r="Q732" s="236">
        <f t="shared" si="473"/>
        <v>70</v>
      </c>
      <c r="R732" s="265">
        <f t="shared" si="474"/>
        <v>259</v>
      </c>
      <c r="S732" s="193">
        <f t="shared" si="475"/>
        <v>18154</v>
      </c>
      <c r="T732" s="230"/>
      <c r="U732" s="290"/>
      <c r="V732" s="200"/>
      <c r="W732" s="232">
        <f t="shared" si="438"/>
        <v>70</v>
      </c>
      <c r="X732" s="289">
        <v>336.66</v>
      </c>
      <c r="Y732" s="199">
        <f t="shared" si="439"/>
        <v>23566.2</v>
      </c>
      <c r="Z732" s="153"/>
      <c r="AA732" s="147"/>
      <c r="AB732" s="101">
        <f t="shared" si="476"/>
        <v>0</v>
      </c>
      <c r="AC732" s="226"/>
      <c r="AD732" s="302">
        <f t="shared" si="444"/>
        <v>-77.660000000000025</v>
      </c>
      <c r="AE732" s="202">
        <f t="shared" si="445"/>
        <v>-5412.2000000000007</v>
      </c>
    </row>
    <row r="733" spans="1:31" ht="23.25" hidden="1" customHeight="1" outlineLevel="2" x14ac:dyDescent="0.3">
      <c r="A733" s="141"/>
      <c r="B733" s="328" t="s">
        <v>460</v>
      </c>
      <c r="C733" s="78" t="s">
        <v>5</v>
      </c>
      <c r="D733" s="255">
        <v>30</v>
      </c>
      <c r="E733" s="64"/>
      <c r="F733" s="265">
        <f>ROUND(G733/D733,0)</f>
        <v>33</v>
      </c>
      <c r="G733" s="215">
        <v>991.65</v>
      </c>
      <c r="H733" s="272"/>
      <c r="I733" s="236"/>
      <c r="J733" s="265"/>
      <c r="K733" s="193"/>
      <c r="L733" s="272"/>
      <c r="M733" s="236"/>
      <c r="N733" s="265"/>
      <c r="O733" s="193"/>
      <c r="P733" s="282">
        <v>6.39</v>
      </c>
      <c r="Q733" s="236">
        <f t="shared" si="473"/>
        <v>30</v>
      </c>
      <c r="R733" s="265">
        <f t="shared" si="474"/>
        <v>168</v>
      </c>
      <c r="S733" s="193">
        <f t="shared" si="475"/>
        <v>5034</v>
      </c>
      <c r="T733" s="230"/>
      <c r="U733" s="290"/>
      <c r="V733" s="200"/>
      <c r="W733" s="232">
        <f t="shared" si="438"/>
        <v>30</v>
      </c>
      <c r="X733" s="289">
        <v>305</v>
      </c>
      <c r="Y733" s="199">
        <f t="shared" si="439"/>
        <v>9150</v>
      </c>
      <c r="Z733" s="153"/>
      <c r="AA733" s="147"/>
      <c r="AB733" s="101">
        <f t="shared" si="476"/>
        <v>0</v>
      </c>
      <c r="AC733" s="226"/>
      <c r="AD733" s="302">
        <f t="shared" si="444"/>
        <v>-137</v>
      </c>
      <c r="AE733" s="202">
        <f t="shared" si="445"/>
        <v>-4116</v>
      </c>
    </row>
    <row r="734" spans="1:31" ht="23.25" hidden="1" customHeight="1" outlineLevel="2" x14ac:dyDescent="0.3">
      <c r="A734" s="141"/>
      <c r="B734" s="328" t="s">
        <v>461</v>
      </c>
      <c r="C734" s="78" t="s">
        <v>5</v>
      </c>
      <c r="D734" s="255">
        <v>60</v>
      </c>
      <c r="E734" s="64"/>
      <c r="F734" s="265">
        <f>ROUND(G734/D734,0)</f>
        <v>13</v>
      </c>
      <c r="G734" s="215">
        <v>804.02</v>
      </c>
      <c r="H734" s="272"/>
      <c r="I734" s="236"/>
      <c r="J734" s="265"/>
      <c r="K734" s="193"/>
      <c r="L734" s="272"/>
      <c r="M734" s="236"/>
      <c r="N734" s="265"/>
      <c r="O734" s="193"/>
      <c r="P734" s="282">
        <v>6.39</v>
      </c>
      <c r="Q734" s="236">
        <f t="shared" si="473"/>
        <v>60</v>
      </c>
      <c r="R734" s="265">
        <f t="shared" si="474"/>
        <v>66</v>
      </c>
      <c r="S734" s="193">
        <f t="shared" si="475"/>
        <v>3966</v>
      </c>
      <c r="T734" s="230"/>
      <c r="U734" s="290"/>
      <c r="V734" s="200"/>
      <c r="W734" s="232">
        <f t="shared" si="438"/>
        <v>60</v>
      </c>
      <c r="X734" s="289">
        <v>88.33</v>
      </c>
      <c r="Y734" s="199">
        <f t="shared" si="439"/>
        <v>5299.8</v>
      </c>
      <c r="Z734" s="153"/>
      <c r="AA734" s="147"/>
      <c r="AB734" s="101">
        <f t="shared" si="476"/>
        <v>0</v>
      </c>
      <c r="AC734" s="226"/>
      <c r="AD734" s="302">
        <f t="shared" si="444"/>
        <v>-22.33</v>
      </c>
      <c r="AE734" s="202">
        <f t="shared" si="445"/>
        <v>-1333.8000000000002</v>
      </c>
    </row>
    <row r="735" spans="1:31" ht="23.25" hidden="1" customHeight="1" outlineLevel="2" x14ac:dyDescent="0.3">
      <c r="A735" s="141"/>
      <c r="B735" s="328" t="s">
        <v>966</v>
      </c>
      <c r="C735" s="78" t="s">
        <v>5</v>
      </c>
      <c r="D735" s="255">
        <f>1320+220</f>
        <v>1540</v>
      </c>
      <c r="E735" s="64"/>
      <c r="F735" s="265">
        <f>ROUND(G729/3770,0)</f>
        <v>5</v>
      </c>
      <c r="G735" s="215">
        <v>804.02</v>
      </c>
      <c r="H735" s="272"/>
      <c r="I735" s="236"/>
      <c r="J735" s="265"/>
      <c r="K735" s="193"/>
      <c r="L735" s="272"/>
      <c r="M735" s="236"/>
      <c r="N735" s="265"/>
      <c r="O735" s="193"/>
      <c r="P735" s="282">
        <v>6.39</v>
      </c>
      <c r="Q735" s="236">
        <f t="shared" si="473"/>
        <v>1540</v>
      </c>
      <c r="R735" s="265">
        <f t="shared" si="474"/>
        <v>25</v>
      </c>
      <c r="S735" s="193">
        <f t="shared" si="475"/>
        <v>39156</v>
      </c>
      <c r="T735" s="230"/>
      <c r="U735" s="290"/>
      <c r="V735" s="200"/>
      <c r="W735" s="232">
        <f t="shared" si="438"/>
        <v>1540</v>
      </c>
      <c r="X735" s="289">
        <v>60</v>
      </c>
      <c r="Y735" s="199">
        <f t="shared" si="439"/>
        <v>92400</v>
      </c>
      <c r="Z735" s="153"/>
      <c r="AA735" s="147"/>
      <c r="AB735" s="101">
        <f t="shared" si="476"/>
        <v>0</v>
      </c>
      <c r="AC735" s="226"/>
      <c r="AD735" s="302">
        <f t="shared" si="444"/>
        <v>-35</v>
      </c>
      <c r="AE735" s="202">
        <f t="shared" si="445"/>
        <v>-53244</v>
      </c>
    </row>
    <row r="736" spans="1:31" ht="23.25" hidden="1" customHeight="1" outlineLevel="2" x14ac:dyDescent="0.3">
      <c r="A736" s="141"/>
      <c r="B736" s="328" t="s">
        <v>968</v>
      </c>
      <c r="C736" s="78" t="s">
        <v>5</v>
      </c>
      <c r="D736" s="255">
        <v>40</v>
      </c>
      <c r="E736" s="64"/>
      <c r="F736" s="265">
        <f>ROUND(G728/3770,0)</f>
        <v>91</v>
      </c>
      <c r="G736" s="215">
        <v>804.02</v>
      </c>
      <c r="H736" s="272"/>
      <c r="I736" s="236"/>
      <c r="J736" s="265"/>
      <c r="K736" s="193"/>
      <c r="L736" s="272"/>
      <c r="M736" s="236"/>
      <c r="N736" s="265"/>
      <c r="O736" s="193"/>
      <c r="P736" s="282">
        <v>6.39</v>
      </c>
      <c r="Q736" s="236">
        <f t="shared" si="473"/>
        <v>40</v>
      </c>
      <c r="R736" s="265">
        <f t="shared" si="474"/>
        <v>463</v>
      </c>
      <c r="S736" s="193">
        <f t="shared" si="475"/>
        <v>18510</v>
      </c>
      <c r="T736" s="230"/>
      <c r="U736" s="290"/>
      <c r="V736" s="200"/>
      <c r="W736" s="232">
        <f t="shared" si="438"/>
        <v>40</v>
      </c>
      <c r="X736" s="289">
        <v>60</v>
      </c>
      <c r="Y736" s="199">
        <f t="shared" si="439"/>
        <v>2400</v>
      </c>
      <c r="Z736" s="153"/>
      <c r="AA736" s="147"/>
      <c r="AB736" s="101">
        <f t="shared" si="476"/>
        <v>0</v>
      </c>
      <c r="AC736" s="226"/>
      <c r="AD736" s="304">
        <f t="shared" si="444"/>
        <v>403</v>
      </c>
      <c r="AE736" s="305">
        <f t="shared" si="445"/>
        <v>16110</v>
      </c>
    </row>
    <row r="737" spans="1:32" ht="23.25" hidden="1" customHeight="1" outlineLevel="2" x14ac:dyDescent="0.3">
      <c r="A737" s="141"/>
      <c r="B737" s="328" t="s">
        <v>969</v>
      </c>
      <c r="C737" s="78" t="s">
        <v>5</v>
      </c>
      <c r="D737" s="255">
        <v>50</v>
      </c>
      <c r="E737" s="64"/>
      <c r="F737" s="265">
        <f>ROUND(G729/3770,0)</f>
        <v>5</v>
      </c>
      <c r="G737" s="215">
        <v>804.02</v>
      </c>
      <c r="H737" s="272"/>
      <c r="I737" s="236"/>
      <c r="J737" s="265"/>
      <c r="K737" s="193"/>
      <c r="L737" s="272"/>
      <c r="M737" s="236"/>
      <c r="N737" s="265"/>
      <c r="O737" s="193"/>
      <c r="P737" s="282">
        <v>6.39</v>
      </c>
      <c r="Q737" s="236">
        <f t="shared" si="473"/>
        <v>50</v>
      </c>
      <c r="R737" s="265">
        <f t="shared" si="474"/>
        <v>25</v>
      </c>
      <c r="S737" s="193">
        <f t="shared" si="475"/>
        <v>1271</v>
      </c>
      <c r="T737" s="230"/>
      <c r="U737" s="290"/>
      <c r="V737" s="200"/>
      <c r="W737" s="232">
        <f t="shared" si="438"/>
        <v>50</v>
      </c>
      <c r="X737" s="289">
        <v>6.4</v>
      </c>
      <c r="Y737" s="199">
        <f t="shared" si="439"/>
        <v>320</v>
      </c>
      <c r="Z737" s="153"/>
      <c r="AA737" s="147"/>
      <c r="AB737" s="101">
        <f t="shared" si="476"/>
        <v>0</v>
      </c>
      <c r="AC737" s="226"/>
      <c r="AD737" s="304">
        <f t="shared" si="444"/>
        <v>18.600000000000001</v>
      </c>
      <c r="AE737" s="305">
        <f t="shared" si="445"/>
        <v>951</v>
      </c>
    </row>
    <row r="738" spans="1:32" hidden="1" outlineLevel="2" x14ac:dyDescent="0.3">
      <c r="B738" s="328" t="s">
        <v>1340</v>
      </c>
      <c r="C738" s="78" t="s">
        <v>5</v>
      </c>
      <c r="D738" s="255">
        <v>160</v>
      </c>
      <c r="E738" s="64"/>
      <c r="F738" s="265">
        <f t="shared" si="464"/>
        <v>1</v>
      </c>
      <c r="G738" s="215">
        <v>138.16999999999999</v>
      </c>
      <c r="H738" s="272"/>
      <c r="I738" s="236"/>
      <c r="J738" s="265"/>
      <c r="K738" s="193"/>
      <c r="L738" s="272"/>
      <c r="M738" s="236"/>
      <c r="N738" s="265"/>
      <c r="O738" s="193"/>
      <c r="P738" s="282">
        <v>6.39</v>
      </c>
      <c r="Q738" s="236">
        <f t="shared" si="465"/>
        <v>160</v>
      </c>
      <c r="R738" s="265">
        <f t="shared" si="466"/>
        <v>5</v>
      </c>
      <c r="S738" s="193">
        <f t="shared" si="467"/>
        <v>814</v>
      </c>
      <c r="T738" s="230"/>
      <c r="U738" s="290"/>
      <c r="V738" s="200"/>
      <c r="W738" s="232">
        <f t="shared" si="438"/>
        <v>160</v>
      </c>
      <c r="X738" s="289">
        <v>8</v>
      </c>
      <c r="Y738" s="199">
        <f t="shared" si="439"/>
        <v>1280</v>
      </c>
      <c r="Z738" s="153"/>
      <c r="AA738" s="147"/>
      <c r="AB738" s="101">
        <f t="shared" si="468"/>
        <v>0</v>
      </c>
      <c r="AC738" s="226"/>
      <c r="AD738" s="302">
        <f t="shared" si="444"/>
        <v>-3</v>
      </c>
      <c r="AE738" s="202">
        <f t="shared" si="445"/>
        <v>-466</v>
      </c>
    </row>
    <row r="739" spans="1:32" hidden="1" outlineLevel="2" x14ac:dyDescent="0.3">
      <c r="A739" s="142"/>
      <c r="B739" s="328" t="s">
        <v>477</v>
      </c>
      <c r="C739" s="78" t="s">
        <v>28</v>
      </c>
      <c r="D739" s="255">
        <v>4.0000000000000001E-3</v>
      </c>
      <c r="E739" s="64"/>
      <c r="F739" s="265">
        <f t="shared" si="464"/>
        <v>11573</v>
      </c>
      <c r="G739" s="215">
        <v>46.29</v>
      </c>
      <c r="H739" s="272"/>
      <c r="I739" s="236"/>
      <c r="J739" s="265"/>
      <c r="K739" s="193"/>
      <c r="L739" s="272"/>
      <c r="M739" s="236"/>
      <c r="N739" s="265"/>
      <c r="O739" s="193"/>
      <c r="P739" s="282">
        <v>6.39</v>
      </c>
      <c r="Q739" s="236">
        <f t="shared" si="465"/>
        <v>4.0000000000000001E-3</v>
      </c>
      <c r="R739" s="265">
        <f t="shared" si="466"/>
        <v>58851</v>
      </c>
      <c r="S739" s="193">
        <f t="shared" si="467"/>
        <v>235</v>
      </c>
      <c r="T739" s="230"/>
      <c r="U739" s="290"/>
      <c r="V739" s="200"/>
      <c r="W739" s="232">
        <f t="shared" si="438"/>
        <v>4.0000000000000001E-3</v>
      </c>
      <c r="X739" s="289">
        <v>135525</v>
      </c>
      <c r="Y739" s="199">
        <f t="shared" si="439"/>
        <v>542.1</v>
      </c>
      <c r="Z739" s="153"/>
      <c r="AA739" s="147"/>
      <c r="AB739" s="101">
        <f t="shared" si="468"/>
        <v>0</v>
      </c>
      <c r="AC739" s="226"/>
      <c r="AD739" s="302">
        <f t="shared" si="444"/>
        <v>-76674</v>
      </c>
      <c r="AE739" s="202">
        <f t="shared" si="445"/>
        <v>-307.10000000000002</v>
      </c>
    </row>
    <row r="740" spans="1:32" hidden="1" outlineLevel="2" x14ac:dyDescent="0.3">
      <c r="B740" s="328" t="s">
        <v>399</v>
      </c>
      <c r="C740" s="78" t="s">
        <v>28</v>
      </c>
      <c r="D740" s="255">
        <v>6.3100000000000003E-2</v>
      </c>
      <c r="E740" s="64"/>
      <c r="F740" s="265">
        <f t="shared" si="464"/>
        <v>7913</v>
      </c>
      <c r="G740" s="215">
        <v>499.33</v>
      </c>
      <c r="H740" s="272"/>
      <c r="I740" s="236"/>
      <c r="J740" s="265"/>
      <c r="K740" s="193"/>
      <c r="L740" s="272"/>
      <c r="M740" s="236"/>
      <c r="N740" s="265"/>
      <c r="O740" s="193"/>
      <c r="P740" s="282">
        <v>6.39</v>
      </c>
      <c r="Q740" s="236">
        <f t="shared" si="465"/>
        <v>6.3100000000000003E-2</v>
      </c>
      <c r="R740" s="265">
        <f t="shared" si="466"/>
        <v>40239</v>
      </c>
      <c r="S740" s="193">
        <f t="shared" si="467"/>
        <v>2539</v>
      </c>
      <c r="T740" s="230"/>
      <c r="U740" s="290"/>
      <c r="V740" s="200"/>
      <c r="W740" s="232">
        <f t="shared" si="438"/>
        <v>6.3100000000000003E-2</v>
      </c>
      <c r="X740" s="289">
        <v>164100</v>
      </c>
      <c r="Y740" s="199">
        <f t="shared" si="439"/>
        <v>10354.710000000001</v>
      </c>
      <c r="Z740" s="153"/>
      <c r="AA740" s="147"/>
      <c r="AB740" s="101">
        <f t="shared" si="468"/>
        <v>0</v>
      </c>
      <c r="AC740" s="226"/>
      <c r="AD740" s="302">
        <f t="shared" si="444"/>
        <v>-123861</v>
      </c>
      <c r="AE740" s="202">
        <f t="shared" si="445"/>
        <v>-7815.7100000000009</v>
      </c>
    </row>
    <row r="741" spans="1:32" hidden="1" outlineLevel="2" x14ac:dyDescent="0.3">
      <c r="A741" s="141"/>
      <c r="B741" s="328" t="s">
        <v>478</v>
      </c>
      <c r="C741" s="78" t="s">
        <v>26</v>
      </c>
      <c r="D741" s="255">
        <v>16</v>
      </c>
      <c r="E741" s="64"/>
      <c r="F741" s="265">
        <f t="shared" si="464"/>
        <v>568</v>
      </c>
      <c r="G741" s="215">
        <v>9080.7999999999993</v>
      </c>
      <c r="H741" s="272"/>
      <c r="I741" s="236"/>
      <c r="J741" s="265"/>
      <c r="K741" s="193"/>
      <c r="L741" s="272"/>
      <c r="M741" s="236"/>
      <c r="N741" s="265"/>
      <c r="O741" s="193"/>
      <c r="P741" s="282">
        <v>6.39</v>
      </c>
      <c r="Q741" s="236">
        <f t="shared" si="465"/>
        <v>16</v>
      </c>
      <c r="R741" s="265">
        <f t="shared" si="466"/>
        <v>2888</v>
      </c>
      <c r="S741" s="193">
        <f t="shared" si="467"/>
        <v>46214</v>
      </c>
      <c r="T741" s="230"/>
      <c r="U741" s="290"/>
      <c r="V741" s="200"/>
      <c r="W741" s="232">
        <f t="shared" si="438"/>
        <v>16</v>
      </c>
      <c r="X741" s="289">
        <v>1410.83</v>
      </c>
      <c r="Y741" s="199">
        <f t="shared" si="439"/>
        <v>22573.279999999999</v>
      </c>
      <c r="Z741" s="153"/>
      <c r="AA741" s="147"/>
      <c r="AB741" s="101">
        <f t="shared" si="468"/>
        <v>0</v>
      </c>
      <c r="AC741" s="226"/>
      <c r="AD741" s="304">
        <f t="shared" si="444"/>
        <v>1477.17</v>
      </c>
      <c r="AE741" s="305">
        <f t="shared" si="445"/>
        <v>23640.720000000001</v>
      </c>
    </row>
    <row r="742" spans="1:32" hidden="1" outlineLevel="2" x14ac:dyDescent="0.3">
      <c r="A742" s="141"/>
      <c r="B742" s="328" t="s">
        <v>479</v>
      </c>
      <c r="C742" s="78" t="s">
        <v>26</v>
      </c>
      <c r="D742" s="255">
        <v>4</v>
      </c>
      <c r="E742" s="64"/>
      <c r="F742" s="265">
        <f t="shared" si="464"/>
        <v>402</v>
      </c>
      <c r="G742" s="215">
        <v>1609.72</v>
      </c>
      <c r="H742" s="272"/>
      <c r="I742" s="236"/>
      <c r="J742" s="265"/>
      <c r="K742" s="193"/>
      <c r="L742" s="272"/>
      <c r="M742" s="236"/>
      <c r="N742" s="265"/>
      <c r="O742" s="193"/>
      <c r="P742" s="282">
        <v>6.39</v>
      </c>
      <c r="Q742" s="236">
        <f t="shared" si="465"/>
        <v>4</v>
      </c>
      <c r="R742" s="265">
        <f t="shared" si="466"/>
        <v>2044</v>
      </c>
      <c r="S742" s="193">
        <f t="shared" si="467"/>
        <v>8177</v>
      </c>
      <c r="T742" s="230"/>
      <c r="U742" s="290"/>
      <c r="V742" s="200"/>
      <c r="W742" s="232">
        <f t="shared" si="438"/>
        <v>4</v>
      </c>
      <c r="X742" s="289">
        <v>1524.16</v>
      </c>
      <c r="Y742" s="199">
        <f t="shared" si="439"/>
        <v>6096.64</v>
      </c>
      <c r="Z742" s="153"/>
      <c r="AA742" s="147"/>
      <c r="AB742" s="101">
        <f t="shared" si="468"/>
        <v>0</v>
      </c>
      <c r="AC742" s="226"/>
      <c r="AD742" s="304">
        <f t="shared" si="444"/>
        <v>519.83999999999992</v>
      </c>
      <c r="AE742" s="305">
        <f t="shared" si="445"/>
        <v>2080.3599999999997</v>
      </c>
    </row>
    <row r="743" spans="1:32" hidden="1" outlineLevel="2" x14ac:dyDescent="0.3">
      <c r="A743" s="141"/>
      <c r="B743" s="328" t="s">
        <v>480</v>
      </c>
      <c r="C743" s="78" t="s">
        <v>26</v>
      </c>
      <c r="D743" s="255">
        <v>12</v>
      </c>
      <c r="E743" s="64"/>
      <c r="F743" s="265">
        <f t="shared" si="464"/>
        <v>494</v>
      </c>
      <c r="G743" s="215">
        <v>5922.12</v>
      </c>
      <c r="H743" s="272"/>
      <c r="I743" s="236"/>
      <c r="J743" s="265"/>
      <c r="K743" s="193"/>
      <c r="L743" s="272"/>
      <c r="M743" s="236"/>
      <c r="N743" s="265"/>
      <c r="O743" s="193"/>
      <c r="P743" s="282">
        <v>6.39</v>
      </c>
      <c r="Q743" s="236">
        <f t="shared" si="465"/>
        <v>12</v>
      </c>
      <c r="R743" s="265">
        <f t="shared" si="466"/>
        <v>2512</v>
      </c>
      <c r="S743" s="193">
        <f>ROUND(Q743*P743*F743*0.7958,0)</f>
        <v>30145</v>
      </c>
      <c r="T743" s="230"/>
      <c r="U743" s="290"/>
      <c r="V743" s="200"/>
      <c r="W743" s="232">
        <f t="shared" si="438"/>
        <v>12</v>
      </c>
      <c r="X743" s="289">
        <v>1524.16</v>
      </c>
      <c r="Y743" s="199">
        <f t="shared" si="439"/>
        <v>18289.920000000002</v>
      </c>
      <c r="Z743" s="153"/>
      <c r="AA743" s="147"/>
      <c r="AB743" s="101">
        <f t="shared" si="468"/>
        <v>0</v>
      </c>
      <c r="AC743" s="226"/>
      <c r="AD743" s="304">
        <f t="shared" si="444"/>
        <v>987.83999999999992</v>
      </c>
      <c r="AE743" s="305">
        <f t="shared" si="445"/>
        <v>11855.079999999998</v>
      </c>
    </row>
    <row r="744" spans="1:32" hidden="1" outlineLevel="2" x14ac:dyDescent="0.3">
      <c r="A744" s="141"/>
      <c r="B744" s="328" t="s">
        <v>961</v>
      </c>
      <c r="C744" s="78" t="s">
        <v>40</v>
      </c>
      <c r="D744" s="255">
        <v>60</v>
      </c>
      <c r="E744" s="64"/>
      <c r="F744" s="265">
        <f t="shared" si="464"/>
        <v>22</v>
      </c>
      <c r="G744" s="215">
        <v>1327.8</v>
      </c>
      <c r="H744" s="272"/>
      <c r="I744" s="236"/>
      <c r="J744" s="265"/>
      <c r="K744" s="193"/>
      <c r="L744" s="272"/>
      <c r="M744" s="236"/>
      <c r="N744" s="265"/>
      <c r="O744" s="193"/>
      <c r="P744" s="282">
        <v>6.39</v>
      </c>
      <c r="Q744" s="236">
        <f t="shared" si="465"/>
        <v>60</v>
      </c>
      <c r="R744" s="265">
        <f t="shared" si="466"/>
        <v>112</v>
      </c>
      <c r="S744" s="193">
        <f t="shared" si="467"/>
        <v>6712</v>
      </c>
      <c r="T744" s="230"/>
      <c r="U744" s="290"/>
      <c r="V744" s="200"/>
      <c r="W744" s="232">
        <f t="shared" si="438"/>
        <v>60</v>
      </c>
      <c r="X744" s="289">
        <v>132.5</v>
      </c>
      <c r="Y744" s="199">
        <f t="shared" si="439"/>
        <v>7950</v>
      </c>
      <c r="Z744" s="153"/>
      <c r="AA744" s="147"/>
      <c r="AB744" s="101">
        <f t="shared" si="468"/>
        <v>0</v>
      </c>
      <c r="AC744" s="226"/>
      <c r="AD744" s="302">
        <f t="shared" si="444"/>
        <v>-20.5</v>
      </c>
      <c r="AE744" s="202">
        <f t="shared" si="445"/>
        <v>-1238</v>
      </c>
    </row>
    <row r="745" spans="1:32" hidden="1" outlineLevel="2" x14ac:dyDescent="0.3">
      <c r="A745" s="142"/>
      <c r="B745" s="328" t="s">
        <v>481</v>
      </c>
      <c r="C745" s="78" t="s">
        <v>40</v>
      </c>
      <c r="D745" s="256">
        <v>90</v>
      </c>
      <c r="E745" s="64"/>
      <c r="F745" s="265">
        <f t="shared" ref="F745" si="477">ROUND(G745/D745,0)</f>
        <v>33</v>
      </c>
      <c r="G745" s="215">
        <v>2993.4</v>
      </c>
      <c r="H745" s="272"/>
      <c r="I745" s="236"/>
      <c r="J745" s="265"/>
      <c r="K745" s="193"/>
      <c r="L745" s="272"/>
      <c r="M745" s="236"/>
      <c r="N745" s="265"/>
      <c r="O745" s="193"/>
      <c r="P745" s="282">
        <v>6.39</v>
      </c>
      <c r="Q745" s="236">
        <f t="shared" ref="Q745" si="478">D745-I745-M745</f>
        <v>90</v>
      </c>
      <c r="R745" s="265">
        <f t="shared" ref="R745" si="479">ROUND(F745*P745*0.7958,0)</f>
        <v>168</v>
      </c>
      <c r="S745" s="193">
        <f t="shared" ref="S745" si="480">ROUND(Q745*P745*F745*0.7958,0)</f>
        <v>15103</v>
      </c>
      <c r="T745" s="230"/>
      <c r="U745" s="290"/>
      <c r="V745" s="200"/>
      <c r="W745" s="232">
        <f t="shared" si="438"/>
        <v>90</v>
      </c>
      <c r="X745" s="289">
        <v>203.33</v>
      </c>
      <c r="Y745" s="199">
        <f t="shared" si="439"/>
        <v>18299.7</v>
      </c>
      <c r="Z745" s="153"/>
      <c r="AA745" s="147"/>
      <c r="AB745" s="101">
        <f t="shared" ref="AB745" si="481">ROUND(Z745*AA745,0)</f>
        <v>0</v>
      </c>
      <c r="AC745" s="226"/>
      <c r="AD745" s="302">
        <f t="shared" si="444"/>
        <v>-35.330000000000013</v>
      </c>
      <c r="AE745" s="202">
        <f t="shared" si="445"/>
        <v>-3196.7000000000007</v>
      </c>
    </row>
    <row r="746" spans="1:32" hidden="1" outlineLevel="2" x14ac:dyDescent="0.3">
      <c r="A746" s="141"/>
      <c r="B746" s="328" t="s">
        <v>481</v>
      </c>
      <c r="C746" s="78" t="s">
        <v>40</v>
      </c>
      <c r="D746" s="255">
        <v>80</v>
      </c>
      <c r="E746" s="64"/>
      <c r="F746" s="265">
        <f>ROUND(G746/90,0)</f>
        <v>33</v>
      </c>
      <c r="G746" s="215">
        <v>2993.4</v>
      </c>
      <c r="H746" s="272"/>
      <c r="I746" s="236"/>
      <c r="J746" s="265"/>
      <c r="K746" s="193"/>
      <c r="L746" s="272"/>
      <c r="M746" s="236"/>
      <c r="N746" s="265"/>
      <c r="O746" s="193"/>
      <c r="P746" s="282">
        <v>6.39</v>
      </c>
      <c r="Q746" s="236">
        <f t="shared" si="465"/>
        <v>80</v>
      </c>
      <c r="R746" s="265">
        <f t="shared" si="466"/>
        <v>168</v>
      </c>
      <c r="S746" s="193">
        <f t="shared" si="467"/>
        <v>13425</v>
      </c>
      <c r="T746" s="230"/>
      <c r="U746" s="290"/>
      <c r="V746" s="200"/>
      <c r="W746" s="232">
        <f t="shared" si="438"/>
        <v>80</v>
      </c>
      <c r="X746" s="289">
        <v>271.2</v>
      </c>
      <c r="Y746" s="199">
        <f t="shared" si="439"/>
        <v>21696</v>
      </c>
      <c r="Z746" s="153"/>
      <c r="AA746" s="147"/>
      <c r="AB746" s="101">
        <f t="shared" si="468"/>
        <v>0</v>
      </c>
      <c r="AC746" s="226"/>
      <c r="AD746" s="302">
        <f t="shared" si="444"/>
        <v>-103.19999999999999</v>
      </c>
      <c r="AE746" s="202">
        <f t="shared" si="445"/>
        <v>-8271</v>
      </c>
    </row>
    <row r="747" spans="1:32" hidden="1" outlineLevel="2" x14ac:dyDescent="0.3">
      <c r="A747" s="141"/>
      <c r="B747" s="328" t="s">
        <v>482</v>
      </c>
      <c r="C747" s="78" t="s">
        <v>40</v>
      </c>
      <c r="D747" s="255">
        <v>20</v>
      </c>
      <c r="E747" s="64"/>
      <c r="F747" s="265">
        <f t="shared" si="464"/>
        <v>15</v>
      </c>
      <c r="G747" s="215">
        <v>302.2</v>
      </c>
      <c r="H747" s="272"/>
      <c r="I747" s="236"/>
      <c r="J747" s="265"/>
      <c r="K747" s="193"/>
      <c r="L747" s="272"/>
      <c r="M747" s="236"/>
      <c r="N747" s="265"/>
      <c r="O747" s="193"/>
      <c r="P747" s="282">
        <v>6.39</v>
      </c>
      <c r="Q747" s="236">
        <f t="shared" si="465"/>
        <v>20</v>
      </c>
      <c r="R747" s="265">
        <f t="shared" si="466"/>
        <v>76</v>
      </c>
      <c r="S747" s="193">
        <f t="shared" si="467"/>
        <v>1526</v>
      </c>
      <c r="T747" s="230"/>
      <c r="U747" s="290"/>
      <c r="V747" s="200"/>
      <c r="W747" s="232">
        <f t="shared" si="438"/>
        <v>20</v>
      </c>
      <c r="X747" s="289">
        <v>93.33</v>
      </c>
      <c r="Y747" s="199">
        <f t="shared" si="439"/>
        <v>1866.6</v>
      </c>
      <c r="Z747" s="153"/>
      <c r="AA747" s="147"/>
      <c r="AB747" s="101">
        <f t="shared" si="468"/>
        <v>0</v>
      </c>
      <c r="AC747" s="226"/>
      <c r="AD747" s="302">
        <f t="shared" si="444"/>
        <v>-17.329999999999998</v>
      </c>
      <c r="AE747" s="202">
        <f t="shared" si="445"/>
        <v>-340.59999999999991</v>
      </c>
    </row>
    <row r="748" spans="1:32" hidden="1" outlineLevel="2" x14ac:dyDescent="0.3">
      <c r="B748" s="328" t="s">
        <v>225</v>
      </c>
      <c r="C748" s="78" t="s">
        <v>17</v>
      </c>
      <c r="D748" s="255">
        <v>1.2</v>
      </c>
      <c r="E748" s="64"/>
      <c r="F748" s="265">
        <f t="shared" si="464"/>
        <v>61</v>
      </c>
      <c r="G748" s="215">
        <v>72.94</v>
      </c>
      <c r="H748" s="272"/>
      <c r="I748" s="236"/>
      <c r="J748" s="265"/>
      <c r="K748" s="193"/>
      <c r="L748" s="272"/>
      <c r="M748" s="236"/>
      <c r="N748" s="265"/>
      <c r="O748" s="193"/>
      <c r="P748" s="282">
        <v>6.39</v>
      </c>
      <c r="Q748" s="236">
        <f t="shared" si="465"/>
        <v>1.2</v>
      </c>
      <c r="R748" s="265">
        <f t="shared" si="466"/>
        <v>310</v>
      </c>
      <c r="S748" s="193">
        <f t="shared" si="467"/>
        <v>372</v>
      </c>
      <c r="T748" s="230"/>
      <c r="U748" s="290"/>
      <c r="V748" s="200"/>
      <c r="W748" s="232">
        <f t="shared" si="438"/>
        <v>1.2</v>
      </c>
      <c r="X748" s="289">
        <v>331</v>
      </c>
      <c r="Y748" s="199">
        <f t="shared" si="439"/>
        <v>397.2</v>
      </c>
      <c r="Z748" s="153"/>
      <c r="AA748" s="147"/>
      <c r="AB748" s="101">
        <f t="shared" si="468"/>
        <v>0</v>
      </c>
      <c r="AC748" s="226"/>
      <c r="AD748" s="302">
        <f t="shared" si="444"/>
        <v>-21</v>
      </c>
      <c r="AE748" s="202">
        <f t="shared" si="445"/>
        <v>-25.199999999999989</v>
      </c>
    </row>
    <row r="749" spans="1:32" hidden="1" outlineLevel="2" x14ac:dyDescent="0.3">
      <c r="B749" s="328" t="s">
        <v>434</v>
      </c>
      <c r="C749" s="78" t="s">
        <v>16</v>
      </c>
      <c r="D749" s="255">
        <v>99.805999999999997</v>
      </c>
      <c r="E749" s="64"/>
      <c r="F749" s="265">
        <f t="shared" si="464"/>
        <v>72</v>
      </c>
      <c r="G749" s="215">
        <v>7214.99</v>
      </c>
      <c r="H749" s="272"/>
      <c r="I749" s="236"/>
      <c r="J749" s="265"/>
      <c r="K749" s="193"/>
      <c r="L749" s="272"/>
      <c r="M749" s="236"/>
      <c r="N749" s="265"/>
      <c r="O749" s="193"/>
      <c r="P749" s="282">
        <v>6.39</v>
      </c>
      <c r="Q749" s="236">
        <f t="shared" si="465"/>
        <v>99.805999999999997</v>
      </c>
      <c r="R749" s="265">
        <f t="shared" si="466"/>
        <v>366</v>
      </c>
      <c r="S749" s="193">
        <f t="shared" si="467"/>
        <v>36542</v>
      </c>
      <c r="T749" s="230"/>
      <c r="U749" s="290"/>
      <c r="V749" s="200"/>
      <c r="W749" s="232">
        <f t="shared" si="438"/>
        <v>99.805999999999997</v>
      </c>
      <c r="X749" s="289">
        <v>272</v>
      </c>
      <c r="Y749" s="199">
        <f t="shared" si="439"/>
        <v>27147.232</v>
      </c>
      <c r="Z749" s="153"/>
      <c r="AA749" s="147"/>
      <c r="AB749" s="101">
        <f t="shared" si="468"/>
        <v>0</v>
      </c>
      <c r="AC749" s="226"/>
      <c r="AD749" s="304">
        <f t="shared" si="444"/>
        <v>94</v>
      </c>
      <c r="AE749" s="305">
        <f t="shared" si="445"/>
        <v>9394.768</v>
      </c>
    </row>
    <row r="750" spans="1:32" s="95" customFormat="1" hidden="1" outlineLevel="1" x14ac:dyDescent="0.3">
      <c r="A750" s="98"/>
      <c r="B750" s="160"/>
      <c r="C750" s="107"/>
      <c r="D750" s="253"/>
      <c r="E750" s="98"/>
      <c r="F750" s="154"/>
      <c r="G750" s="214"/>
      <c r="H750" s="154"/>
      <c r="I750" s="231"/>
      <c r="J750" s="154"/>
      <c r="K750" s="194"/>
      <c r="L750" s="154"/>
      <c r="M750" s="231"/>
      <c r="N750" s="154"/>
      <c r="O750" s="194"/>
      <c r="P750" s="154"/>
      <c r="Q750" s="231"/>
      <c r="R750" s="286"/>
      <c r="S750" s="194"/>
      <c r="T750" s="231"/>
      <c r="U750" s="155"/>
      <c r="V750" s="194"/>
      <c r="W750" s="231"/>
      <c r="X750" s="155"/>
      <c r="Y750" s="194"/>
      <c r="Z750" s="157"/>
      <c r="AA750" s="156"/>
      <c r="AB750" s="156"/>
      <c r="AC750" s="194"/>
      <c r="AD750" s="155"/>
      <c r="AE750" s="194"/>
    </row>
    <row r="751" spans="1:32" ht="27.75" hidden="1" customHeight="1" outlineLevel="1" x14ac:dyDescent="0.3">
      <c r="A751" s="400"/>
      <c r="B751" s="1082" t="s">
        <v>536</v>
      </c>
      <c r="C751" s="1083"/>
      <c r="D751" s="1083"/>
      <c r="E751" s="1083"/>
      <c r="F751" s="1084"/>
      <c r="G751" s="333">
        <f>SUM(G752:G757)</f>
        <v>30261.83</v>
      </c>
      <c r="H751" s="320"/>
      <c r="I751" s="320"/>
      <c r="J751" s="320"/>
      <c r="K751" s="321">
        <f>SUM(K752:K757)</f>
        <v>0</v>
      </c>
      <c r="L751" s="320"/>
      <c r="M751" s="320"/>
      <c r="N751" s="320"/>
      <c r="O751" s="321">
        <f>SUM(O752:O757)</f>
        <v>0</v>
      </c>
      <c r="P751" s="320"/>
      <c r="Q751" s="320"/>
      <c r="R751" s="320"/>
      <c r="S751" s="321">
        <f>SUM(S752:S757)</f>
        <v>131412</v>
      </c>
      <c r="T751" s="320"/>
      <c r="U751" s="322"/>
      <c r="V751" s="321">
        <f>SUM(V752:V757)</f>
        <v>0</v>
      </c>
      <c r="W751" s="320"/>
      <c r="X751" s="322"/>
      <c r="Y751" s="321">
        <f>SUM(Y752:Y757)</f>
        <v>121592.448</v>
      </c>
      <c r="Z751" s="322"/>
      <c r="AA751" s="322"/>
      <c r="AB751" s="322"/>
      <c r="AC751" s="322"/>
      <c r="AD751" s="322"/>
      <c r="AE751" s="325">
        <f>SUM(AE752:AE757)</f>
        <v>9819.5519999999997</v>
      </c>
      <c r="AF751" s="326">
        <f>AE751/S751</f>
        <v>7.4723404255319148E-2</v>
      </c>
    </row>
    <row r="752" spans="1:32" ht="36.75" hidden="1" customHeight="1" outlineLevel="2" x14ac:dyDescent="0.3">
      <c r="A752" s="141"/>
      <c r="B752" s="328" t="s">
        <v>489</v>
      </c>
      <c r="C752" s="78" t="s">
        <v>5</v>
      </c>
      <c r="D752" s="255">
        <v>570</v>
      </c>
      <c r="E752" s="64"/>
      <c r="F752" s="265">
        <f>ROUND(G752/D752,0)</f>
        <v>42</v>
      </c>
      <c r="G752" s="215">
        <v>23713.68</v>
      </c>
      <c r="H752" s="272"/>
      <c r="I752" s="236"/>
      <c r="J752" s="265"/>
      <c r="K752" s="193"/>
      <c r="L752" s="272"/>
      <c r="M752" s="236"/>
      <c r="N752" s="265"/>
      <c r="O752" s="193"/>
      <c r="P752" s="282">
        <v>5.43</v>
      </c>
      <c r="Q752" s="236">
        <f t="shared" si="465"/>
        <v>570</v>
      </c>
      <c r="R752" s="265">
        <f>ROUND(F752*P752*0.7958,0)</f>
        <v>181</v>
      </c>
      <c r="S752" s="193">
        <f>ROUND(Q752*P752*F752*0.7958,0)</f>
        <v>103449</v>
      </c>
      <c r="T752" s="230"/>
      <c r="U752" s="290"/>
      <c r="V752" s="200"/>
      <c r="W752" s="232">
        <f t="shared" ref="W752:W757" si="482">Q752</f>
        <v>570</v>
      </c>
      <c r="X752" s="289">
        <v>160</v>
      </c>
      <c r="Y752" s="199">
        <f t="shared" ref="Y752:Y757" si="483">W752*X752</f>
        <v>91200</v>
      </c>
      <c r="Z752" s="153"/>
      <c r="AA752" s="147"/>
      <c r="AB752" s="101">
        <f t="shared" si="468"/>
        <v>0</v>
      </c>
      <c r="AC752" s="226"/>
      <c r="AD752" s="304">
        <f t="shared" ref="AD752" si="484">R752-X752</f>
        <v>21</v>
      </c>
      <c r="AE752" s="305">
        <f t="shared" ref="AE752" si="485">S752-Y752</f>
        <v>12249</v>
      </c>
    </row>
    <row r="753" spans="1:32" ht="28.5" hidden="1" customHeight="1" outlineLevel="2" x14ac:dyDescent="0.3">
      <c r="B753" s="328" t="s">
        <v>484</v>
      </c>
      <c r="C753" s="78" t="s">
        <v>16</v>
      </c>
      <c r="D753" s="255">
        <v>91.2</v>
      </c>
      <c r="E753" s="64"/>
      <c r="F753" s="265">
        <f t="shared" si="464"/>
        <v>13</v>
      </c>
      <c r="G753" s="215">
        <v>1222.99</v>
      </c>
      <c r="H753" s="272"/>
      <c r="I753" s="236"/>
      <c r="J753" s="265"/>
      <c r="K753" s="193"/>
      <c r="L753" s="272"/>
      <c r="M753" s="236"/>
      <c r="N753" s="265"/>
      <c r="O753" s="193"/>
      <c r="P753" s="282">
        <v>5.4</v>
      </c>
      <c r="Q753" s="236">
        <f t="shared" si="465"/>
        <v>91.2</v>
      </c>
      <c r="R753" s="265">
        <f t="shared" si="466"/>
        <v>56</v>
      </c>
      <c r="S753" s="193">
        <f t="shared" si="467"/>
        <v>5095</v>
      </c>
      <c r="T753" s="230"/>
      <c r="U753" s="290"/>
      <c r="V753" s="200"/>
      <c r="W753" s="232">
        <f t="shared" si="482"/>
        <v>91.2</v>
      </c>
      <c r="X753" s="289">
        <v>65</v>
      </c>
      <c r="Y753" s="199">
        <f t="shared" si="483"/>
        <v>5928</v>
      </c>
      <c r="Z753" s="153"/>
      <c r="AA753" s="147"/>
      <c r="AB753" s="101">
        <f t="shared" si="468"/>
        <v>0</v>
      </c>
      <c r="AC753" s="226"/>
      <c r="AD753" s="302">
        <f t="shared" ref="AD753:AD757" si="486">R753-X753</f>
        <v>-9</v>
      </c>
      <c r="AE753" s="202">
        <f t="shared" ref="AE753:AE757" si="487">S753-Y753</f>
        <v>-833</v>
      </c>
    </row>
    <row r="754" spans="1:32" hidden="1" outlineLevel="2" x14ac:dyDescent="0.3">
      <c r="B754" s="328" t="s">
        <v>485</v>
      </c>
      <c r="C754" s="78" t="s">
        <v>16</v>
      </c>
      <c r="D754" s="255">
        <v>12</v>
      </c>
      <c r="E754" s="64"/>
      <c r="F754" s="265">
        <f t="shared" si="464"/>
        <v>14</v>
      </c>
      <c r="G754" s="215">
        <v>172.68</v>
      </c>
      <c r="H754" s="272"/>
      <c r="I754" s="236"/>
      <c r="J754" s="265"/>
      <c r="K754" s="193"/>
      <c r="L754" s="272"/>
      <c r="M754" s="236"/>
      <c r="N754" s="265"/>
      <c r="O754" s="193"/>
      <c r="P754" s="282">
        <v>5.4</v>
      </c>
      <c r="Q754" s="236">
        <f t="shared" si="465"/>
        <v>12</v>
      </c>
      <c r="R754" s="265">
        <f t="shared" si="466"/>
        <v>60</v>
      </c>
      <c r="S754" s="193">
        <f t="shared" si="467"/>
        <v>722</v>
      </c>
      <c r="T754" s="230"/>
      <c r="U754" s="290"/>
      <c r="V754" s="200"/>
      <c r="W754" s="232">
        <f t="shared" si="482"/>
        <v>12</v>
      </c>
      <c r="X754" s="289">
        <v>110</v>
      </c>
      <c r="Y754" s="199">
        <f t="shared" si="483"/>
        <v>1320</v>
      </c>
      <c r="Z754" s="153"/>
      <c r="AA754" s="147"/>
      <c r="AB754" s="101">
        <f t="shared" si="468"/>
        <v>0</v>
      </c>
      <c r="AC754" s="226"/>
      <c r="AD754" s="302">
        <f t="shared" si="486"/>
        <v>-50</v>
      </c>
      <c r="AE754" s="202">
        <f t="shared" si="487"/>
        <v>-598</v>
      </c>
    </row>
    <row r="755" spans="1:32" hidden="1" outlineLevel="2" x14ac:dyDescent="0.3">
      <c r="A755" s="141"/>
      <c r="B755" s="328" t="s">
        <v>486</v>
      </c>
      <c r="C755" s="78" t="s">
        <v>5</v>
      </c>
      <c r="D755" s="255">
        <v>120</v>
      </c>
      <c r="E755" s="64"/>
      <c r="F755" s="265">
        <f t="shared" si="464"/>
        <v>14</v>
      </c>
      <c r="G755" s="215">
        <v>1674</v>
      </c>
      <c r="H755" s="272"/>
      <c r="I755" s="236"/>
      <c r="J755" s="265"/>
      <c r="K755" s="193"/>
      <c r="L755" s="272"/>
      <c r="M755" s="236"/>
      <c r="N755" s="265"/>
      <c r="O755" s="193"/>
      <c r="P755" s="282">
        <v>5.4</v>
      </c>
      <c r="Q755" s="236">
        <f t="shared" si="465"/>
        <v>120</v>
      </c>
      <c r="R755" s="265">
        <f t="shared" si="466"/>
        <v>60</v>
      </c>
      <c r="S755" s="193">
        <f t="shared" si="467"/>
        <v>7219</v>
      </c>
      <c r="T755" s="230"/>
      <c r="U755" s="290"/>
      <c r="V755" s="200"/>
      <c r="W755" s="232">
        <f t="shared" si="482"/>
        <v>120</v>
      </c>
      <c r="X755" s="289">
        <v>78.11</v>
      </c>
      <c r="Y755" s="199">
        <f t="shared" si="483"/>
        <v>9373.2000000000007</v>
      </c>
      <c r="Z755" s="153"/>
      <c r="AA755" s="147"/>
      <c r="AB755" s="101">
        <f t="shared" si="468"/>
        <v>0</v>
      </c>
      <c r="AC755" s="226"/>
      <c r="AD755" s="302">
        <f t="shared" si="486"/>
        <v>-18.11</v>
      </c>
      <c r="AE755" s="202">
        <f t="shared" si="487"/>
        <v>-2154.2000000000007</v>
      </c>
    </row>
    <row r="756" spans="1:32" hidden="1" outlineLevel="2" x14ac:dyDescent="0.3">
      <c r="B756" s="328" t="s">
        <v>487</v>
      </c>
      <c r="C756" s="78" t="s">
        <v>40</v>
      </c>
      <c r="D756" s="255">
        <v>12</v>
      </c>
      <c r="E756" s="64"/>
      <c r="F756" s="265">
        <f t="shared" si="464"/>
        <v>228</v>
      </c>
      <c r="G756" s="215">
        <v>2740.8</v>
      </c>
      <c r="H756" s="272"/>
      <c r="I756" s="236"/>
      <c r="J756" s="265"/>
      <c r="K756" s="193"/>
      <c r="L756" s="272"/>
      <c r="M756" s="236"/>
      <c r="N756" s="265"/>
      <c r="O756" s="193"/>
      <c r="P756" s="282">
        <v>5.4</v>
      </c>
      <c r="Q756" s="236">
        <f t="shared" si="465"/>
        <v>12</v>
      </c>
      <c r="R756" s="265">
        <f t="shared" si="466"/>
        <v>980</v>
      </c>
      <c r="S756" s="193">
        <f t="shared" si="467"/>
        <v>11757</v>
      </c>
      <c r="T756" s="230"/>
      <c r="U756" s="290"/>
      <c r="V756" s="200"/>
      <c r="W756" s="232">
        <f t="shared" si="482"/>
        <v>12</v>
      </c>
      <c r="X756" s="289">
        <v>1145</v>
      </c>
      <c r="Y756" s="199">
        <f t="shared" si="483"/>
        <v>13740</v>
      </c>
      <c r="Z756" s="153"/>
      <c r="AA756" s="147"/>
      <c r="AB756" s="101">
        <f t="shared" si="468"/>
        <v>0</v>
      </c>
      <c r="AC756" s="226"/>
      <c r="AD756" s="302">
        <f t="shared" si="486"/>
        <v>-165</v>
      </c>
      <c r="AE756" s="202">
        <f t="shared" si="487"/>
        <v>-1983</v>
      </c>
    </row>
    <row r="757" spans="1:32" hidden="1" outlineLevel="2" x14ac:dyDescent="0.3">
      <c r="B757" s="328" t="s">
        <v>488</v>
      </c>
      <c r="C757" s="78" t="s">
        <v>28</v>
      </c>
      <c r="D757" s="255">
        <v>7.0000000000000007E-2</v>
      </c>
      <c r="E757" s="64"/>
      <c r="F757" s="265">
        <f t="shared" si="464"/>
        <v>10538</v>
      </c>
      <c r="G757" s="215">
        <v>737.68</v>
      </c>
      <c r="H757" s="272"/>
      <c r="I757" s="236"/>
      <c r="J757" s="265"/>
      <c r="K757" s="193"/>
      <c r="L757" s="272"/>
      <c r="M757" s="236"/>
      <c r="N757" s="265"/>
      <c r="O757" s="193"/>
      <c r="P757" s="282">
        <v>5.4</v>
      </c>
      <c r="Q757" s="236">
        <f t="shared" si="465"/>
        <v>7.0000000000000007E-2</v>
      </c>
      <c r="R757" s="265">
        <f t="shared" si="466"/>
        <v>45285</v>
      </c>
      <c r="S757" s="193">
        <f t="shared" si="467"/>
        <v>3170</v>
      </c>
      <c r="T757" s="230"/>
      <c r="U757" s="290"/>
      <c r="V757" s="200"/>
      <c r="W757" s="232">
        <f t="shared" si="482"/>
        <v>7.0000000000000007E-2</v>
      </c>
      <c r="X757" s="289">
        <v>446.4</v>
      </c>
      <c r="Y757" s="199">
        <f t="shared" si="483"/>
        <v>31.248000000000001</v>
      </c>
      <c r="Z757" s="153"/>
      <c r="AA757" s="147"/>
      <c r="AB757" s="101">
        <f t="shared" si="468"/>
        <v>0</v>
      </c>
      <c r="AC757" s="226"/>
      <c r="AD757" s="304">
        <f t="shared" si="486"/>
        <v>44838.6</v>
      </c>
      <c r="AE757" s="305">
        <f t="shared" si="487"/>
        <v>3138.752</v>
      </c>
    </row>
    <row r="758" spans="1:32" s="95" customFormat="1" hidden="1" outlineLevel="1" x14ac:dyDescent="0.3">
      <c r="A758" s="98"/>
      <c r="B758" s="160"/>
      <c r="C758" s="107"/>
      <c r="D758" s="253"/>
      <c r="E758" s="98"/>
      <c r="F758" s="154"/>
      <c r="G758" s="214"/>
      <c r="H758" s="154"/>
      <c r="I758" s="231"/>
      <c r="J758" s="154"/>
      <c r="K758" s="194"/>
      <c r="L758" s="154"/>
      <c r="M758" s="231"/>
      <c r="N758" s="154"/>
      <c r="O758" s="194"/>
      <c r="P758" s="154"/>
      <c r="Q758" s="231"/>
      <c r="R758" s="286"/>
      <c r="S758" s="194"/>
      <c r="T758" s="231"/>
      <c r="U758" s="155"/>
      <c r="V758" s="194"/>
      <c r="W758" s="231"/>
      <c r="X758" s="155"/>
      <c r="Y758" s="194"/>
      <c r="Z758" s="157"/>
      <c r="AA758" s="156"/>
      <c r="AB758" s="156"/>
      <c r="AC758" s="194"/>
      <c r="AD758" s="155"/>
      <c r="AE758" s="194"/>
    </row>
    <row r="759" spans="1:32" ht="41.25" hidden="1" customHeight="1" outlineLevel="1" x14ac:dyDescent="0.3">
      <c r="A759" s="400"/>
      <c r="B759" s="1082" t="s">
        <v>535</v>
      </c>
      <c r="C759" s="1083"/>
      <c r="D759" s="1083"/>
      <c r="E759" s="1083"/>
      <c r="F759" s="1084"/>
      <c r="G759" s="333">
        <f>SUM(G760:G772)</f>
        <v>14652.789999999997</v>
      </c>
      <c r="H759" s="320"/>
      <c r="I759" s="320"/>
      <c r="J759" s="320"/>
      <c r="K759" s="321">
        <f>SUM(K760:K772)</f>
        <v>0</v>
      </c>
      <c r="L759" s="320"/>
      <c r="M759" s="320"/>
      <c r="N759" s="320"/>
      <c r="O759" s="321">
        <f>SUM(O760:O772)</f>
        <v>0</v>
      </c>
      <c r="P759" s="320"/>
      <c r="Q759" s="320"/>
      <c r="R759" s="320"/>
      <c r="S759" s="321">
        <f>SUM(S760:S772)</f>
        <v>72026</v>
      </c>
      <c r="T759" s="320"/>
      <c r="U759" s="322"/>
      <c r="V759" s="321"/>
      <c r="W759" s="320"/>
      <c r="X759" s="322"/>
      <c r="Y759" s="321">
        <f>SUM(Y760:Y772)</f>
        <v>32047.447200000002</v>
      </c>
      <c r="Z759" s="322"/>
      <c r="AA759" s="322"/>
      <c r="AB759" s="322"/>
      <c r="AC759" s="322"/>
      <c r="AD759" s="322"/>
      <c r="AE759" s="325">
        <f>SUM(AE760:AE772)</f>
        <v>39978.55279999999</v>
      </c>
      <c r="AF759" s="326">
        <f>AE759/S759</f>
        <v>0.55505724044095173</v>
      </c>
    </row>
    <row r="760" spans="1:32" hidden="1" outlineLevel="2" x14ac:dyDescent="0.3">
      <c r="B760" s="328" t="s">
        <v>492</v>
      </c>
      <c r="C760" s="78" t="s">
        <v>40</v>
      </c>
      <c r="D760" s="255">
        <v>2080</v>
      </c>
      <c r="E760" s="64"/>
      <c r="F760" s="266">
        <v>0.01</v>
      </c>
      <c r="G760" s="215">
        <v>250.21</v>
      </c>
      <c r="H760" s="272"/>
      <c r="I760" s="236"/>
      <c r="J760" s="265"/>
      <c r="K760" s="193"/>
      <c r="L760" s="272"/>
      <c r="M760" s="236"/>
      <c r="N760" s="265"/>
      <c r="O760" s="193"/>
      <c r="P760" s="282">
        <v>6.31</v>
      </c>
      <c r="Q760" s="236">
        <f t="shared" si="465"/>
        <v>2080</v>
      </c>
      <c r="R760" s="266">
        <v>0.06</v>
      </c>
      <c r="S760" s="193">
        <f>ROUND(Q760*P760*F760*0.7958,0)</f>
        <v>104</v>
      </c>
      <c r="T760" s="230"/>
      <c r="U760" s="290"/>
      <c r="V760" s="200"/>
      <c r="W760" s="232">
        <f t="shared" ref="W760:W772" si="488">Q760</f>
        <v>2080</v>
      </c>
      <c r="X760" s="289">
        <v>2</v>
      </c>
      <c r="Y760" s="199">
        <f t="shared" ref="Y760:Y772" si="489">W760*X760</f>
        <v>4160</v>
      </c>
      <c r="Z760" s="153"/>
      <c r="AA760" s="147"/>
      <c r="AB760" s="101">
        <f t="shared" si="468"/>
        <v>0</v>
      </c>
      <c r="AC760" s="226"/>
      <c r="AD760" s="302">
        <f>R760-X760</f>
        <v>-1.94</v>
      </c>
      <c r="AE760" s="202">
        <f>S760-Y760</f>
        <v>-4056</v>
      </c>
    </row>
    <row r="761" spans="1:32" ht="21" hidden="1" customHeight="1" outlineLevel="2" x14ac:dyDescent="0.3">
      <c r="A761" s="141"/>
      <c r="B761" s="328" t="s">
        <v>493</v>
      </c>
      <c r="C761" s="78" t="s">
        <v>40</v>
      </c>
      <c r="D761" s="255">
        <v>16</v>
      </c>
      <c r="E761" s="64"/>
      <c r="F761" s="265">
        <f t="shared" si="464"/>
        <v>58</v>
      </c>
      <c r="G761" s="215">
        <v>928.16</v>
      </c>
      <c r="H761" s="272"/>
      <c r="I761" s="236"/>
      <c r="J761" s="265"/>
      <c r="K761" s="193"/>
      <c r="L761" s="272"/>
      <c r="M761" s="236"/>
      <c r="N761" s="265"/>
      <c r="O761" s="193"/>
      <c r="P761" s="282">
        <v>6.31</v>
      </c>
      <c r="Q761" s="236">
        <f t="shared" si="465"/>
        <v>16</v>
      </c>
      <c r="R761" s="265">
        <f t="shared" si="466"/>
        <v>291</v>
      </c>
      <c r="S761" s="193">
        <f t="shared" si="467"/>
        <v>4660</v>
      </c>
      <c r="T761" s="230"/>
      <c r="U761" s="290"/>
      <c r="V761" s="200"/>
      <c r="W761" s="232">
        <f t="shared" si="488"/>
        <v>16</v>
      </c>
      <c r="X761" s="289">
        <v>216.8</v>
      </c>
      <c r="Y761" s="199">
        <f t="shared" si="489"/>
        <v>3468.8</v>
      </c>
      <c r="Z761" s="153"/>
      <c r="AA761" s="147"/>
      <c r="AB761" s="101">
        <f t="shared" si="468"/>
        <v>0</v>
      </c>
      <c r="AC761" s="226"/>
      <c r="AD761" s="304">
        <f t="shared" ref="AD761:AD772" si="490">R761-X761</f>
        <v>74.199999999999989</v>
      </c>
      <c r="AE761" s="305">
        <f>S761-Y761</f>
        <v>1191.1999999999998</v>
      </c>
    </row>
    <row r="762" spans="1:32" ht="33" hidden="1" customHeight="1" outlineLevel="2" x14ac:dyDescent="0.3">
      <c r="A762" s="141"/>
      <c r="B762" s="328" t="s">
        <v>423</v>
      </c>
      <c r="C762" s="78" t="s">
        <v>5</v>
      </c>
      <c r="D762" s="255">
        <v>160</v>
      </c>
      <c r="E762" s="64"/>
      <c r="F762" s="265">
        <f t="shared" si="464"/>
        <v>14</v>
      </c>
      <c r="G762" s="215">
        <v>2247.27</v>
      </c>
      <c r="H762" s="272"/>
      <c r="I762" s="236"/>
      <c r="J762" s="265"/>
      <c r="K762" s="193"/>
      <c r="L762" s="272"/>
      <c r="M762" s="236"/>
      <c r="N762" s="265"/>
      <c r="O762" s="193"/>
      <c r="P762" s="282">
        <v>6.31</v>
      </c>
      <c r="Q762" s="236">
        <f t="shared" si="465"/>
        <v>160</v>
      </c>
      <c r="R762" s="265">
        <f t="shared" si="466"/>
        <v>70</v>
      </c>
      <c r="S762" s="193">
        <f t="shared" si="467"/>
        <v>11248</v>
      </c>
      <c r="T762" s="230"/>
      <c r="U762" s="290"/>
      <c r="V762" s="200"/>
      <c r="W762" s="232">
        <f t="shared" si="488"/>
        <v>160</v>
      </c>
      <c r="X762" s="289">
        <v>13.17</v>
      </c>
      <c r="Y762" s="199">
        <f t="shared" si="489"/>
        <v>2107.1999999999998</v>
      </c>
      <c r="Z762" s="153"/>
      <c r="AA762" s="147"/>
      <c r="AB762" s="101">
        <f t="shared" si="468"/>
        <v>0</v>
      </c>
      <c r="AC762" s="226"/>
      <c r="AD762" s="304">
        <f t="shared" si="490"/>
        <v>56.83</v>
      </c>
      <c r="AE762" s="305">
        <f t="shared" ref="AE762:AE772" si="491">S762-Y762</f>
        <v>9140.7999999999993</v>
      </c>
    </row>
    <row r="763" spans="1:32" ht="27" hidden="1" customHeight="1" outlineLevel="2" x14ac:dyDescent="0.3">
      <c r="A763" s="141"/>
      <c r="B763" s="328" t="s">
        <v>494</v>
      </c>
      <c r="C763" s="78" t="s">
        <v>5</v>
      </c>
      <c r="D763" s="255">
        <v>70</v>
      </c>
      <c r="E763" s="64"/>
      <c r="F763" s="265">
        <f t="shared" si="464"/>
        <v>23</v>
      </c>
      <c r="G763" s="215">
        <v>1577</v>
      </c>
      <c r="H763" s="272"/>
      <c r="I763" s="236"/>
      <c r="J763" s="265"/>
      <c r="K763" s="193"/>
      <c r="L763" s="272"/>
      <c r="M763" s="236"/>
      <c r="N763" s="265"/>
      <c r="O763" s="193"/>
      <c r="P763" s="282">
        <v>6.31</v>
      </c>
      <c r="Q763" s="236">
        <f t="shared" si="465"/>
        <v>70</v>
      </c>
      <c r="R763" s="265">
        <f t="shared" si="466"/>
        <v>115</v>
      </c>
      <c r="S763" s="193">
        <f t="shared" si="467"/>
        <v>8085</v>
      </c>
      <c r="T763" s="230"/>
      <c r="U763" s="290"/>
      <c r="V763" s="200"/>
      <c r="W763" s="232">
        <f t="shared" si="488"/>
        <v>70</v>
      </c>
      <c r="X763" s="289">
        <v>15.2</v>
      </c>
      <c r="Y763" s="199">
        <f t="shared" si="489"/>
        <v>1064</v>
      </c>
      <c r="Z763" s="153"/>
      <c r="AA763" s="147"/>
      <c r="AB763" s="101">
        <f t="shared" si="468"/>
        <v>0</v>
      </c>
      <c r="AC763" s="226"/>
      <c r="AD763" s="304">
        <f t="shared" si="490"/>
        <v>99.8</v>
      </c>
      <c r="AE763" s="305">
        <f t="shared" si="491"/>
        <v>7021</v>
      </c>
    </row>
    <row r="764" spans="1:32" hidden="1" outlineLevel="2" x14ac:dyDescent="0.3">
      <c r="A764" s="141"/>
      <c r="B764" s="328" t="s">
        <v>495</v>
      </c>
      <c r="C764" s="78" t="s">
        <v>5</v>
      </c>
      <c r="D764" s="255">
        <v>70</v>
      </c>
      <c r="E764" s="64"/>
      <c r="F764" s="265">
        <f t="shared" si="464"/>
        <v>4</v>
      </c>
      <c r="G764" s="215">
        <v>312.54000000000002</v>
      </c>
      <c r="H764" s="272"/>
      <c r="I764" s="236"/>
      <c r="J764" s="265"/>
      <c r="K764" s="193"/>
      <c r="L764" s="272"/>
      <c r="M764" s="236"/>
      <c r="N764" s="265"/>
      <c r="O764" s="193"/>
      <c r="P764" s="282">
        <v>6.31</v>
      </c>
      <c r="Q764" s="236">
        <f t="shared" si="465"/>
        <v>70</v>
      </c>
      <c r="R764" s="265">
        <f t="shared" si="466"/>
        <v>20</v>
      </c>
      <c r="S764" s="193">
        <f t="shared" si="467"/>
        <v>1406</v>
      </c>
      <c r="T764" s="230"/>
      <c r="U764" s="290"/>
      <c r="V764" s="200"/>
      <c r="W764" s="232">
        <f t="shared" si="488"/>
        <v>70</v>
      </c>
      <c r="X764" s="289">
        <v>16.03</v>
      </c>
      <c r="Y764" s="199">
        <f t="shared" si="489"/>
        <v>1122.1000000000001</v>
      </c>
      <c r="Z764" s="153"/>
      <c r="AA764" s="147"/>
      <c r="AB764" s="101">
        <f t="shared" si="468"/>
        <v>0</v>
      </c>
      <c r="AC764" s="226"/>
      <c r="AD764" s="304">
        <f t="shared" si="490"/>
        <v>3.9699999999999989</v>
      </c>
      <c r="AE764" s="305">
        <f t="shared" si="491"/>
        <v>283.89999999999986</v>
      </c>
    </row>
    <row r="765" spans="1:32" hidden="1" outlineLevel="2" x14ac:dyDescent="0.3">
      <c r="A765" s="141"/>
      <c r="B765" s="328" t="s">
        <v>970</v>
      </c>
      <c r="C765" s="78" t="s">
        <v>5</v>
      </c>
      <c r="D765" s="255">
        <v>220</v>
      </c>
      <c r="E765" s="64"/>
      <c r="F765" s="265">
        <f t="shared" ref="F765" si="492">ROUND(G765/D765,0)</f>
        <v>33</v>
      </c>
      <c r="G765" s="215">
        <v>7341.4</v>
      </c>
      <c r="H765" s="272"/>
      <c r="I765" s="236"/>
      <c r="J765" s="265"/>
      <c r="K765" s="193"/>
      <c r="L765" s="272"/>
      <c r="M765" s="236"/>
      <c r="N765" s="265"/>
      <c r="O765" s="193"/>
      <c r="P765" s="282">
        <v>6.31</v>
      </c>
      <c r="Q765" s="236">
        <f t="shared" ref="Q765" si="493">D765-I765-M765</f>
        <v>220</v>
      </c>
      <c r="R765" s="265">
        <f t="shared" ref="R765" si="494">ROUND(F765*P765*0.7958,0)</f>
        <v>166</v>
      </c>
      <c r="S765" s="193">
        <f t="shared" ref="S765" si="495">ROUND(Q765*P765*F765*0.7958,0)</f>
        <v>36456</v>
      </c>
      <c r="T765" s="230"/>
      <c r="U765" s="290"/>
      <c r="V765" s="200"/>
      <c r="W765" s="232">
        <f t="shared" si="488"/>
        <v>220</v>
      </c>
      <c r="X765" s="289">
        <v>32.44</v>
      </c>
      <c r="Y765" s="199">
        <f t="shared" si="489"/>
        <v>7136.7999999999993</v>
      </c>
      <c r="Z765" s="153"/>
      <c r="AA765" s="147"/>
      <c r="AB765" s="101">
        <f t="shared" ref="AB765" si="496">ROUND(Z765*AA765,0)</f>
        <v>0</v>
      </c>
      <c r="AC765" s="226"/>
      <c r="AD765" s="304">
        <f t="shared" si="490"/>
        <v>133.56</v>
      </c>
      <c r="AE765" s="305">
        <f t="shared" si="491"/>
        <v>29319.200000000001</v>
      </c>
    </row>
    <row r="766" spans="1:32" hidden="1" outlineLevel="2" x14ac:dyDescent="0.3">
      <c r="A766" s="141"/>
      <c r="B766" s="328" t="s">
        <v>496</v>
      </c>
      <c r="C766" s="78" t="s">
        <v>40</v>
      </c>
      <c r="D766" s="255">
        <v>5</v>
      </c>
      <c r="E766" s="64"/>
      <c r="F766" s="265">
        <f t="shared" si="464"/>
        <v>328</v>
      </c>
      <c r="G766" s="215">
        <v>1639.85</v>
      </c>
      <c r="H766" s="272"/>
      <c r="I766" s="236"/>
      <c r="J766" s="265"/>
      <c r="K766" s="193"/>
      <c r="L766" s="272"/>
      <c r="M766" s="236"/>
      <c r="N766" s="265"/>
      <c r="O766" s="193"/>
      <c r="P766" s="282">
        <v>6.31</v>
      </c>
      <c r="Q766" s="236">
        <f t="shared" si="465"/>
        <v>5</v>
      </c>
      <c r="R766" s="265">
        <f t="shared" si="466"/>
        <v>1647</v>
      </c>
      <c r="S766" s="193">
        <f t="shared" si="467"/>
        <v>8235</v>
      </c>
      <c r="T766" s="230"/>
      <c r="U766" s="290"/>
      <c r="V766" s="200"/>
      <c r="W766" s="232">
        <f t="shared" si="488"/>
        <v>5</v>
      </c>
      <c r="X766" s="289">
        <v>2369.6</v>
      </c>
      <c r="Y766" s="199">
        <f t="shared" si="489"/>
        <v>11848</v>
      </c>
      <c r="Z766" s="153"/>
      <c r="AA766" s="147"/>
      <c r="AB766" s="101">
        <f t="shared" si="468"/>
        <v>0</v>
      </c>
      <c r="AC766" s="226"/>
      <c r="AD766" s="302">
        <f t="shared" si="490"/>
        <v>-722.59999999999991</v>
      </c>
      <c r="AE766" s="202">
        <f t="shared" si="491"/>
        <v>-3613</v>
      </c>
    </row>
    <row r="767" spans="1:32" hidden="1" outlineLevel="2" x14ac:dyDescent="0.3">
      <c r="A767" s="141"/>
      <c r="B767" s="328" t="s">
        <v>497</v>
      </c>
      <c r="C767" s="78" t="s">
        <v>40</v>
      </c>
      <c r="D767" s="255">
        <v>7</v>
      </c>
      <c r="E767" s="64"/>
      <c r="F767" s="265">
        <f t="shared" si="464"/>
        <v>4</v>
      </c>
      <c r="G767" s="215">
        <v>29.4</v>
      </c>
      <c r="H767" s="272"/>
      <c r="I767" s="236"/>
      <c r="J767" s="265"/>
      <c r="K767" s="193"/>
      <c r="L767" s="272"/>
      <c r="M767" s="236"/>
      <c r="N767" s="265"/>
      <c r="O767" s="193"/>
      <c r="P767" s="282">
        <v>6.31</v>
      </c>
      <c r="Q767" s="236">
        <f t="shared" si="465"/>
        <v>7</v>
      </c>
      <c r="R767" s="265">
        <f t="shared" si="466"/>
        <v>20</v>
      </c>
      <c r="S767" s="193">
        <f t="shared" si="467"/>
        <v>141</v>
      </c>
      <c r="T767" s="230"/>
      <c r="U767" s="290"/>
      <c r="V767" s="200"/>
      <c r="W767" s="232">
        <f t="shared" si="488"/>
        <v>7</v>
      </c>
      <c r="X767" s="289">
        <v>11.2</v>
      </c>
      <c r="Y767" s="199">
        <f t="shared" si="489"/>
        <v>78.399999999999991</v>
      </c>
      <c r="Z767" s="153"/>
      <c r="AA767" s="147"/>
      <c r="AB767" s="101">
        <f t="shared" si="468"/>
        <v>0</v>
      </c>
      <c r="AC767" s="226"/>
      <c r="AD767" s="304">
        <f t="shared" si="490"/>
        <v>8.8000000000000007</v>
      </c>
      <c r="AE767" s="305">
        <f t="shared" si="491"/>
        <v>62.600000000000009</v>
      </c>
    </row>
    <row r="768" spans="1:32" hidden="1" outlineLevel="2" x14ac:dyDescent="0.3">
      <c r="A768" s="142"/>
      <c r="B768" s="328" t="s">
        <v>483</v>
      </c>
      <c r="C768" s="78" t="s">
        <v>16</v>
      </c>
      <c r="D768" s="255">
        <v>0.96500000000000008</v>
      </c>
      <c r="E768" s="64"/>
      <c r="F768" s="265">
        <f t="shared" si="464"/>
        <v>17</v>
      </c>
      <c r="G768" s="215">
        <v>16.41</v>
      </c>
      <c r="H768" s="272"/>
      <c r="I768" s="236"/>
      <c r="J768" s="265"/>
      <c r="K768" s="193"/>
      <c r="L768" s="272"/>
      <c r="M768" s="236"/>
      <c r="N768" s="265"/>
      <c r="O768" s="193"/>
      <c r="P768" s="282">
        <v>6.31</v>
      </c>
      <c r="Q768" s="236">
        <f t="shared" si="465"/>
        <v>0.96500000000000008</v>
      </c>
      <c r="R768" s="265">
        <f t="shared" si="466"/>
        <v>85</v>
      </c>
      <c r="S768" s="193">
        <f t="shared" si="467"/>
        <v>82</v>
      </c>
      <c r="T768" s="230"/>
      <c r="U768" s="290"/>
      <c r="V768" s="200"/>
      <c r="W768" s="232">
        <f t="shared" si="488"/>
        <v>0.96500000000000008</v>
      </c>
      <c r="X768" s="289">
        <v>70</v>
      </c>
      <c r="Y768" s="199">
        <f t="shared" si="489"/>
        <v>67.550000000000011</v>
      </c>
      <c r="Z768" s="153"/>
      <c r="AA768" s="147"/>
      <c r="AB768" s="101">
        <f t="shared" si="468"/>
        <v>0</v>
      </c>
      <c r="AC768" s="226"/>
      <c r="AD768" s="304">
        <f t="shared" si="490"/>
        <v>15</v>
      </c>
      <c r="AE768" s="305">
        <f t="shared" si="491"/>
        <v>14.449999999999989</v>
      </c>
    </row>
    <row r="769" spans="1:32" hidden="1" outlineLevel="2" x14ac:dyDescent="0.3">
      <c r="B769" s="328" t="s">
        <v>426</v>
      </c>
      <c r="C769" s="78" t="s">
        <v>40</v>
      </c>
      <c r="D769" s="255">
        <v>50</v>
      </c>
      <c r="E769" s="64"/>
      <c r="F769" s="265">
        <f t="shared" si="464"/>
        <v>2</v>
      </c>
      <c r="G769" s="215">
        <v>102</v>
      </c>
      <c r="H769" s="272"/>
      <c r="I769" s="236"/>
      <c r="J769" s="265"/>
      <c r="K769" s="193"/>
      <c r="L769" s="272"/>
      <c r="M769" s="236"/>
      <c r="N769" s="265"/>
      <c r="O769" s="193"/>
      <c r="P769" s="282">
        <v>6.31</v>
      </c>
      <c r="Q769" s="236">
        <f t="shared" si="465"/>
        <v>50</v>
      </c>
      <c r="R769" s="265">
        <f t="shared" si="466"/>
        <v>10</v>
      </c>
      <c r="S769" s="193">
        <f t="shared" si="467"/>
        <v>502</v>
      </c>
      <c r="T769" s="230"/>
      <c r="U769" s="290"/>
      <c r="V769" s="200"/>
      <c r="W769" s="232">
        <f t="shared" si="488"/>
        <v>50</v>
      </c>
      <c r="X769" s="289">
        <v>3.9</v>
      </c>
      <c r="Y769" s="199">
        <f t="shared" si="489"/>
        <v>195</v>
      </c>
      <c r="Z769" s="153"/>
      <c r="AA769" s="147"/>
      <c r="AB769" s="101">
        <f t="shared" si="468"/>
        <v>0</v>
      </c>
      <c r="AC769" s="226"/>
      <c r="AD769" s="304">
        <f t="shared" si="490"/>
        <v>6.1</v>
      </c>
      <c r="AE769" s="305">
        <f t="shared" si="491"/>
        <v>307</v>
      </c>
    </row>
    <row r="770" spans="1:32" hidden="1" outlineLevel="2" x14ac:dyDescent="0.3">
      <c r="B770" s="328" t="s">
        <v>427</v>
      </c>
      <c r="C770" s="78" t="s">
        <v>16</v>
      </c>
      <c r="D770" s="255">
        <v>2.4239999999999999</v>
      </c>
      <c r="E770" s="64"/>
      <c r="F770" s="265">
        <f t="shared" si="464"/>
        <v>72</v>
      </c>
      <c r="G770" s="215">
        <v>173.33</v>
      </c>
      <c r="H770" s="272"/>
      <c r="I770" s="236"/>
      <c r="J770" s="265"/>
      <c r="K770" s="193"/>
      <c r="L770" s="272"/>
      <c r="M770" s="236"/>
      <c r="N770" s="265"/>
      <c r="O770" s="193"/>
      <c r="P770" s="282">
        <v>6.31</v>
      </c>
      <c r="Q770" s="236">
        <f t="shared" si="465"/>
        <v>2.4239999999999999</v>
      </c>
      <c r="R770" s="265">
        <f t="shared" si="466"/>
        <v>362</v>
      </c>
      <c r="S770" s="193">
        <f t="shared" si="467"/>
        <v>876</v>
      </c>
      <c r="T770" s="230"/>
      <c r="U770" s="290"/>
      <c r="V770" s="200"/>
      <c r="W770" s="232">
        <f t="shared" si="488"/>
        <v>2.4239999999999999</v>
      </c>
      <c r="X770" s="289">
        <v>272</v>
      </c>
      <c r="Y770" s="199">
        <f t="shared" si="489"/>
        <v>659.32799999999997</v>
      </c>
      <c r="Z770" s="153"/>
      <c r="AA770" s="147"/>
      <c r="AB770" s="101">
        <f t="shared" si="468"/>
        <v>0</v>
      </c>
      <c r="AC770" s="226"/>
      <c r="AD770" s="304">
        <f t="shared" si="490"/>
        <v>90</v>
      </c>
      <c r="AE770" s="305">
        <f t="shared" si="491"/>
        <v>216.67200000000003</v>
      </c>
    </row>
    <row r="771" spans="1:32" ht="36" hidden="1" customHeight="1" outlineLevel="2" x14ac:dyDescent="0.3">
      <c r="A771" s="141"/>
      <c r="B771" s="328" t="s">
        <v>498</v>
      </c>
      <c r="C771" s="78" t="s">
        <v>5</v>
      </c>
      <c r="D771" s="255">
        <v>30</v>
      </c>
      <c r="E771" s="64"/>
      <c r="F771" s="265">
        <f t="shared" si="464"/>
        <v>1</v>
      </c>
      <c r="G771" s="215">
        <v>19.41</v>
      </c>
      <c r="H771" s="272"/>
      <c r="I771" s="236"/>
      <c r="J771" s="265"/>
      <c r="K771" s="193"/>
      <c r="L771" s="272"/>
      <c r="M771" s="236"/>
      <c r="N771" s="265"/>
      <c r="O771" s="193"/>
      <c r="P771" s="282">
        <v>6.31</v>
      </c>
      <c r="Q771" s="236">
        <f t="shared" si="465"/>
        <v>30</v>
      </c>
      <c r="R771" s="265">
        <f t="shared" si="466"/>
        <v>5</v>
      </c>
      <c r="S771" s="193">
        <f t="shared" si="467"/>
        <v>151</v>
      </c>
      <c r="T771" s="230"/>
      <c r="U771" s="290"/>
      <c r="V771" s="200"/>
      <c r="W771" s="232">
        <f t="shared" si="488"/>
        <v>30</v>
      </c>
      <c r="X771" s="289">
        <v>3.2</v>
      </c>
      <c r="Y771" s="199">
        <f t="shared" si="489"/>
        <v>96</v>
      </c>
      <c r="Z771" s="153"/>
      <c r="AA771" s="147"/>
      <c r="AB771" s="101">
        <f t="shared" si="468"/>
        <v>0</v>
      </c>
      <c r="AC771" s="226"/>
      <c r="AD771" s="304">
        <f t="shared" si="490"/>
        <v>1.7999999999999998</v>
      </c>
      <c r="AE771" s="305">
        <f t="shared" si="491"/>
        <v>55</v>
      </c>
    </row>
    <row r="772" spans="1:32" ht="23.25" hidden="1" customHeight="1" outlineLevel="2" x14ac:dyDescent="0.3">
      <c r="B772" s="328" t="s">
        <v>499</v>
      </c>
      <c r="C772" s="78" t="s">
        <v>16</v>
      </c>
      <c r="D772" s="255">
        <v>0.40989999999999999</v>
      </c>
      <c r="E772" s="64"/>
      <c r="F772" s="265">
        <f t="shared" si="464"/>
        <v>39</v>
      </c>
      <c r="G772" s="215">
        <v>15.81</v>
      </c>
      <c r="H772" s="272"/>
      <c r="I772" s="236"/>
      <c r="J772" s="265"/>
      <c r="K772" s="193"/>
      <c r="L772" s="272"/>
      <c r="M772" s="236"/>
      <c r="N772" s="265"/>
      <c r="O772" s="193"/>
      <c r="P772" s="282">
        <v>6.31</v>
      </c>
      <c r="Q772" s="236">
        <f t="shared" si="465"/>
        <v>0.40989999999999999</v>
      </c>
      <c r="R772" s="265">
        <f t="shared" si="466"/>
        <v>196</v>
      </c>
      <c r="S772" s="193">
        <f t="shared" si="467"/>
        <v>80</v>
      </c>
      <c r="T772" s="230"/>
      <c r="U772" s="290"/>
      <c r="V772" s="200"/>
      <c r="W772" s="232">
        <f t="shared" si="488"/>
        <v>0.40989999999999999</v>
      </c>
      <c r="X772" s="289">
        <v>108</v>
      </c>
      <c r="Y772" s="199">
        <f t="shared" si="489"/>
        <v>44.269199999999998</v>
      </c>
      <c r="Z772" s="153"/>
      <c r="AA772" s="147"/>
      <c r="AB772" s="101">
        <f t="shared" si="468"/>
        <v>0</v>
      </c>
      <c r="AC772" s="226"/>
      <c r="AD772" s="304">
        <f t="shared" si="490"/>
        <v>88</v>
      </c>
      <c r="AE772" s="305">
        <f t="shared" si="491"/>
        <v>35.730800000000002</v>
      </c>
    </row>
    <row r="773" spans="1:32" s="95" customFormat="1" hidden="1" outlineLevel="1" x14ac:dyDescent="0.3">
      <c r="A773" s="98"/>
      <c r="B773" s="160"/>
      <c r="C773" s="107"/>
      <c r="D773" s="253"/>
      <c r="E773" s="98"/>
      <c r="F773" s="154"/>
      <c r="G773" s="214"/>
      <c r="H773" s="154"/>
      <c r="I773" s="231"/>
      <c r="J773" s="154"/>
      <c r="K773" s="194"/>
      <c r="L773" s="154"/>
      <c r="M773" s="231"/>
      <c r="N773" s="154"/>
      <c r="O773" s="194"/>
      <c r="P773" s="154"/>
      <c r="Q773" s="231"/>
      <c r="R773" s="286"/>
      <c r="S773" s="194"/>
      <c r="T773" s="231"/>
      <c r="U773" s="155"/>
      <c r="V773" s="194"/>
      <c r="W773" s="231"/>
      <c r="X773" s="155"/>
      <c r="Y773" s="194"/>
      <c r="Z773" s="157"/>
      <c r="AA773" s="156"/>
      <c r="AB773" s="156"/>
      <c r="AC773" s="194"/>
      <c r="AD773" s="155"/>
      <c r="AE773" s="194"/>
    </row>
    <row r="774" spans="1:32" ht="27.75" hidden="1" customHeight="1" outlineLevel="1" x14ac:dyDescent="0.3">
      <c r="A774" s="400"/>
      <c r="B774" s="1082" t="s">
        <v>500</v>
      </c>
      <c r="C774" s="1083"/>
      <c r="D774" s="1083"/>
      <c r="E774" s="1083"/>
      <c r="F774" s="1084"/>
      <c r="G774" s="333">
        <f>SUM(G775:G787)</f>
        <v>54333.909999999996</v>
      </c>
      <c r="H774" s="320"/>
      <c r="I774" s="320"/>
      <c r="J774" s="320"/>
      <c r="K774" s="321">
        <f>SUM(K775:K787)</f>
        <v>0</v>
      </c>
      <c r="L774" s="320"/>
      <c r="M774" s="320"/>
      <c r="N774" s="320"/>
      <c r="O774" s="321">
        <f>SUM(O775:O787)</f>
        <v>0</v>
      </c>
      <c r="P774" s="320"/>
      <c r="Q774" s="320"/>
      <c r="R774" s="320"/>
      <c r="S774" s="321">
        <f>SUM(S775:S787)</f>
        <v>233621</v>
      </c>
      <c r="T774" s="320"/>
      <c r="U774" s="322"/>
      <c r="V774" s="321">
        <f>SUM(V775:V787)</f>
        <v>0</v>
      </c>
      <c r="W774" s="320"/>
      <c r="X774" s="322"/>
      <c r="Y774" s="321">
        <f>SUM(Y775:Y787)</f>
        <v>310888.636</v>
      </c>
      <c r="Z774" s="322"/>
      <c r="AA774" s="322"/>
      <c r="AB774" s="322"/>
      <c r="AC774" s="322"/>
      <c r="AD774" s="322"/>
      <c r="AE774" s="323">
        <f>SUM(AE775:AE787)</f>
        <v>-77267.635999999999</v>
      </c>
      <c r="AF774" s="324">
        <f>AE774/S774</f>
        <v>-0.3307392571729425</v>
      </c>
    </row>
    <row r="775" spans="1:32" hidden="1" outlineLevel="2" x14ac:dyDescent="0.3">
      <c r="B775" s="328" t="s">
        <v>1307</v>
      </c>
      <c r="C775" s="78" t="s">
        <v>40</v>
      </c>
      <c r="D775" s="255">
        <v>50</v>
      </c>
      <c r="E775" s="64"/>
      <c r="F775" s="265">
        <f>ROUND(G775/D775,0)</f>
        <v>393</v>
      </c>
      <c r="G775" s="215">
        <v>19667.5</v>
      </c>
      <c r="H775" s="272"/>
      <c r="I775" s="236"/>
      <c r="J775" s="265"/>
      <c r="K775" s="193"/>
      <c r="L775" s="272"/>
      <c r="M775" s="236"/>
      <c r="N775" s="265"/>
      <c r="O775" s="193"/>
      <c r="P775" s="282">
        <v>5.39</v>
      </c>
      <c r="Q775" s="236">
        <f t="shared" si="465"/>
        <v>50</v>
      </c>
      <c r="R775" s="265">
        <f t="shared" si="466"/>
        <v>1686</v>
      </c>
      <c r="S775" s="193">
        <f t="shared" si="467"/>
        <v>84286</v>
      </c>
      <c r="T775" s="230"/>
      <c r="U775" s="290"/>
      <c r="V775" s="200"/>
      <c r="W775" s="232">
        <f t="shared" ref="W775:W787" si="497">Q775</f>
        <v>50</v>
      </c>
      <c r="X775" s="289">
        <v>710</v>
      </c>
      <c r="Y775" s="199">
        <f t="shared" ref="Y775:Y787" si="498">W775*X775</f>
        <v>35500</v>
      </c>
      <c r="Z775" s="153"/>
      <c r="AA775" s="147"/>
      <c r="AB775" s="101">
        <f t="shared" si="468"/>
        <v>0</v>
      </c>
      <c r="AC775" s="226"/>
      <c r="AD775" s="304">
        <f>R775-X775</f>
        <v>976</v>
      </c>
      <c r="AE775" s="305">
        <f>S775-Y775</f>
        <v>48786</v>
      </c>
    </row>
    <row r="776" spans="1:32" hidden="1" outlineLevel="2" x14ac:dyDescent="0.3">
      <c r="B776" s="328" t="s">
        <v>501</v>
      </c>
      <c r="C776" s="78" t="s">
        <v>16</v>
      </c>
      <c r="D776" s="255">
        <v>2.5</v>
      </c>
      <c r="E776" s="64"/>
      <c r="F776" s="265">
        <f t="shared" si="464"/>
        <v>31</v>
      </c>
      <c r="G776" s="215">
        <v>77.58</v>
      </c>
      <c r="H776" s="272"/>
      <c r="I776" s="236"/>
      <c r="J776" s="265"/>
      <c r="K776" s="193"/>
      <c r="L776" s="272"/>
      <c r="M776" s="236"/>
      <c r="N776" s="265"/>
      <c r="O776" s="193"/>
      <c r="P776" s="282">
        <v>5.39</v>
      </c>
      <c r="Q776" s="236">
        <f t="shared" si="465"/>
        <v>2.5</v>
      </c>
      <c r="R776" s="265">
        <f t="shared" si="466"/>
        <v>133</v>
      </c>
      <c r="S776" s="193">
        <f t="shared" si="467"/>
        <v>332</v>
      </c>
      <c r="T776" s="230"/>
      <c r="U776" s="290"/>
      <c r="V776" s="200"/>
      <c r="W776" s="232">
        <f t="shared" si="497"/>
        <v>2.5</v>
      </c>
      <c r="X776" s="289">
        <v>110</v>
      </c>
      <c r="Y776" s="199">
        <f t="shared" si="498"/>
        <v>275</v>
      </c>
      <c r="Z776" s="153"/>
      <c r="AA776" s="147"/>
      <c r="AB776" s="101">
        <f t="shared" si="468"/>
        <v>0</v>
      </c>
      <c r="AC776" s="226"/>
      <c r="AD776" s="304">
        <f t="shared" ref="AD776:AD787" si="499">R776-X776</f>
        <v>23</v>
      </c>
      <c r="AE776" s="305">
        <f t="shared" ref="AE776:AE787" si="500">S776-Y776</f>
        <v>57</v>
      </c>
    </row>
    <row r="777" spans="1:32" hidden="1" outlineLevel="2" x14ac:dyDescent="0.3">
      <c r="B777" s="328" t="s">
        <v>502</v>
      </c>
      <c r="C777" s="78" t="s">
        <v>17</v>
      </c>
      <c r="D777" s="255">
        <v>2.4799999999999999E-2</v>
      </c>
      <c r="E777" s="64"/>
      <c r="F777" s="265">
        <f t="shared" si="464"/>
        <v>881</v>
      </c>
      <c r="G777" s="215">
        <v>21.84</v>
      </c>
      <c r="H777" s="272"/>
      <c r="I777" s="236"/>
      <c r="J777" s="265"/>
      <c r="K777" s="193"/>
      <c r="L777" s="272"/>
      <c r="M777" s="236"/>
      <c r="N777" s="265"/>
      <c r="O777" s="193"/>
      <c r="P777" s="282">
        <v>5.39</v>
      </c>
      <c r="Q777" s="236">
        <f t="shared" si="465"/>
        <v>2.4799999999999999E-2</v>
      </c>
      <c r="R777" s="265">
        <f t="shared" si="466"/>
        <v>3779</v>
      </c>
      <c r="S777" s="193">
        <f t="shared" si="467"/>
        <v>94</v>
      </c>
      <c r="T777" s="230"/>
      <c r="U777" s="290"/>
      <c r="V777" s="200"/>
      <c r="W777" s="232">
        <f t="shared" si="497"/>
        <v>2.4799999999999999E-2</v>
      </c>
      <c r="X777" s="289">
        <v>11500</v>
      </c>
      <c r="Y777" s="199">
        <f t="shared" si="498"/>
        <v>285.2</v>
      </c>
      <c r="Z777" s="153"/>
      <c r="AA777" s="147"/>
      <c r="AB777" s="101">
        <f t="shared" si="468"/>
        <v>0</v>
      </c>
      <c r="AC777" s="226"/>
      <c r="AD777" s="302">
        <f t="shared" si="499"/>
        <v>-7721</v>
      </c>
      <c r="AE777" s="202">
        <f t="shared" si="500"/>
        <v>-191.2</v>
      </c>
    </row>
    <row r="778" spans="1:32" hidden="1" outlineLevel="2" x14ac:dyDescent="0.3">
      <c r="B778" s="328" t="s">
        <v>503</v>
      </c>
      <c r="C778" s="78" t="s">
        <v>16</v>
      </c>
      <c r="D778" s="255">
        <v>5.4340000000000002</v>
      </c>
      <c r="E778" s="64"/>
      <c r="F778" s="265">
        <f>ROUND(G778/D778,0)</f>
        <v>34</v>
      </c>
      <c r="G778" s="215">
        <v>186.98</v>
      </c>
      <c r="H778" s="272"/>
      <c r="I778" s="236"/>
      <c r="J778" s="265"/>
      <c r="K778" s="193"/>
      <c r="L778" s="272"/>
      <c r="M778" s="236"/>
      <c r="N778" s="265"/>
      <c r="O778" s="193"/>
      <c r="P778" s="282">
        <v>5.39</v>
      </c>
      <c r="Q778" s="236">
        <f t="shared" si="465"/>
        <v>5.4340000000000002</v>
      </c>
      <c r="R778" s="265">
        <f t="shared" si="466"/>
        <v>146</v>
      </c>
      <c r="S778" s="193">
        <f t="shared" si="467"/>
        <v>792</v>
      </c>
      <c r="T778" s="230"/>
      <c r="U778" s="290"/>
      <c r="V778" s="200"/>
      <c r="W778" s="232">
        <f t="shared" si="497"/>
        <v>5.4340000000000002</v>
      </c>
      <c r="X778" s="289">
        <v>773</v>
      </c>
      <c r="Y778" s="199">
        <f t="shared" si="498"/>
        <v>4200.482</v>
      </c>
      <c r="Z778" s="153"/>
      <c r="AA778" s="147"/>
      <c r="AB778" s="101">
        <f t="shared" si="468"/>
        <v>0</v>
      </c>
      <c r="AC778" s="226"/>
      <c r="AD778" s="302">
        <f t="shared" si="499"/>
        <v>-627</v>
      </c>
      <c r="AE778" s="202">
        <f t="shared" si="500"/>
        <v>-3408.482</v>
      </c>
    </row>
    <row r="779" spans="1:32" hidden="1" outlineLevel="2" x14ac:dyDescent="0.3">
      <c r="B779" s="328" t="s">
        <v>504</v>
      </c>
      <c r="C779" s="78" t="s">
        <v>40</v>
      </c>
      <c r="D779" s="255">
        <v>300</v>
      </c>
      <c r="E779" s="64"/>
      <c r="F779" s="265">
        <f t="shared" si="464"/>
        <v>4</v>
      </c>
      <c r="G779" s="215">
        <v>1296</v>
      </c>
      <c r="H779" s="272"/>
      <c r="I779" s="236"/>
      <c r="J779" s="265"/>
      <c r="K779" s="193"/>
      <c r="L779" s="272"/>
      <c r="M779" s="236"/>
      <c r="N779" s="265"/>
      <c r="O779" s="193"/>
      <c r="P779" s="282">
        <v>5.39</v>
      </c>
      <c r="Q779" s="236">
        <f t="shared" si="465"/>
        <v>300</v>
      </c>
      <c r="R779" s="265">
        <f t="shared" si="466"/>
        <v>17</v>
      </c>
      <c r="S779" s="193">
        <f t="shared" si="467"/>
        <v>5147</v>
      </c>
      <c r="T779" s="230"/>
      <c r="U779" s="290"/>
      <c r="V779" s="200"/>
      <c r="W779" s="232">
        <f t="shared" si="497"/>
        <v>300</v>
      </c>
      <c r="X779" s="289">
        <v>11.2</v>
      </c>
      <c r="Y779" s="199">
        <f t="shared" si="498"/>
        <v>3360</v>
      </c>
      <c r="Z779" s="153"/>
      <c r="AA779" s="147"/>
      <c r="AB779" s="101">
        <f t="shared" si="468"/>
        <v>0</v>
      </c>
      <c r="AC779" s="226"/>
      <c r="AD779" s="304">
        <f t="shared" si="499"/>
        <v>5.8000000000000007</v>
      </c>
      <c r="AE779" s="305">
        <f t="shared" si="500"/>
        <v>1787</v>
      </c>
    </row>
    <row r="780" spans="1:32" hidden="1" outlineLevel="2" x14ac:dyDescent="0.3">
      <c r="B780" s="328" t="s">
        <v>505</v>
      </c>
      <c r="C780" s="78" t="s">
        <v>40</v>
      </c>
      <c r="D780" s="255">
        <v>44</v>
      </c>
      <c r="E780" s="64"/>
      <c r="F780" s="265">
        <f t="shared" si="464"/>
        <v>1</v>
      </c>
      <c r="G780" s="215">
        <v>38.159999999999997</v>
      </c>
      <c r="H780" s="272"/>
      <c r="I780" s="236"/>
      <c r="J780" s="265"/>
      <c r="K780" s="193"/>
      <c r="L780" s="272"/>
      <c r="M780" s="236"/>
      <c r="N780" s="265"/>
      <c r="O780" s="193"/>
      <c r="P780" s="282">
        <v>5.39</v>
      </c>
      <c r="Q780" s="236">
        <f t="shared" si="465"/>
        <v>44</v>
      </c>
      <c r="R780" s="265">
        <f t="shared" si="466"/>
        <v>4</v>
      </c>
      <c r="S780" s="193">
        <f t="shared" si="467"/>
        <v>189</v>
      </c>
      <c r="T780" s="230"/>
      <c r="U780" s="290"/>
      <c r="V780" s="200"/>
      <c r="W780" s="232">
        <f t="shared" si="497"/>
        <v>44</v>
      </c>
      <c r="X780" s="289">
        <v>8</v>
      </c>
      <c r="Y780" s="199">
        <f t="shared" si="498"/>
        <v>352</v>
      </c>
      <c r="Z780" s="153"/>
      <c r="AA780" s="147"/>
      <c r="AB780" s="101">
        <f t="shared" si="468"/>
        <v>0</v>
      </c>
      <c r="AC780" s="226"/>
      <c r="AD780" s="302">
        <f t="shared" si="499"/>
        <v>-4</v>
      </c>
      <c r="AE780" s="202">
        <f t="shared" si="500"/>
        <v>-163</v>
      </c>
    </row>
    <row r="781" spans="1:32" ht="24.75" hidden="1" customHeight="1" outlineLevel="2" x14ac:dyDescent="0.3">
      <c r="A781" s="141"/>
      <c r="B781" s="328" t="s">
        <v>506</v>
      </c>
      <c r="C781" s="78" t="s">
        <v>40</v>
      </c>
      <c r="D781" s="255">
        <v>47</v>
      </c>
      <c r="E781" s="64"/>
      <c r="F781" s="265">
        <f t="shared" ref="F781:F822" si="501">ROUND(G781/D781,0)</f>
        <v>4</v>
      </c>
      <c r="G781" s="215">
        <v>182.83</v>
      </c>
      <c r="H781" s="272"/>
      <c r="I781" s="236"/>
      <c r="J781" s="265"/>
      <c r="K781" s="193"/>
      <c r="L781" s="272"/>
      <c r="M781" s="236"/>
      <c r="N781" s="265"/>
      <c r="O781" s="193"/>
      <c r="P781" s="282">
        <v>5.39</v>
      </c>
      <c r="Q781" s="236">
        <f t="shared" ref="Q781:Q822" si="502">D781-I781-M781</f>
        <v>47</v>
      </c>
      <c r="R781" s="265">
        <f t="shared" ref="R781:R822" si="503">ROUND(F781*P781*0.7958,0)</f>
        <v>17</v>
      </c>
      <c r="S781" s="193">
        <f t="shared" ref="S781:S822" si="504">ROUND(Q781*P781*F781*0.7958,0)</f>
        <v>806</v>
      </c>
      <c r="T781" s="230"/>
      <c r="U781" s="290"/>
      <c r="V781" s="200"/>
      <c r="W781" s="232">
        <f t="shared" si="497"/>
        <v>47</v>
      </c>
      <c r="X781" s="289">
        <v>25</v>
      </c>
      <c r="Y781" s="199">
        <f t="shared" si="498"/>
        <v>1175</v>
      </c>
      <c r="Z781" s="153"/>
      <c r="AA781" s="147"/>
      <c r="AB781" s="101">
        <f t="shared" ref="AB781:AB822" si="505">ROUND(Z781*AA781,0)</f>
        <v>0</v>
      </c>
      <c r="AC781" s="226"/>
      <c r="AD781" s="302">
        <f t="shared" si="499"/>
        <v>-8</v>
      </c>
      <c r="AE781" s="202">
        <f t="shared" si="500"/>
        <v>-369</v>
      </c>
    </row>
    <row r="782" spans="1:32" ht="23.25" hidden="1" customHeight="1" outlineLevel="2" x14ac:dyDescent="0.3">
      <c r="B782" s="328" t="s">
        <v>220</v>
      </c>
      <c r="C782" s="78" t="s">
        <v>16</v>
      </c>
      <c r="D782" s="255">
        <v>3.6659999999999999</v>
      </c>
      <c r="E782" s="64"/>
      <c r="F782" s="265">
        <f t="shared" si="501"/>
        <v>10</v>
      </c>
      <c r="G782" s="215">
        <v>35.96</v>
      </c>
      <c r="H782" s="272"/>
      <c r="I782" s="236"/>
      <c r="J782" s="265"/>
      <c r="K782" s="193"/>
      <c r="L782" s="272"/>
      <c r="M782" s="236"/>
      <c r="N782" s="265"/>
      <c r="O782" s="193"/>
      <c r="P782" s="282">
        <v>5.39</v>
      </c>
      <c r="Q782" s="236">
        <f t="shared" si="502"/>
        <v>3.6659999999999999</v>
      </c>
      <c r="R782" s="265">
        <f t="shared" si="503"/>
        <v>43</v>
      </c>
      <c r="S782" s="193">
        <f t="shared" si="504"/>
        <v>157</v>
      </c>
      <c r="T782" s="230"/>
      <c r="U782" s="290"/>
      <c r="V782" s="200"/>
      <c r="W782" s="232">
        <f t="shared" si="497"/>
        <v>3.6659999999999999</v>
      </c>
      <c r="X782" s="289">
        <v>69</v>
      </c>
      <c r="Y782" s="199">
        <f t="shared" si="498"/>
        <v>252.95400000000001</v>
      </c>
      <c r="Z782" s="153"/>
      <c r="AA782" s="147"/>
      <c r="AB782" s="101">
        <f t="shared" si="505"/>
        <v>0</v>
      </c>
      <c r="AC782" s="226"/>
      <c r="AD782" s="302">
        <f t="shared" si="499"/>
        <v>-26</v>
      </c>
      <c r="AE782" s="202">
        <f t="shared" si="500"/>
        <v>-95.954000000000008</v>
      </c>
    </row>
    <row r="783" spans="1:32" hidden="1" outlineLevel="2" x14ac:dyDescent="0.3">
      <c r="B783" s="328" t="s">
        <v>507</v>
      </c>
      <c r="C783" s="78" t="s">
        <v>17</v>
      </c>
      <c r="D783" s="255">
        <v>7.2800000000000004E-2</v>
      </c>
      <c r="E783" s="64"/>
      <c r="F783" s="265">
        <f t="shared" si="501"/>
        <v>475</v>
      </c>
      <c r="G783" s="215">
        <v>34.57</v>
      </c>
      <c r="H783" s="272"/>
      <c r="I783" s="236"/>
      <c r="J783" s="265"/>
      <c r="K783" s="193"/>
      <c r="L783" s="272"/>
      <c r="M783" s="236"/>
      <c r="N783" s="265"/>
      <c r="O783" s="193"/>
      <c r="P783" s="282">
        <v>5.39</v>
      </c>
      <c r="Q783" s="236">
        <f t="shared" si="502"/>
        <v>7.2800000000000004E-2</v>
      </c>
      <c r="R783" s="265">
        <f t="shared" si="503"/>
        <v>2037</v>
      </c>
      <c r="S783" s="193">
        <f t="shared" si="504"/>
        <v>148</v>
      </c>
      <c r="T783" s="230"/>
      <c r="U783" s="290"/>
      <c r="V783" s="200"/>
      <c r="W783" s="232">
        <f t="shared" si="497"/>
        <v>7.2800000000000004E-2</v>
      </c>
      <c r="X783" s="289">
        <v>2500</v>
      </c>
      <c r="Y783" s="199">
        <f t="shared" si="498"/>
        <v>182</v>
      </c>
      <c r="Z783" s="153"/>
      <c r="AA783" s="147"/>
      <c r="AB783" s="101">
        <f t="shared" si="505"/>
        <v>0</v>
      </c>
      <c r="AC783" s="226"/>
      <c r="AD783" s="302">
        <f t="shared" si="499"/>
        <v>-463</v>
      </c>
      <c r="AE783" s="202">
        <f t="shared" si="500"/>
        <v>-34</v>
      </c>
    </row>
    <row r="784" spans="1:32" hidden="1" outlineLevel="2" x14ac:dyDescent="0.3">
      <c r="B784" s="328" t="s">
        <v>508</v>
      </c>
      <c r="C784" s="78" t="s">
        <v>40</v>
      </c>
      <c r="D784" s="255">
        <v>750</v>
      </c>
      <c r="E784" s="64"/>
      <c r="F784" s="266">
        <f>G784/D784</f>
        <v>0.14499999999999999</v>
      </c>
      <c r="G784" s="215">
        <v>108.75</v>
      </c>
      <c r="H784" s="272"/>
      <c r="I784" s="236"/>
      <c r="J784" s="265"/>
      <c r="K784" s="193"/>
      <c r="L784" s="272"/>
      <c r="M784" s="236"/>
      <c r="N784" s="265"/>
      <c r="O784" s="193"/>
      <c r="P784" s="282">
        <v>5.39</v>
      </c>
      <c r="Q784" s="236">
        <f t="shared" si="502"/>
        <v>750</v>
      </c>
      <c r="R784" s="266">
        <f>F784</f>
        <v>0.14499999999999999</v>
      </c>
      <c r="S784" s="193">
        <f t="shared" si="504"/>
        <v>466</v>
      </c>
      <c r="T784" s="230"/>
      <c r="U784" s="290"/>
      <c r="V784" s="200"/>
      <c r="W784" s="232">
        <f t="shared" si="497"/>
        <v>750</v>
      </c>
      <c r="X784" s="289">
        <v>2.2400000000000002</v>
      </c>
      <c r="Y784" s="199">
        <f t="shared" si="498"/>
        <v>1680.0000000000002</v>
      </c>
      <c r="Z784" s="153"/>
      <c r="AA784" s="147"/>
      <c r="AB784" s="101">
        <f t="shared" si="505"/>
        <v>0</v>
      </c>
      <c r="AC784" s="226"/>
      <c r="AD784" s="302">
        <f t="shared" si="499"/>
        <v>-2.0950000000000002</v>
      </c>
      <c r="AE784" s="202">
        <f t="shared" si="500"/>
        <v>-1214.0000000000002</v>
      </c>
    </row>
    <row r="785" spans="1:32" ht="48" hidden="1" customHeight="1" outlineLevel="2" x14ac:dyDescent="0.3">
      <c r="A785" s="141"/>
      <c r="B785" s="328" t="s">
        <v>971</v>
      </c>
      <c r="C785" s="78" t="s">
        <v>364</v>
      </c>
      <c r="D785" s="255">
        <v>2</v>
      </c>
      <c r="E785" s="64"/>
      <c r="F785" s="265">
        <f t="shared" si="501"/>
        <v>6805</v>
      </c>
      <c r="G785" s="215">
        <v>13609.8</v>
      </c>
      <c r="H785" s="272"/>
      <c r="I785" s="236"/>
      <c r="J785" s="265"/>
      <c r="K785" s="193"/>
      <c r="L785" s="272"/>
      <c r="M785" s="236"/>
      <c r="N785" s="265"/>
      <c r="O785" s="193"/>
      <c r="P785" s="282">
        <v>5.43</v>
      </c>
      <c r="Q785" s="236">
        <f t="shared" si="502"/>
        <v>2</v>
      </c>
      <c r="R785" s="265">
        <f t="shared" si="503"/>
        <v>29406</v>
      </c>
      <c r="S785" s="193">
        <f t="shared" si="504"/>
        <v>58811</v>
      </c>
      <c r="T785" s="230"/>
      <c r="U785" s="290"/>
      <c r="V785" s="200"/>
      <c r="W785" s="232">
        <f t="shared" si="497"/>
        <v>2</v>
      </c>
      <c r="X785" s="289">
        <v>47083</v>
      </c>
      <c r="Y785" s="199">
        <f t="shared" si="498"/>
        <v>94166</v>
      </c>
      <c r="Z785" s="153"/>
      <c r="AA785" s="147"/>
      <c r="AB785" s="101">
        <f t="shared" si="505"/>
        <v>0</v>
      </c>
      <c r="AC785" s="226"/>
      <c r="AD785" s="302">
        <f t="shared" si="499"/>
        <v>-17677</v>
      </c>
      <c r="AE785" s="202">
        <f t="shared" si="500"/>
        <v>-35355</v>
      </c>
    </row>
    <row r="786" spans="1:32" ht="30" hidden="1" customHeight="1" outlineLevel="2" x14ac:dyDescent="0.3">
      <c r="A786" s="141"/>
      <c r="B786" s="328" t="s">
        <v>509</v>
      </c>
      <c r="C786" s="78" t="s">
        <v>364</v>
      </c>
      <c r="D786" s="255">
        <v>13</v>
      </c>
      <c r="E786" s="82" t="s">
        <v>972</v>
      </c>
      <c r="F786" s="265">
        <f>ROUND(G786/12,0)</f>
        <v>794</v>
      </c>
      <c r="G786" s="215">
        <v>9522.84</v>
      </c>
      <c r="H786" s="272"/>
      <c r="I786" s="236"/>
      <c r="J786" s="265"/>
      <c r="K786" s="193"/>
      <c r="L786" s="272"/>
      <c r="M786" s="236"/>
      <c r="N786" s="265"/>
      <c r="O786" s="193"/>
      <c r="P786" s="282">
        <v>5.43</v>
      </c>
      <c r="Q786" s="236">
        <v>12</v>
      </c>
      <c r="R786" s="265">
        <f t="shared" si="503"/>
        <v>3431</v>
      </c>
      <c r="S786" s="193">
        <f t="shared" si="504"/>
        <v>41172</v>
      </c>
      <c r="T786" s="230"/>
      <c r="U786" s="290"/>
      <c r="V786" s="200"/>
      <c r="W786" s="232">
        <v>13</v>
      </c>
      <c r="X786" s="289">
        <v>5500</v>
      </c>
      <c r="Y786" s="199">
        <f t="shared" si="498"/>
        <v>71500</v>
      </c>
      <c r="Z786" s="153"/>
      <c r="AA786" s="147"/>
      <c r="AB786" s="101">
        <f t="shared" si="505"/>
        <v>0</v>
      </c>
      <c r="AC786" s="226"/>
      <c r="AD786" s="302">
        <f t="shared" si="499"/>
        <v>-2069</v>
      </c>
      <c r="AE786" s="202">
        <f t="shared" si="500"/>
        <v>-30328</v>
      </c>
    </row>
    <row r="787" spans="1:32" hidden="1" outlineLevel="2" x14ac:dyDescent="0.3">
      <c r="A787" s="141"/>
      <c r="B787" s="328" t="s">
        <v>510</v>
      </c>
      <c r="C787" s="78" t="s">
        <v>5</v>
      </c>
      <c r="D787" s="255">
        <v>283</v>
      </c>
      <c r="E787" s="82" t="s">
        <v>974</v>
      </c>
      <c r="F787" s="265">
        <f>ROUND(G787/310,0)</f>
        <v>31</v>
      </c>
      <c r="G787" s="215">
        <v>9551.1</v>
      </c>
      <c r="H787" s="272"/>
      <c r="I787" s="236"/>
      <c r="J787" s="265"/>
      <c r="K787" s="193"/>
      <c r="L787" s="272"/>
      <c r="M787" s="236"/>
      <c r="N787" s="265"/>
      <c r="O787" s="193"/>
      <c r="P787" s="282">
        <v>5.39</v>
      </c>
      <c r="Q787" s="236">
        <v>310</v>
      </c>
      <c r="R787" s="265">
        <f t="shared" si="503"/>
        <v>133</v>
      </c>
      <c r="S787" s="193">
        <f t="shared" si="504"/>
        <v>41221</v>
      </c>
      <c r="T787" s="230"/>
      <c r="U787" s="290"/>
      <c r="V787" s="200"/>
      <c r="W787" s="232">
        <f t="shared" si="497"/>
        <v>310</v>
      </c>
      <c r="X787" s="289">
        <v>316</v>
      </c>
      <c r="Y787" s="199">
        <f t="shared" si="498"/>
        <v>97960</v>
      </c>
      <c r="Z787" s="153"/>
      <c r="AA787" s="147"/>
      <c r="AB787" s="101">
        <f t="shared" si="505"/>
        <v>0</v>
      </c>
      <c r="AC787" s="226"/>
      <c r="AD787" s="302">
        <f t="shared" si="499"/>
        <v>-183</v>
      </c>
      <c r="AE787" s="202">
        <f t="shared" si="500"/>
        <v>-56739</v>
      </c>
    </row>
    <row r="788" spans="1:32" s="95" customFormat="1" hidden="1" outlineLevel="1" x14ac:dyDescent="0.3">
      <c r="A788" s="98"/>
      <c r="B788" s="160"/>
      <c r="C788" s="107"/>
      <c r="D788" s="253"/>
      <c r="E788" s="98"/>
      <c r="F788" s="154"/>
      <c r="G788" s="214"/>
      <c r="H788" s="154"/>
      <c r="I788" s="231"/>
      <c r="J788" s="154"/>
      <c r="K788" s="194"/>
      <c r="L788" s="154"/>
      <c r="M788" s="231"/>
      <c r="N788" s="154"/>
      <c r="O788" s="194"/>
      <c r="P788" s="154"/>
      <c r="Q788" s="231"/>
      <c r="R788" s="286"/>
      <c r="S788" s="194"/>
      <c r="T788" s="231"/>
      <c r="U788" s="155"/>
      <c r="V788" s="194"/>
      <c r="W788" s="231"/>
      <c r="X788" s="155"/>
      <c r="Y788" s="194"/>
      <c r="Z788" s="157"/>
      <c r="AA788" s="156"/>
      <c r="AB788" s="156"/>
      <c r="AC788" s="194"/>
      <c r="AD788" s="155"/>
      <c r="AE788" s="194"/>
    </row>
    <row r="789" spans="1:32" ht="36" hidden="1" customHeight="1" outlineLevel="1" x14ac:dyDescent="0.3">
      <c r="A789" s="400"/>
      <c r="B789" s="1082" t="s">
        <v>511</v>
      </c>
      <c r="C789" s="1083"/>
      <c r="D789" s="1083"/>
      <c r="E789" s="1083"/>
      <c r="F789" s="1084"/>
      <c r="G789" s="333">
        <f>SUM(G790:G807)</f>
        <v>14969.710000000001</v>
      </c>
      <c r="H789" s="320"/>
      <c r="I789" s="320"/>
      <c r="J789" s="320"/>
      <c r="K789" s="321">
        <f>SUM(K790:K807)</f>
        <v>0</v>
      </c>
      <c r="L789" s="320"/>
      <c r="M789" s="320"/>
      <c r="N789" s="320"/>
      <c r="O789" s="321">
        <f>SUM(O790:O807)</f>
        <v>0</v>
      </c>
      <c r="P789" s="320"/>
      <c r="Q789" s="320"/>
      <c r="R789" s="320"/>
      <c r="S789" s="321">
        <f>SUM(S790:S807)</f>
        <v>70895</v>
      </c>
      <c r="T789" s="320"/>
      <c r="U789" s="322"/>
      <c r="V789" s="321">
        <f>SUM(V790:V807)</f>
        <v>0</v>
      </c>
      <c r="W789" s="320"/>
      <c r="X789" s="322"/>
      <c r="Y789" s="321">
        <f>SUM(Y790:Y807)</f>
        <v>69049.55</v>
      </c>
      <c r="Z789" s="322"/>
      <c r="AA789" s="322"/>
      <c r="AB789" s="322"/>
      <c r="AC789" s="322"/>
      <c r="AD789" s="322"/>
      <c r="AE789" s="323">
        <f>SUM(AE790:AE807)</f>
        <v>1845.4500000000019</v>
      </c>
      <c r="AF789" s="324">
        <f>AE789/S789</f>
        <v>2.6030749700260977E-2</v>
      </c>
    </row>
    <row r="790" spans="1:32" hidden="1" outlineLevel="2" x14ac:dyDescent="0.3">
      <c r="B790" s="328" t="s">
        <v>512</v>
      </c>
      <c r="C790" s="78" t="s">
        <v>40</v>
      </c>
      <c r="D790" s="255">
        <v>154</v>
      </c>
      <c r="E790" s="64"/>
      <c r="F790" s="266">
        <v>0.01</v>
      </c>
      <c r="G790" s="215">
        <v>21.689999999999998</v>
      </c>
      <c r="H790" s="272"/>
      <c r="I790" s="236"/>
      <c r="J790" s="265"/>
      <c r="K790" s="193"/>
      <c r="L790" s="272"/>
      <c r="M790" s="236"/>
      <c r="N790" s="265"/>
      <c r="O790" s="193"/>
      <c r="P790" s="282">
        <v>6.31</v>
      </c>
      <c r="Q790" s="236">
        <f t="shared" si="502"/>
        <v>154</v>
      </c>
      <c r="R790" s="266">
        <v>0.05</v>
      </c>
      <c r="S790" s="193">
        <f t="shared" si="504"/>
        <v>8</v>
      </c>
      <c r="T790" s="230"/>
      <c r="U790" s="290"/>
      <c r="V790" s="200"/>
      <c r="W790" s="232">
        <f t="shared" ref="W790:W807" si="506">Q790</f>
        <v>154</v>
      </c>
      <c r="X790" s="289">
        <v>2</v>
      </c>
      <c r="Y790" s="199">
        <f t="shared" ref="Y790:Y807" si="507">W790*X790</f>
        <v>308</v>
      </c>
      <c r="Z790" s="153"/>
      <c r="AA790" s="147"/>
      <c r="AB790" s="101">
        <f t="shared" si="505"/>
        <v>0</v>
      </c>
      <c r="AC790" s="226"/>
      <c r="AD790" s="302">
        <f t="shared" ref="AD790:AD793" si="508">R790-X790</f>
        <v>-1.95</v>
      </c>
      <c r="AE790" s="202">
        <f t="shared" ref="AE790:AE793" si="509">S790-Y790</f>
        <v>-300</v>
      </c>
    </row>
    <row r="791" spans="1:32" hidden="1" outlineLevel="2" x14ac:dyDescent="0.3">
      <c r="A791" s="141"/>
      <c r="B791" s="328" t="s">
        <v>513</v>
      </c>
      <c r="C791" s="78" t="s">
        <v>5</v>
      </c>
      <c r="D791" s="255">
        <v>450</v>
      </c>
      <c r="E791" s="64"/>
      <c r="F791" s="265">
        <f t="shared" si="501"/>
        <v>16</v>
      </c>
      <c r="G791" s="215">
        <v>7411.59</v>
      </c>
      <c r="H791" s="272"/>
      <c r="I791" s="236"/>
      <c r="J791" s="265"/>
      <c r="K791" s="193"/>
      <c r="L791" s="272"/>
      <c r="M791" s="236"/>
      <c r="N791" s="265"/>
      <c r="O791" s="193"/>
      <c r="P791" s="282">
        <v>6.31</v>
      </c>
      <c r="Q791" s="236">
        <f t="shared" si="502"/>
        <v>450</v>
      </c>
      <c r="R791" s="265">
        <f t="shared" si="503"/>
        <v>80</v>
      </c>
      <c r="S791" s="193">
        <f t="shared" si="504"/>
        <v>36155</v>
      </c>
      <c r="T791" s="230"/>
      <c r="U791" s="290"/>
      <c r="V791" s="200"/>
      <c r="W791" s="232">
        <f t="shared" si="506"/>
        <v>450</v>
      </c>
      <c r="X791" s="289">
        <v>30.4</v>
      </c>
      <c r="Y791" s="199">
        <f t="shared" si="507"/>
        <v>13680</v>
      </c>
      <c r="Z791" s="153"/>
      <c r="AA791" s="147"/>
      <c r="AB791" s="101">
        <f t="shared" si="505"/>
        <v>0</v>
      </c>
      <c r="AC791" s="226"/>
      <c r="AD791" s="304">
        <f t="shared" si="508"/>
        <v>49.6</v>
      </c>
      <c r="AE791" s="305">
        <f t="shared" si="509"/>
        <v>22475</v>
      </c>
    </row>
    <row r="792" spans="1:32" hidden="1" outlineLevel="2" x14ac:dyDescent="0.3">
      <c r="B792" s="328" t="s">
        <v>514</v>
      </c>
      <c r="C792" s="78" t="s">
        <v>40</v>
      </c>
      <c r="D792" s="255">
        <v>11</v>
      </c>
      <c r="E792" s="64"/>
      <c r="F792" s="265">
        <f t="shared" si="501"/>
        <v>15</v>
      </c>
      <c r="G792" s="215">
        <v>168.82</v>
      </c>
      <c r="H792" s="272"/>
      <c r="I792" s="236"/>
      <c r="J792" s="265"/>
      <c r="K792" s="193"/>
      <c r="L792" s="272"/>
      <c r="M792" s="236"/>
      <c r="N792" s="265"/>
      <c r="O792" s="193"/>
      <c r="P792" s="282">
        <v>6.31</v>
      </c>
      <c r="Q792" s="236">
        <f t="shared" si="502"/>
        <v>11</v>
      </c>
      <c r="R792" s="265">
        <f t="shared" si="503"/>
        <v>75</v>
      </c>
      <c r="S792" s="193">
        <f t="shared" si="504"/>
        <v>829</v>
      </c>
      <c r="T792" s="230"/>
      <c r="U792" s="290"/>
      <c r="V792" s="200"/>
      <c r="W792" s="232">
        <f t="shared" si="506"/>
        <v>11</v>
      </c>
      <c r="X792" s="289">
        <v>107.1</v>
      </c>
      <c r="Y792" s="199">
        <f t="shared" si="507"/>
        <v>1178.0999999999999</v>
      </c>
      <c r="Z792" s="153"/>
      <c r="AA792" s="147"/>
      <c r="AB792" s="101">
        <f t="shared" si="505"/>
        <v>0</v>
      </c>
      <c r="AC792" s="226"/>
      <c r="AD792" s="302">
        <f t="shared" si="508"/>
        <v>-32.099999999999994</v>
      </c>
      <c r="AE792" s="202">
        <f t="shared" si="509"/>
        <v>-349.09999999999991</v>
      </c>
    </row>
    <row r="793" spans="1:32" hidden="1" outlineLevel="2" x14ac:dyDescent="0.3">
      <c r="A793" s="142"/>
      <c r="B793" s="328" t="s">
        <v>515</v>
      </c>
      <c r="C793" s="78" t="s">
        <v>28</v>
      </c>
      <c r="D793" s="255">
        <v>1.2E-2</v>
      </c>
      <c r="E793" s="64"/>
      <c r="F793" s="265">
        <f t="shared" si="501"/>
        <v>11573</v>
      </c>
      <c r="G793" s="215">
        <v>138.87</v>
      </c>
      <c r="H793" s="272"/>
      <c r="I793" s="236"/>
      <c r="J793" s="265"/>
      <c r="K793" s="193"/>
      <c r="L793" s="272"/>
      <c r="M793" s="236"/>
      <c r="N793" s="265"/>
      <c r="O793" s="193"/>
      <c r="P793" s="282">
        <v>6.31</v>
      </c>
      <c r="Q793" s="236">
        <f t="shared" si="502"/>
        <v>1.2E-2</v>
      </c>
      <c r="R793" s="265">
        <f t="shared" si="503"/>
        <v>58114</v>
      </c>
      <c r="S793" s="193">
        <f t="shared" si="504"/>
        <v>697</v>
      </c>
      <c r="T793" s="230"/>
      <c r="U793" s="290"/>
      <c r="V793" s="200"/>
      <c r="W793" s="232">
        <f t="shared" si="506"/>
        <v>1.2E-2</v>
      </c>
      <c r="X793" s="289">
        <v>135525</v>
      </c>
      <c r="Y793" s="199">
        <f t="shared" si="507"/>
        <v>1626.3</v>
      </c>
      <c r="Z793" s="153"/>
      <c r="AA793" s="147"/>
      <c r="AB793" s="101">
        <f t="shared" si="505"/>
        <v>0</v>
      </c>
      <c r="AC793" s="226"/>
      <c r="AD793" s="302">
        <f t="shared" si="508"/>
        <v>-77411</v>
      </c>
      <c r="AE793" s="202">
        <f t="shared" si="509"/>
        <v>-929.3</v>
      </c>
    </row>
    <row r="794" spans="1:32" ht="37.5" hidden="1" customHeight="1" outlineLevel="2" x14ac:dyDescent="0.3">
      <c r="A794" s="141"/>
      <c r="B794" s="328" t="s">
        <v>1357</v>
      </c>
      <c r="C794" s="78" t="s">
        <v>5</v>
      </c>
      <c r="D794" s="255">
        <v>20</v>
      </c>
      <c r="E794" s="82" t="s">
        <v>975</v>
      </c>
      <c r="F794" s="265">
        <f>ROUND(G794/35,0)</f>
        <v>42</v>
      </c>
      <c r="G794" s="215">
        <v>1468.95</v>
      </c>
      <c r="H794" s="272"/>
      <c r="I794" s="236"/>
      <c r="J794" s="265"/>
      <c r="K794" s="193"/>
      <c r="L794" s="272"/>
      <c r="M794" s="236"/>
      <c r="N794" s="265"/>
      <c r="O794" s="193"/>
      <c r="P794" s="282">
        <v>6.31</v>
      </c>
      <c r="Q794" s="236">
        <f t="shared" si="502"/>
        <v>20</v>
      </c>
      <c r="R794" s="265">
        <f t="shared" si="503"/>
        <v>211</v>
      </c>
      <c r="S794" s="193">
        <f t="shared" si="504"/>
        <v>4218</v>
      </c>
      <c r="T794" s="230"/>
      <c r="U794" s="290"/>
      <c r="V794" s="200"/>
      <c r="W794" s="232">
        <v>35</v>
      </c>
      <c r="X794" s="289">
        <v>46</v>
      </c>
      <c r="Y794" s="199">
        <f t="shared" si="507"/>
        <v>1610</v>
      </c>
      <c r="Z794" s="153"/>
      <c r="AA794" s="147"/>
      <c r="AB794" s="101">
        <f t="shared" si="505"/>
        <v>0</v>
      </c>
      <c r="AC794" s="226"/>
      <c r="AD794" s="304">
        <f>R794-X794</f>
        <v>165</v>
      </c>
      <c r="AE794" s="305">
        <f>S794-Y794</f>
        <v>2608</v>
      </c>
    </row>
    <row r="795" spans="1:32" s="106" customFormat="1" ht="21" hidden="1" customHeight="1" outlineLevel="2" x14ac:dyDescent="0.3">
      <c r="A795" s="146"/>
      <c r="B795" s="328" t="s">
        <v>976</v>
      </c>
      <c r="C795" s="78" t="s">
        <v>5</v>
      </c>
      <c r="D795" s="257">
        <v>2</v>
      </c>
      <c r="E795" s="1132" t="s">
        <v>914</v>
      </c>
      <c r="F795" s="265"/>
      <c r="G795" s="215"/>
      <c r="H795" s="272"/>
      <c r="I795" s="236"/>
      <c r="J795" s="265"/>
      <c r="K795" s="193"/>
      <c r="L795" s="272"/>
      <c r="M795" s="236"/>
      <c r="N795" s="265"/>
      <c r="O795" s="193"/>
      <c r="P795" s="282"/>
      <c r="Q795" s="236"/>
      <c r="R795" s="265"/>
      <c r="S795" s="193"/>
      <c r="T795" s="230"/>
      <c r="U795" s="290"/>
      <c r="V795" s="200"/>
      <c r="W795" s="232">
        <f>D795</f>
        <v>2</v>
      </c>
      <c r="X795" s="289">
        <v>1508</v>
      </c>
      <c r="Y795" s="199">
        <f t="shared" si="507"/>
        <v>3016</v>
      </c>
      <c r="Z795" s="153"/>
      <c r="AA795" s="147"/>
      <c r="AB795" s="101">
        <f t="shared" ref="AB795:AB800" si="510">ROUND(Z795*AA795,0)</f>
        <v>0</v>
      </c>
      <c r="AC795" s="226"/>
      <c r="AD795" s="302">
        <f t="shared" ref="AD795:AD807" si="511">R795-X795</f>
        <v>-1508</v>
      </c>
      <c r="AE795" s="202">
        <f t="shared" ref="AE795:AE807" si="512">S795-Y795</f>
        <v>-3016</v>
      </c>
    </row>
    <row r="796" spans="1:32" s="106" customFormat="1" ht="21" hidden="1" customHeight="1" outlineLevel="2" x14ac:dyDescent="0.3">
      <c r="A796" s="146"/>
      <c r="B796" s="328" t="s">
        <v>977</v>
      </c>
      <c r="C796" s="78" t="s">
        <v>5</v>
      </c>
      <c r="D796" s="257">
        <v>2</v>
      </c>
      <c r="E796" s="1133"/>
      <c r="F796" s="265"/>
      <c r="G796" s="215"/>
      <c r="H796" s="272"/>
      <c r="I796" s="236"/>
      <c r="J796" s="265"/>
      <c r="K796" s="193"/>
      <c r="L796" s="272"/>
      <c r="M796" s="236"/>
      <c r="N796" s="265"/>
      <c r="O796" s="193"/>
      <c r="P796" s="282"/>
      <c r="Q796" s="236"/>
      <c r="R796" s="265"/>
      <c r="S796" s="193"/>
      <c r="T796" s="230"/>
      <c r="U796" s="290"/>
      <c r="V796" s="200"/>
      <c r="W796" s="232">
        <f t="shared" ref="W796:W800" si="513">D796</f>
        <v>2</v>
      </c>
      <c r="X796" s="289">
        <v>600</v>
      </c>
      <c r="Y796" s="199">
        <f t="shared" si="507"/>
        <v>1200</v>
      </c>
      <c r="Z796" s="153"/>
      <c r="AA796" s="147"/>
      <c r="AB796" s="101">
        <f t="shared" si="510"/>
        <v>0</v>
      </c>
      <c r="AC796" s="226"/>
      <c r="AD796" s="302">
        <f t="shared" si="511"/>
        <v>-600</v>
      </c>
      <c r="AE796" s="202">
        <f t="shared" si="512"/>
        <v>-1200</v>
      </c>
    </row>
    <row r="797" spans="1:32" s="106" customFormat="1" ht="21" hidden="1" customHeight="1" outlineLevel="2" x14ac:dyDescent="0.3">
      <c r="A797" s="146"/>
      <c r="B797" s="328" t="s">
        <v>978</v>
      </c>
      <c r="C797" s="78" t="s">
        <v>40</v>
      </c>
      <c r="D797" s="257">
        <v>1</v>
      </c>
      <c r="E797" s="1133"/>
      <c r="F797" s="265"/>
      <c r="G797" s="215"/>
      <c r="H797" s="272"/>
      <c r="I797" s="236"/>
      <c r="J797" s="265"/>
      <c r="K797" s="193"/>
      <c r="L797" s="272"/>
      <c r="M797" s="236"/>
      <c r="N797" s="265"/>
      <c r="O797" s="193"/>
      <c r="P797" s="282"/>
      <c r="Q797" s="236"/>
      <c r="R797" s="265"/>
      <c r="S797" s="193"/>
      <c r="T797" s="230"/>
      <c r="U797" s="290"/>
      <c r="V797" s="200"/>
      <c r="W797" s="232">
        <f t="shared" si="513"/>
        <v>1</v>
      </c>
      <c r="X797" s="289">
        <v>238.4</v>
      </c>
      <c r="Y797" s="199">
        <f t="shared" si="507"/>
        <v>238.4</v>
      </c>
      <c r="Z797" s="153"/>
      <c r="AA797" s="147"/>
      <c r="AB797" s="101">
        <f t="shared" si="510"/>
        <v>0</v>
      </c>
      <c r="AC797" s="226"/>
      <c r="AD797" s="302">
        <f t="shared" si="511"/>
        <v>-238.4</v>
      </c>
      <c r="AE797" s="202">
        <f t="shared" si="512"/>
        <v>-238.4</v>
      </c>
    </row>
    <row r="798" spans="1:32" s="106" customFormat="1" ht="21" hidden="1" customHeight="1" outlineLevel="2" x14ac:dyDescent="0.3">
      <c r="A798" s="146"/>
      <c r="B798" s="328" t="s">
        <v>979</v>
      </c>
      <c r="C798" s="78" t="s">
        <v>40</v>
      </c>
      <c r="D798" s="257">
        <v>4</v>
      </c>
      <c r="E798" s="1133"/>
      <c r="F798" s="265"/>
      <c r="G798" s="215"/>
      <c r="H798" s="272"/>
      <c r="I798" s="236"/>
      <c r="J798" s="265"/>
      <c r="K798" s="193"/>
      <c r="L798" s="272"/>
      <c r="M798" s="236"/>
      <c r="N798" s="265"/>
      <c r="O798" s="193"/>
      <c r="P798" s="282"/>
      <c r="Q798" s="236"/>
      <c r="R798" s="265"/>
      <c r="S798" s="193"/>
      <c r="T798" s="230"/>
      <c r="U798" s="290"/>
      <c r="V798" s="200"/>
      <c r="W798" s="232">
        <f t="shared" si="513"/>
        <v>4</v>
      </c>
      <c r="X798" s="289">
        <v>87.2</v>
      </c>
      <c r="Y798" s="199">
        <f t="shared" si="507"/>
        <v>348.8</v>
      </c>
      <c r="Z798" s="153"/>
      <c r="AA798" s="147"/>
      <c r="AB798" s="101">
        <f t="shared" si="510"/>
        <v>0</v>
      </c>
      <c r="AC798" s="226"/>
      <c r="AD798" s="302">
        <f t="shared" si="511"/>
        <v>-87.2</v>
      </c>
      <c r="AE798" s="202">
        <f t="shared" si="512"/>
        <v>-348.8</v>
      </c>
    </row>
    <row r="799" spans="1:32" s="106" customFormat="1" ht="21" hidden="1" customHeight="1" outlineLevel="2" x14ac:dyDescent="0.3">
      <c r="A799" s="146"/>
      <c r="B799" s="328" t="s">
        <v>981</v>
      </c>
      <c r="C799" s="78" t="s">
        <v>17</v>
      </c>
      <c r="D799" s="257">
        <v>9</v>
      </c>
      <c r="E799" s="1133"/>
      <c r="F799" s="265"/>
      <c r="G799" s="215"/>
      <c r="H799" s="272"/>
      <c r="I799" s="236"/>
      <c r="J799" s="265"/>
      <c r="K799" s="193"/>
      <c r="L799" s="272"/>
      <c r="M799" s="236"/>
      <c r="N799" s="265"/>
      <c r="O799" s="193"/>
      <c r="P799" s="282"/>
      <c r="Q799" s="236"/>
      <c r="R799" s="265"/>
      <c r="S799" s="193"/>
      <c r="T799" s="230"/>
      <c r="U799" s="290"/>
      <c r="V799" s="200"/>
      <c r="W799" s="232">
        <f t="shared" si="513"/>
        <v>9</v>
      </c>
      <c r="X799" s="289">
        <v>331</v>
      </c>
      <c r="Y799" s="199">
        <f t="shared" si="507"/>
        <v>2979</v>
      </c>
      <c r="Z799" s="153"/>
      <c r="AA799" s="147"/>
      <c r="AB799" s="101">
        <f t="shared" si="510"/>
        <v>0</v>
      </c>
      <c r="AC799" s="226"/>
      <c r="AD799" s="302">
        <f t="shared" si="511"/>
        <v>-331</v>
      </c>
      <c r="AE799" s="202">
        <f t="shared" si="512"/>
        <v>-2979</v>
      </c>
    </row>
    <row r="800" spans="1:32" s="106" customFormat="1" ht="21" hidden="1" customHeight="1" outlineLevel="2" x14ac:dyDescent="0.3">
      <c r="A800" s="146"/>
      <c r="B800" s="328" t="s">
        <v>980</v>
      </c>
      <c r="C800" s="78" t="s">
        <v>40</v>
      </c>
      <c r="D800" s="257">
        <v>1</v>
      </c>
      <c r="E800" s="1134"/>
      <c r="F800" s="265"/>
      <c r="G800" s="215"/>
      <c r="H800" s="272"/>
      <c r="I800" s="236"/>
      <c r="J800" s="265"/>
      <c r="K800" s="193"/>
      <c r="L800" s="272"/>
      <c r="M800" s="236"/>
      <c r="N800" s="265"/>
      <c r="O800" s="193"/>
      <c r="P800" s="282"/>
      <c r="Q800" s="236"/>
      <c r="R800" s="265"/>
      <c r="S800" s="193"/>
      <c r="T800" s="230"/>
      <c r="U800" s="290"/>
      <c r="V800" s="200"/>
      <c r="W800" s="232">
        <f t="shared" si="513"/>
        <v>1</v>
      </c>
      <c r="X800" s="289">
        <v>1492</v>
      </c>
      <c r="Y800" s="199">
        <f t="shared" si="507"/>
        <v>1492</v>
      </c>
      <c r="Z800" s="153"/>
      <c r="AA800" s="147"/>
      <c r="AB800" s="101">
        <f t="shared" si="510"/>
        <v>0</v>
      </c>
      <c r="AC800" s="226"/>
      <c r="AD800" s="302">
        <f t="shared" si="511"/>
        <v>-1492</v>
      </c>
      <c r="AE800" s="202">
        <f t="shared" si="512"/>
        <v>-1492</v>
      </c>
    </row>
    <row r="801" spans="1:32" hidden="1" outlineLevel="2" x14ac:dyDescent="0.3">
      <c r="A801" s="141"/>
      <c r="B801" s="328" t="s">
        <v>516</v>
      </c>
      <c r="C801" s="78" t="s">
        <v>40</v>
      </c>
      <c r="D801" s="255">
        <v>7</v>
      </c>
      <c r="E801" s="82" t="s">
        <v>973</v>
      </c>
      <c r="F801" s="265">
        <f>ROUND(G801/6,0)</f>
        <v>328</v>
      </c>
      <c r="G801" s="215">
        <v>1967.82</v>
      </c>
      <c r="H801" s="272"/>
      <c r="I801" s="236"/>
      <c r="J801" s="265"/>
      <c r="K801" s="193"/>
      <c r="L801" s="272"/>
      <c r="M801" s="236"/>
      <c r="N801" s="265"/>
      <c r="O801" s="193"/>
      <c r="P801" s="282">
        <v>6.31</v>
      </c>
      <c r="Q801" s="236">
        <v>6</v>
      </c>
      <c r="R801" s="265">
        <f t="shared" si="503"/>
        <v>1647</v>
      </c>
      <c r="S801" s="193">
        <f t="shared" si="504"/>
        <v>9882</v>
      </c>
      <c r="T801" s="230"/>
      <c r="U801" s="290"/>
      <c r="V801" s="200"/>
      <c r="W801" s="232">
        <v>7</v>
      </c>
      <c r="X801" s="289">
        <v>2369.6</v>
      </c>
      <c r="Y801" s="199">
        <f t="shared" si="507"/>
        <v>16587.2</v>
      </c>
      <c r="Z801" s="153"/>
      <c r="AA801" s="147"/>
      <c r="AB801" s="101">
        <f t="shared" si="505"/>
        <v>0</v>
      </c>
      <c r="AC801" s="226"/>
      <c r="AD801" s="302">
        <f t="shared" si="511"/>
        <v>-722.59999999999991</v>
      </c>
      <c r="AE801" s="202">
        <f t="shared" si="512"/>
        <v>-6705.2000000000007</v>
      </c>
    </row>
    <row r="802" spans="1:32" hidden="1" outlineLevel="2" x14ac:dyDescent="0.3">
      <c r="B802" s="328" t="s">
        <v>517</v>
      </c>
      <c r="C802" s="78" t="s">
        <v>16</v>
      </c>
      <c r="D802" s="255">
        <v>3.5249999999999999</v>
      </c>
      <c r="E802" s="64"/>
      <c r="F802" s="265">
        <f t="shared" si="501"/>
        <v>50</v>
      </c>
      <c r="G802" s="215">
        <v>177.52</v>
      </c>
      <c r="H802" s="272"/>
      <c r="I802" s="236"/>
      <c r="J802" s="265"/>
      <c r="K802" s="193"/>
      <c r="L802" s="272"/>
      <c r="M802" s="236"/>
      <c r="N802" s="265"/>
      <c r="O802" s="193"/>
      <c r="P802" s="282">
        <v>6.31</v>
      </c>
      <c r="Q802" s="236">
        <f t="shared" si="502"/>
        <v>3.5249999999999999</v>
      </c>
      <c r="R802" s="265">
        <f t="shared" si="503"/>
        <v>251</v>
      </c>
      <c r="S802" s="193">
        <f t="shared" si="504"/>
        <v>885</v>
      </c>
      <c r="T802" s="230"/>
      <c r="U802" s="290"/>
      <c r="V802" s="200"/>
      <c r="W802" s="232">
        <f t="shared" si="506"/>
        <v>3.5249999999999999</v>
      </c>
      <c r="X802" s="289">
        <v>400</v>
      </c>
      <c r="Y802" s="199">
        <f t="shared" si="507"/>
        <v>1410</v>
      </c>
      <c r="Z802" s="153"/>
      <c r="AA802" s="147"/>
      <c r="AB802" s="101">
        <f t="shared" si="505"/>
        <v>0</v>
      </c>
      <c r="AC802" s="226"/>
      <c r="AD802" s="302">
        <f t="shared" si="511"/>
        <v>-149</v>
      </c>
      <c r="AE802" s="202">
        <f t="shared" si="512"/>
        <v>-525</v>
      </c>
    </row>
    <row r="803" spans="1:32" hidden="1" outlineLevel="2" x14ac:dyDescent="0.3">
      <c r="B803" s="328" t="s">
        <v>375</v>
      </c>
      <c r="C803" s="78" t="s">
        <v>40</v>
      </c>
      <c r="D803" s="255">
        <v>6</v>
      </c>
      <c r="E803" s="64"/>
      <c r="F803" s="265">
        <f t="shared" si="501"/>
        <v>4</v>
      </c>
      <c r="G803" s="215">
        <v>23.52</v>
      </c>
      <c r="H803" s="272"/>
      <c r="I803" s="236"/>
      <c r="J803" s="265"/>
      <c r="K803" s="193"/>
      <c r="L803" s="272"/>
      <c r="M803" s="236"/>
      <c r="N803" s="265"/>
      <c r="O803" s="193"/>
      <c r="P803" s="282">
        <v>6.31</v>
      </c>
      <c r="Q803" s="236">
        <f t="shared" si="502"/>
        <v>6</v>
      </c>
      <c r="R803" s="265">
        <f t="shared" si="503"/>
        <v>20</v>
      </c>
      <c r="S803" s="193">
        <f t="shared" si="504"/>
        <v>121</v>
      </c>
      <c r="T803" s="230"/>
      <c r="U803" s="290"/>
      <c r="V803" s="200"/>
      <c r="W803" s="232">
        <f t="shared" si="506"/>
        <v>6</v>
      </c>
      <c r="X803" s="289">
        <v>20</v>
      </c>
      <c r="Y803" s="199">
        <f t="shared" si="507"/>
        <v>120</v>
      </c>
      <c r="Z803" s="153"/>
      <c r="AA803" s="147"/>
      <c r="AB803" s="101">
        <f t="shared" si="505"/>
        <v>0</v>
      </c>
      <c r="AC803" s="226"/>
      <c r="AD803" s="304">
        <f t="shared" si="511"/>
        <v>0</v>
      </c>
      <c r="AE803" s="305">
        <f t="shared" si="512"/>
        <v>1</v>
      </c>
    </row>
    <row r="804" spans="1:32" hidden="1" outlineLevel="2" x14ac:dyDescent="0.3">
      <c r="B804" s="328" t="s">
        <v>427</v>
      </c>
      <c r="C804" s="78" t="s">
        <v>16</v>
      </c>
      <c r="D804" s="255">
        <v>1.25</v>
      </c>
      <c r="E804" s="64"/>
      <c r="F804" s="265">
        <f t="shared" si="501"/>
        <v>20</v>
      </c>
      <c r="G804" s="215">
        <v>25.3</v>
      </c>
      <c r="H804" s="272"/>
      <c r="I804" s="236"/>
      <c r="J804" s="265"/>
      <c r="K804" s="193"/>
      <c r="L804" s="272"/>
      <c r="M804" s="236"/>
      <c r="N804" s="265"/>
      <c r="O804" s="193"/>
      <c r="P804" s="282">
        <v>6.31</v>
      </c>
      <c r="Q804" s="236">
        <f t="shared" si="502"/>
        <v>1.25</v>
      </c>
      <c r="R804" s="265">
        <f t="shared" si="503"/>
        <v>100</v>
      </c>
      <c r="S804" s="193">
        <f t="shared" si="504"/>
        <v>126</v>
      </c>
      <c r="T804" s="230"/>
      <c r="U804" s="290"/>
      <c r="V804" s="200"/>
      <c r="W804" s="232">
        <f t="shared" si="506"/>
        <v>1.25</v>
      </c>
      <c r="X804" s="289">
        <v>272</v>
      </c>
      <c r="Y804" s="199">
        <f t="shared" si="507"/>
        <v>340</v>
      </c>
      <c r="Z804" s="153"/>
      <c r="AA804" s="147"/>
      <c r="AB804" s="101">
        <f t="shared" si="505"/>
        <v>0</v>
      </c>
      <c r="AC804" s="226"/>
      <c r="AD804" s="302">
        <f t="shared" si="511"/>
        <v>-172</v>
      </c>
      <c r="AE804" s="202">
        <f t="shared" si="512"/>
        <v>-214</v>
      </c>
    </row>
    <row r="805" spans="1:32" hidden="1" outlineLevel="2" x14ac:dyDescent="0.3">
      <c r="B805" s="328" t="s">
        <v>445</v>
      </c>
      <c r="C805" s="78" t="s">
        <v>28</v>
      </c>
      <c r="D805" s="255">
        <v>0.56399999999999995</v>
      </c>
      <c r="E805" s="64"/>
      <c r="F805" s="265">
        <f t="shared" si="501"/>
        <v>5968</v>
      </c>
      <c r="G805" s="215">
        <v>3365.82</v>
      </c>
      <c r="H805" s="272"/>
      <c r="I805" s="236"/>
      <c r="J805" s="265"/>
      <c r="K805" s="193"/>
      <c r="L805" s="272"/>
      <c r="M805" s="236"/>
      <c r="N805" s="265"/>
      <c r="O805" s="193"/>
      <c r="P805" s="282">
        <v>6.31</v>
      </c>
      <c r="Q805" s="236">
        <f t="shared" si="502"/>
        <v>0.56399999999999995</v>
      </c>
      <c r="R805" s="265">
        <f t="shared" si="503"/>
        <v>29968</v>
      </c>
      <c r="S805" s="193">
        <f t="shared" si="504"/>
        <v>16902</v>
      </c>
      <c r="T805" s="230"/>
      <c r="U805" s="290"/>
      <c r="V805" s="200"/>
      <c r="W805" s="232">
        <f t="shared" si="506"/>
        <v>0.56399999999999995</v>
      </c>
      <c r="X805" s="289">
        <v>37400</v>
      </c>
      <c r="Y805" s="199">
        <f t="shared" si="507"/>
        <v>21093.599999999999</v>
      </c>
      <c r="Z805" s="153"/>
      <c r="AA805" s="147"/>
      <c r="AB805" s="101">
        <f t="shared" si="505"/>
        <v>0</v>
      </c>
      <c r="AC805" s="226"/>
      <c r="AD805" s="302">
        <f t="shared" si="511"/>
        <v>-7432</v>
      </c>
      <c r="AE805" s="202">
        <f t="shared" si="512"/>
        <v>-4191.5999999999985</v>
      </c>
    </row>
    <row r="806" spans="1:32" hidden="1" outlineLevel="2" x14ac:dyDescent="0.3">
      <c r="A806" s="141"/>
      <c r="B806" s="328" t="s">
        <v>518</v>
      </c>
      <c r="C806" s="78" t="s">
        <v>5</v>
      </c>
      <c r="D806" s="255">
        <v>35</v>
      </c>
      <c r="E806" s="64"/>
      <c r="F806" s="265">
        <f t="shared" si="501"/>
        <v>4</v>
      </c>
      <c r="G806" s="215">
        <v>127.19</v>
      </c>
      <c r="H806" s="272"/>
      <c r="I806" s="236"/>
      <c r="J806" s="265"/>
      <c r="K806" s="193"/>
      <c r="L806" s="272"/>
      <c r="M806" s="236"/>
      <c r="N806" s="265"/>
      <c r="O806" s="193"/>
      <c r="P806" s="282">
        <v>6.31</v>
      </c>
      <c r="Q806" s="236">
        <f t="shared" si="502"/>
        <v>35</v>
      </c>
      <c r="R806" s="265">
        <f t="shared" si="503"/>
        <v>20</v>
      </c>
      <c r="S806" s="193">
        <f t="shared" si="504"/>
        <v>703</v>
      </c>
      <c r="T806" s="230"/>
      <c r="U806" s="290"/>
      <c r="V806" s="200"/>
      <c r="W806" s="232">
        <f t="shared" si="506"/>
        <v>35</v>
      </c>
      <c r="X806" s="289">
        <v>11.33</v>
      </c>
      <c r="Y806" s="199">
        <f t="shared" si="507"/>
        <v>396.55</v>
      </c>
      <c r="Z806" s="153"/>
      <c r="AA806" s="147"/>
      <c r="AB806" s="101">
        <f t="shared" si="505"/>
        <v>0</v>
      </c>
      <c r="AC806" s="226"/>
      <c r="AD806" s="304">
        <f t="shared" si="511"/>
        <v>8.67</v>
      </c>
      <c r="AE806" s="305">
        <f t="shared" si="512"/>
        <v>306.45</v>
      </c>
    </row>
    <row r="807" spans="1:32" hidden="1" outlineLevel="2" x14ac:dyDescent="0.3">
      <c r="A807" s="142"/>
      <c r="B807" s="328" t="s">
        <v>410</v>
      </c>
      <c r="C807" s="78" t="s">
        <v>16</v>
      </c>
      <c r="D807" s="255">
        <v>4.32</v>
      </c>
      <c r="E807" s="64"/>
      <c r="F807" s="265">
        <f t="shared" si="501"/>
        <v>17</v>
      </c>
      <c r="G807" s="215">
        <v>72.62</v>
      </c>
      <c r="H807" s="272"/>
      <c r="I807" s="236"/>
      <c r="J807" s="265"/>
      <c r="K807" s="193"/>
      <c r="L807" s="272"/>
      <c r="M807" s="236"/>
      <c r="N807" s="265"/>
      <c r="O807" s="193"/>
      <c r="P807" s="282">
        <v>6.31</v>
      </c>
      <c r="Q807" s="236">
        <f t="shared" si="502"/>
        <v>4.32</v>
      </c>
      <c r="R807" s="265">
        <f t="shared" si="503"/>
        <v>85</v>
      </c>
      <c r="S807" s="193">
        <f t="shared" si="504"/>
        <v>369</v>
      </c>
      <c r="T807" s="230"/>
      <c r="U807" s="290"/>
      <c r="V807" s="200"/>
      <c r="W807" s="232">
        <f t="shared" si="506"/>
        <v>4.32</v>
      </c>
      <c r="X807" s="289">
        <v>330</v>
      </c>
      <c r="Y807" s="199">
        <f t="shared" si="507"/>
        <v>1425.6000000000001</v>
      </c>
      <c r="Z807" s="153"/>
      <c r="AA807" s="147"/>
      <c r="AB807" s="101">
        <f t="shared" si="505"/>
        <v>0</v>
      </c>
      <c r="AC807" s="226"/>
      <c r="AD807" s="302">
        <f t="shared" si="511"/>
        <v>-245</v>
      </c>
      <c r="AE807" s="202">
        <f t="shared" si="512"/>
        <v>-1056.6000000000001</v>
      </c>
    </row>
    <row r="808" spans="1:32" s="95" customFormat="1" hidden="1" outlineLevel="1" x14ac:dyDescent="0.3">
      <c r="A808" s="98"/>
      <c r="B808" s="160"/>
      <c r="C808" s="107"/>
      <c r="D808" s="253"/>
      <c r="E808" s="98"/>
      <c r="F808" s="154"/>
      <c r="G808" s="214"/>
      <c r="H808" s="154"/>
      <c r="I808" s="231"/>
      <c r="J808" s="154"/>
      <c r="K808" s="194"/>
      <c r="L808" s="154"/>
      <c r="M808" s="231"/>
      <c r="N808" s="154"/>
      <c r="O808" s="194"/>
      <c r="P808" s="154"/>
      <c r="Q808" s="231"/>
      <c r="R808" s="286"/>
      <c r="S808" s="194"/>
      <c r="T808" s="231"/>
      <c r="U808" s="155"/>
      <c r="V808" s="194"/>
      <c r="W808" s="231"/>
      <c r="X808" s="155"/>
      <c r="Y808" s="194"/>
      <c r="Z808" s="157"/>
      <c r="AA808" s="156"/>
      <c r="AB808" s="156"/>
      <c r="AC808" s="194"/>
      <c r="AD808" s="155"/>
      <c r="AE808" s="194"/>
    </row>
    <row r="809" spans="1:32" ht="27.75" hidden="1" customHeight="1" outlineLevel="1" x14ac:dyDescent="0.3">
      <c r="A809" s="400"/>
      <c r="B809" s="1082" t="s">
        <v>519</v>
      </c>
      <c r="C809" s="1083"/>
      <c r="D809" s="1083"/>
      <c r="E809" s="1083"/>
      <c r="F809" s="1084"/>
      <c r="G809" s="333">
        <f>SUM(G810:G822)</f>
        <v>48601.83</v>
      </c>
      <c r="H809" s="320"/>
      <c r="I809" s="320"/>
      <c r="J809" s="320"/>
      <c r="K809" s="321">
        <f>SUM(K810:K822)</f>
        <v>0</v>
      </c>
      <c r="L809" s="320"/>
      <c r="M809" s="320"/>
      <c r="N809" s="320"/>
      <c r="O809" s="321">
        <f>SUM(O810:O822)</f>
        <v>0</v>
      </c>
      <c r="P809" s="320"/>
      <c r="Q809" s="320"/>
      <c r="R809" s="320"/>
      <c r="S809" s="321">
        <f>SUM(S810:S822)</f>
        <v>241516</v>
      </c>
      <c r="T809" s="320"/>
      <c r="U809" s="322"/>
      <c r="V809" s="321">
        <f>SUM(V810:V822)</f>
        <v>0</v>
      </c>
      <c r="W809" s="320"/>
      <c r="X809" s="322"/>
      <c r="Y809" s="321">
        <f>SUM(Y810:Y822)</f>
        <v>90781.64</v>
      </c>
      <c r="Z809" s="322"/>
      <c r="AA809" s="322"/>
      <c r="AB809" s="322"/>
      <c r="AC809" s="322"/>
      <c r="AD809" s="322"/>
      <c r="AE809" s="325">
        <f>SUM(AE810:AE822)</f>
        <v>150842.35999999999</v>
      </c>
      <c r="AF809" s="326">
        <f>AE809/S809</f>
        <v>0.62456466652312881</v>
      </c>
    </row>
    <row r="810" spans="1:32" hidden="1" outlineLevel="2" x14ac:dyDescent="0.3">
      <c r="B810" s="328" t="s">
        <v>520</v>
      </c>
      <c r="C810" s="78" t="s">
        <v>40</v>
      </c>
      <c r="D810" s="255">
        <v>740</v>
      </c>
      <c r="E810" s="64"/>
      <c r="F810" s="266">
        <f>G810/D810</f>
        <v>8.7635135135135128E-2</v>
      </c>
      <c r="G810" s="215">
        <v>64.849999999999994</v>
      </c>
      <c r="H810" s="272"/>
      <c r="I810" s="236"/>
      <c r="J810" s="265"/>
      <c r="K810" s="193"/>
      <c r="L810" s="272"/>
      <c r="M810" s="236"/>
      <c r="N810" s="265"/>
      <c r="O810" s="193"/>
      <c r="P810" s="282">
        <v>6.31</v>
      </c>
      <c r="Q810" s="236">
        <f t="shared" si="502"/>
        <v>740</v>
      </c>
      <c r="R810" s="266">
        <v>0.44</v>
      </c>
      <c r="S810" s="193">
        <f t="shared" si="504"/>
        <v>326</v>
      </c>
      <c r="T810" s="230"/>
      <c r="U810" s="290"/>
      <c r="V810" s="200"/>
      <c r="W810" s="232">
        <f t="shared" ref="W810:W822" si="514">Q810</f>
        <v>740</v>
      </c>
      <c r="X810" s="289">
        <v>2</v>
      </c>
      <c r="Y810" s="199">
        <f t="shared" ref="Y810:Y822" si="515">W810*X810</f>
        <v>1480</v>
      </c>
      <c r="Z810" s="153"/>
      <c r="AA810" s="147"/>
      <c r="AB810" s="101">
        <f t="shared" si="505"/>
        <v>0</v>
      </c>
      <c r="AC810" s="226"/>
      <c r="AD810" s="302">
        <f>R810-X810</f>
        <v>-1.56</v>
      </c>
      <c r="AE810" s="202">
        <f>S810-Y810</f>
        <v>-1154</v>
      </c>
    </row>
    <row r="811" spans="1:32" hidden="1" outlineLevel="2" x14ac:dyDescent="0.3">
      <c r="A811" s="141"/>
      <c r="B811" s="328" t="s">
        <v>521</v>
      </c>
      <c r="C811" s="78" t="s">
        <v>40</v>
      </c>
      <c r="D811" s="255">
        <v>11</v>
      </c>
      <c r="E811" s="64"/>
      <c r="F811" s="265">
        <f t="shared" si="501"/>
        <v>436</v>
      </c>
      <c r="G811" s="215">
        <v>4799.41</v>
      </c>
      <c r="H811" s="272"/>
      <c r="I811" s="236"/>
      <c r="J811" s="265"/>
      <c r="K811" s="193"/>
      <c r="L811" s="272"/>
      <c r="M811" s="236"/>
      <c r="N811" s="265"/>
      <c r="O811" s="193"/>
      <c r="P811" s="282">
        <v>6.31</v>
      </c>
      <c r="Q811" s="236">
        <f t="shared" si="502"/>
        <v>11</v>
      </c>
      <c r="R811" s="265">
        <f t="shared" si="503"/>
        <v>2189</v>
      </c>
      <c r="S811" s="193">
        <f t="shared" si="504"/>
        <v>24083</v>
      </c>
      <c r="T811" s="230"/>
      <c r="U811" s="290"/>
      <c r="V811" s="200"/>
      <c r="W811" s="232">
        <f t="shared" si="514"/>
        <v>11</v>
      </c>
      <c r="X811" s="289">
        <v>577</v>
      </c>
      <c r="Y811" s="199">
        <f t="shared" si="515"/>
        <v>6347</v>
      </c>
      <c r="Z811" s="153"/>
      <c r="AA811" s="147"/>
      <c r="AB811" s="101">
        <f t="shared" si="505"/>
        <v>0</v>
      </c>
      <c r="AC811" s="226"/>
      <c r="AD811" s="304">
        <f t="shared" ref="AD811:AD822" si="516">R811-X811</f>
        <v>1612</v>
      </c>
      <c r="AE811" s="305">
        <f t="shared" ref="AE811:AE822" si="517">S811-Y811</f>
        <v>17736</v>
      </c>
    </row>
    <row r="812" spans="1:32" hidden="1" outlineLevel="2" x14ac:dyDescent="0.3">
      <c r="A812" s="141"/>
      <c r="B812" s="328" t="s">
        <v>522</v>
      </c>
      <c r="C812" s="78" t="s">
        <v>5</v>
      </c>
      <c r="D812" s="255">
        <v>1400</v>
      </c>
      <c r="E812" s="64"/>
      <c r="F812" s="265">
        <f t="shared" si="501"/>
        <v>16</v>
      </c>
      <c r="G812" s="215">
        <v>23058.28</v>
      </c>
      <c r="H812" s="272"/>
      <c r="I812" s="236"/>
      <c r="J812" s="265"/>
      <c r="K812" s="193"/>
      <c r="L812" s="272"/>
      <c r="M812" s="236"/>
      <c r="N812" s="265"/>
      <c r="O812" s="193"/>
      <c r="P812" s="282">
        <v>6.31</v>
      </c>
      <c r="Q812" s="236">
        <f t="shared" si="502"/>
        <v>1400</v>
      </c>
      <c r="R812" s="265">
        <f t="shared" si="503"/>
        <v>80</v>
      </c>
      <c r="S812" s="193">
        <f t="shared" si="504"/>
        <v>112482</v>
      </c>
      <c r="T812" s="230"/>
      <c r="U812" s="290"/>
      <c r="V812" s="200"/>
      <c r="W812" s="232">
        <f t="shared" si="514"/>
        <v>1400</v>
      </c>
      <c r="X812" s="289">
        <v>13.05</v>
      </c>
      <c r="Y812" s="199">
        <f t="shared" si="515"/>
        <v>18270</v>
      </c>
      <c r="Z812" s="153"/>
      <c r="AA812" s="147"/>
      <c r="AB812" s="101">
        <f t="shared" si="505"/>
        <v>0</v>
      </c>
      <c r="AC812" s="226"/>
      <c r="AD812" s="304">
        <f t="shared" si="516"/>
        <v>66.95</v>
      </c>
      <c r="AE812" s="305">
        <f t="shared" si="517"/>
        <v>94212</v>
      </c>
    </row>
    <row r="813" spans="1:32" ht="30" hidden="1" customHeight="1" outlineLevel="2" x14ac:dyDescent="0.3">
      <c r="A813" s="141"/>
      <c r="B813" s="328" t="s">
        <v>982</v>
      </c>
      <c r="C813" s="78" t="s">
        <v>5</v>
      </c>
      <c r="D813" s="255">
        <v>470</v>
      </c>
      <c r="E813" s="64"/>
      <c r="F813" s="265">
        <f t="shared" si="501"/>
        <v>16</v>
      </c>
      <c r="G813" s="215">
        <v>7333.3</v>
      </c>
      <c r="H813" s="272"/>
      <c r="I813" s="236"/>
      <c r="J813" s="265"/>
      <c r="K813" s="193"/>
      <c r="L813" s="272"/>
      <c r="M813" s="236"/>
      <c r="N813" s="265"/>
      <c r="O813" s="193"/>
      <c r="P813" s="282">
        <v>6.31</v>
      </c>
      <c r="Q813" s="236">
        <f t="shared" si="502"/>
        <v>470</v>
      </c>
      <c r="R813" s="265">
        <f t="shared" si="503"/>
        <v>80</v>
      </c>
      <c r="S813" s="193">
        <f t="shared" si="504"/>
        <v>37762</v>
      </c>
      <c r="T813" s="230"/>
      <c r="U813" s="290"/>
      <c r="V813" s="200"/>
      <c r="W813" s="232">
        <f t="shared" si="514"/>
        <v>470</v>
      </c>
      <c r="X813" s="289">
        <v>61</v>
      </c>
      <c r="Y813" s="199">
        <f t="shared" si="515"/>
        <v>28670</v>
      </c>
      <c r="Z813" s="153"/>
      <c r="AA813" s="147"/>
      <c r="AB813" s="101">
        <f t="shared" si="505"/>
        <v>0</v>
      </c>
      <c r="AC813" s="226"/>
      <c r="AD813" s="304">
        <f t="shared" si="516"/>
        <v>19</v>
      </c>
      <c r="AE813" s="305">
        <f t="shared" si="517"/>
        <v>9092</v>
      </c>
    </row>
    <row r="814" spans="1:32" hidden="1" outlineLevel="2" x14ac:dyDescent="0.3">
      <c r="B814" s="328" t="s">
        <v>514</v>
      </c>
      <c r="C814" s="78" t="s">
        <v>40</v>
      </c>
      <c r="D814" s="255">
        <v>2</v>
      </c>
      <c r="E814" s="64"/>
      <c r="F814" s="265">
        <f t="shared" si="501"/>
        <v>13</v>
      </c>
      <c r="G814" s="215">
        <v>26.66</v>
      </c>
      <c r="H814" s="272"/>
      <c r="I814" s="236"/>
      <c r="J814" s="265"/>
      <c r="K814" s="193"/>
      <c r="L814" s="272"/>
      <c r="M814" s="236"/>
      <c r="N814" s="265"/>
      <c r="O814" s="193"/>
      <c r="P814" s="282">
        <v>6.31</v>
      </c>
      <c r="Q814" s="236">
        <f t="shared" si="502"/>
        <v>2</v>
      </c>
      <c r="R814" s="265">
        <f t="shared" si="503"/>
        <v>65</v>
      </c>
      <c r="S814" s="193">
        <f t="shared" si="504"/>
        <v>131</v>
      </c>
      <c r="T814" s="230"/>
      <c r="U814" s="290"/>
      <c r="V814" s="200"/>
      <c r="W814" s="232">
        <f t="shared" si="514"/>
        <v>2</v>
      </c>
      <c r="X814" s="289">
        <v>107.1</v>
      </c>
      <c r="Y814" s="199">
        <f t="shared" si="515"/>
        <v>214.2</v>
      </c>
      <c r="Z814" s="153"/>
      <c r="AA814" s="147"/>
      <c r="AB814" s="101">
        <f t="shared" si="505"/>
        <v>0</v>
      </c>
      <c r="AC814" s="226"/>
      <c r="AD814" s="302">
        <f t="shared" si="516"/>
        <v>-42.099999999999994</v>
      </c>
      <c r="AE814" s="202">
        <f t="shared" si="517"/>
        <v>-83.199999999999989</v>
      </c>
    </row>
    <row r="815" spans="1:32" hidden="1" outlineLevel="2" x14ac:dyDescent="0.3">
      <c r="A815" s="141"/>
      <c r="B815" s="328" t="s">
        <v>983</v>
      </c>
      <c r="C815" s="78" t="s">
        <v>5</v>
      </c>
      <c r="D815" s="255">
        <v>10</v>
      </c>
      <c r="E815" s="64"/>
      <c r="F815" s="265">
        <f t="shared" si="501"/>
        <v>43</v>
      </c>
      <c r="G815" s="215">
        <v>432.8</v>
      </c>
      <c r="H815" s="272"/>
      <c r="I815" s="236"/>
      <c r="J815" s="265"/>
      <c r="K815" s="193"/>
      <c r="L815" s="272"/>
      <c r="M815" s="236"/>
      <c r="N815" s="265"/>
      <c r="O815" s="193"/>
      <c r="P815" s="282">
        <v>6.31</v>
      </c>
      <c r="Q815" s="236">
        <f t="shared" si="502"/>
        <v>10</v>
      </c>
      <c r="R815" s="265">
        <f t="shared" si="503"/>
        <v>216</v>
      </c>
      <c r="S815" s="193">
        <f t="shared" si="504"/>
        <v>2159</v>
      </c>
      <c r="T815" s="230"/>
      <c r="U815" s="290"/>
      <c r="V815" s="200"/>
      <c r="W815" s="232">
        <f t="shared" si="514"/>
        <v>10</v>
      </c>
      <c r="X815" s="289">
        <v>46</v>
      </c>
      <c r="Y815" s="199">
        <f t="shared" si="515"/>
        <v>460</v>
      </c>
      <c r="Z815" s="153"/>
      <c r="AA815" s="147"/>
      <c r="AB815" s="101">
        <f t="shared" si="505"/>
        <v>0</v>
      </c>
      <c r="AC815" s="226"/>
      <c r="AD815" s="304">
        <f t="shared" si="516"/>
        <v>170</v>
      </c>
      <c r="AE815" s="305">
        <f t="shared" si="517"/>
        <v>1699</v>
      </c>
    </row>
    <row r="816" spans="1:32" hidden="1" outlineLevel="2" x14ac:dyDescent="0.3">
      <c r="A816" s="141"/>
      <c r="B816" s="328" t="s">
        <v>523</v>
      </c>
      <c r="C816" s="78" t="s">
        <v>40</v>
      </c>
      <c r="D816" s="255">
        <v>9</v>
      </c>
      <c r="E816" s="64"/>
      <c r="F816" s="265">
        <f t="shared" si="501"/>
        <v>34</v>
      </c>
      <c r="G816" s="215">
        <v>306.36</v>
      </c>
      <c r="H816" s="272"/>
      <c r="I816" s="236"/>
      <c r="J816" s="265"/>
      <c r="K816" s="193"/>
      <c r="L816" s="272"/>
      <c r="M816" s="236"/>
      <c r="N816" s="265"/>
      <c r="O816" s="193"/>
      <c r="P816" s="282">
        <v>6.31</v>
      </c>
      <c r="Q816" s="236">
        <f t="shared" si="502"/>
        <v>9</v>
      </c>
      <c r="R816" s="265">
        <f t="shared" si="503"/>
        <v>171</v>
      </c>
      <c r="S816" s="193">
        <f t="shared" si="504"/>
        <v>1537</v>
      </c>
      <c r="T816" s="230"/>
      <c r="U816" s="290"/>
      <c r="V816" s="200"/>
      <c r="W816" s="232">
        <f t="shared" si="514"/>
        <v>9</v>
      </c>
      <c r="X816" s="289">
        <v>107.2</v>
      </c>
      <c r="Y816" s="199">
        <f t="shared" si="515"/>
        <v>964.80000000000007</v>
      </c>
      <c r="Z816" s="153"/>
      <c r="AA816" s="147"/>
      <c r="AB816" s="101">
        <f t="shared" si="505"/>
        <v>0</v>
      </c>
      <c r="AC816" s="226"/>
      <c r="AD816" s="304">
        <f t="shared" si="516"/>
        <v>63.8</v>
      </c>
      <c r="AE816" s="305">
        <f t="shared" si="517"/>
        <v>572.19999999999993</v>
      </c>
    </row>
    <row r="817" spans="1:32" hidden="1" outlineLevel="2" x14ac:dyDescent="0.3">
      <c r="A817" s="141"/>
      <c r="B817" s="328" t="s">
        <v>524</v>
      </c>
      <c r="C817" s="78" t="s">
        <v>40</v>
      </c>
      <c r="D817" s="255">
        <v>13</v>
      </c>
      <c r="E817" s="64"/>
      <c r="F817" s="265">
        <f t="shared" si="501"/>
        <v>23</v>
      </c>
      <c r="G817" s="215">
        <v>300.17</v>
      </c>
      <c r="H817" s="272"/>
      <c r="I817" s="236"/>
      <c r="J817" s="265"/>
      <c r="K817" s="193"/>
      <c r="L817" s="272"/>
      <c r="M817" s="236"/>
      <c r="N817" s="265"/>
      <c r="O817" s="193"/>
      <c r="P817" s="282">
        <v>6.31</v>
      </c>
      <c r="Q817" s="236">
        <f t="shared" si="502"/>
        <v>13</v>
      </c>
      <c r="R817" s="265">
        <f t="shared" si="503"/>
        <v>115</v>
      </c>
      <c r="S817" s="193">
        <f t="shared" si="504"/>
        <v>1501</v>
      </c>
      <c r="T817" s="230"/>
      <c r="U817" s="290"/>
      <c r="V817" s="200"/>
      <c r="W817" s="232">
        <f t="shared" si="514"/>
        <v>13</v>
      </c>
      <c r="X817" s="289">
        <v>37</v>
      </c>
      <c r="Y817" s="199">
        <f t="shared" si="515"/>
        <v>481</v>
      </c>
      <c r="Z817" s="153"/>
      <c r="AA817" s="147"/>
      <c r="AB817" s="101">
        <f t="shared" si="505"/>
        <v>0</v>
      </c>
      <c r="AC817" s="226"/>
      <c r="AD817" s="304">
        <f t="shared" si="516"/>
        <v>78</v>
      </c>
      <c r="AE817" s="305">
        <f t="shared" si="517"/>
        <v>1020</v>
      </c>
    </row>
    <row r="818" spans="1:32" hidden="1" outlineLevel="2" x14ac:dyDescent="0.3">
      <c r="A818" s="141"/>
      <c r="B818" s="328" t="s">
        <v>525</v>
      </c>
      <c r="C818" s="78" t="s">
        <v>40</v>
      </c>
      <c r="D818" s="255">
        <v>22</v>
      </c>
      <c r="E818" s="64"/>
      <c r="F818" s="265">
        <f t="shared" si="501"/>
        <v>4</v>
      </c>
      <c r="G818" s="215">
        <v>80.959999999999994</v>
      </c>
      <c r="H818" s="272"/>
      <c r="I818" s="236"/>
      <c r="J818" s="265"/>
      <c r="K818" s="193"/>
      <c r="L818" s="272"/>
      <c r="M818" s="236"/>
      <c r="N818" s="265"/>
      <c r="O818" s="193"/>
      <c r="P818" s="282">
        <v>6.31</v>
      </c>
      <c r="Q818" s="236">
        <f t="shared" si="502"/>
        <v>22</v>
      </c>
      <c r="R818" s="265">
        <f t="shared" si="503"/>
        <v>20</v>
      </c>
      <c r="S818" s="193">
        <f t="shared" si="504"/>
        <v>442</v>
      </c>
      <c r="T818" s="230"/>
      <c r="U818" s="290"/>
      <c r="V818" s="200"/>
      <c r="W818" s="232">
        <f t="shared" si="514"/>
        <v>22</v>
      </c>
      <c r="X818" s="289">
        <v>25</v>
      </c>
      <c r="Y818" s="199">
        <f t="shared" si="515"/>
        <v>550</v>
      </c>
      <c r="Z818" s="153"/>
      <c r="AA818" s="147"/>
      <c r="AB818" s="101">
        <f t="shared" si="505"/>
        <v>0</v>
      </c>
      <c r="AC818" s="226"/>
      <c r="AD818" s="304">
        <f t="shared" si="516"/>
        <v>-5</v>
      </c>
      <c r="AE818" s="305">
        <v>0</v>
      </c>
    </row>
    <row r="819" spans="1:32" hidden="1" outlineLevel="2" x14ac:dyDescent="0.3">
      <c r="B819" s="328" t="s">
        <v>427</v>
      </c>
      <c r="C819" s="78" t="s">
        <v>16</v>
      </c>
      <c r="D819" s="255">
        <v>9.3949999999999996</v>
      </c>
      <c r="E819" s="64"/>
      <c r="F819" s="265">
        <f t="shared" si="501"/>
        <v>72</v>
      </c>
      <c r="G819" s="215">
        <v>678.2</v>
      </c>
      <c r="H819" s="272"/>
      <c r="I819" s="236"/>
      <c r="J819" s="265"/>
      <c r="K819" s="193"/>
      <c r="L819" s="272"/>
      <c r="M819" s="236"/>
      <c r="N819" s="265"/>
      <c r="O819" s="193"/>
      <c r="P819" s="282">
        <v>6.31</v>
      </c>
      <c r="Q819" s="236">
        <f t="shared" si="502"/>
        <v>9.3949999999999996</v>
      </c>
      <c r="R819" s="265">
        <f t="shared" si="503"/>
        <v>362</v>
      </c>
      <c r="S819" s="193">
        <f t="shared" si="504"/>
        <v>3397</v>
      </c>
      <c r="T819" s="230"/>
      <c r="U819" s="290"/>
      <c r="V819" s="200"/>
      <c r="W819" s="232">
        <f t="shared" si="514"/>
        <v>9.3949999999999996</v>
      </c>
      <c r="X819" s="289">
        <v>272</v>
      </c>
      <c r="Y819" s="199">
        <f t="shared" si="515"/>
        <v>2555.44</v>
      </c>
      <c r="Z819" s="153"/>
      <c r="AA819" s="147"/>
      <c r="AB819" s="101">
        <f t="shared" si="505"/>
        <v>0</v>
      </c>
      <c r="AC819" s="226"/>
      <c r="AD819" s="304">
        <f t="shared" si="516"/>
        <v>90</v>
      </c>
      <c r="AE819" s="305">
        <f t="shared" si="517"/>
        <v>841.56</v>
      </c>
    </row>
    <row r="820" spans="1:32" hidden="1" outlineLevel="2" x14ac:dyDescent="0.3">
      <c r="A820" s="141"/>
      <c r="B820" s="328" t="s">
        <v>526</v>
      </c>
      <c r="C820" s="78" t="s">
        <v>5</v>
      </c>
      <c r="D820" s="255">
        <v>50</v>
      </c>
      <c r="E820" s="64"/>
      <c r="F820" s="265">
        <f t="shared" si="501"/>
        <v>1</v>
      </c>
      <c r="G820" s="215">
        <v>28.27</v>
      </c>
      <c r="H820" s="272"/>
      <c r="I820" s="236"/>
      <c r="J820" s="265"/>
      <c r="K820" s="193"/>
      <c r="L820" s="272"/>
      <c r="M820" s="236"/>
      <c r="N820" s="265"/>
      <c r="O820" s="193"/>
      <c r="P820" s="282">
        <v>6.31</v>
      </c>
      <c r="Q820" s="236">
        <f t="shared" si="502"/>
        <v>50</v>
      </c>
      <c r="R820" s="265">
        <f t="shared" si="503"/>
        <v>5</v>
      </c>
      <c r="S820" s="193">
        <f t="shared" si="504"/>
        <v>251</v>
      </c>
      <c r="T820" s="230"/>
      <c r="U820" s="290"/>
      <c r="V820" s="200"/>
      <c r="W820" s="232">
        <f t="shared" si="514"/>
        <v>50</v>
      </c>
      <c r="X820" s="289">
        <v>5.12</v>
      </c>
      <c r="Y820" s="199">
        <f t="shared" si="515"/>
        <v>256</v>
      </c>
      <c r="Z820" s="153"/>
      <c r="AA820" s="147"/>
      <c r="AB820" s="101">
        <f t="shared" si="505"/>
        <v>0</v>
      </c>
      <c r="AC820" s="226"/>
      <c r="AD820" s="304">
        <f t="shared" si="516"/>
        <v>-0.12000000000000011</v>
      </c>
      <c r="AE820" s="305">
        <f t="shared" si="517"/>
        <v>-5</v>
      </c>
    </row>
    <row r="821" spans="1:32" ht="33.75" hidden="1" customHeight="1" outlineLevel="2" x14ac:dyDescent="0.3">
      <c r="A821" s="141"/>
      <c r="B821" s="328" t="s">
        <v>984</v>
      </c>
      <c r="C821" s="78" t="s">
        <v>5</v>
      </c>
      <c r="D821" s="255">
        <v>470</v>
      </c>
      <c r="E821" s="64"/>
      <c r="F821" s="265">
        <f t="shared" si="501"/>
        <v>24</v>
      </c>
      <c r="G821" s="215">
        <v>11347.21</v>
      </c>
      <c r="H821" s="272"/>
      <c r="I821" s="236"/>
      <c r="J821" s="265"/>
      <c r="K821" s="193"/>
      <c r="L821" s="272"/>
      <c r="M821" s="236"/>
      <c r="N821" s="265"/>
      <c r="O821" s="193"/>
      <c r="P821" s="282">
        <v>6.31</v>
      </c>
      <c r="Q821" s="236">
        <f t="shared" si="502"/>
        <v>470</v>
      </c>
      <c r="R821" s="265">
        <f t="shared" si="503"/>
        <v>121</v>
      </c>
      <c r="S821" s="193">
        <f t="shared" si="504"/>
        <v>56642</v>
      </c>
      <c r="T821" s="230"/>
      <c r="U821" s="290"/>
      <c r="V821" s="200"/>
      <c r="W821" s="232">
        <f t="shared" si="514"/>
        <v>470</v>
      </c>
      <c r="X821" s="289">
        <v>64</v>
      </c>
      <c r="Y821" s="199">
        <f t="shared" si="515"/>
        <v>30080</v>
      </c>
      <c r="Z821" s="153"/>
      <c r="AA821" s="147"/>
      <c r="AB821" s="101">
        <f t="shared" si="505"/>
        <v>0</v>
      </c>
      <c r="AC821" s="226"/>
      <c r="AD821" s="304">
        <f t="shared" si="516"/>
        <v>57</v>
      </c>
      <c r="AE821" s="305">
        <f t="shared" si="517"/>
        <v>26562</v>
      </c>
    </row>
    <row r="822" spans="1:32" hidden="1" outlineLevel="2" x14ac:dyDescent="0.3">
      <c r="A822" s="141"/>
      <c r="B822" s="328" t="s">
        <v>527</v>
      </c>
      <c r="C822" s="78" t="s">
        <v>5</v>
      </c>
      <c r="D822" s="255">
        <v>40</v>
      </c>
      <c r="E822" s="64"/>
      <c r="F822" s="265">
        <f t="shared" si="501"/>
        <v>4</v>
      </c>
      <c r="G822" s="215">
        <v>145.36000000000001</v>
      </c>
      <c r="H822" s="272"/>
      <c r="I822" s="236"/>
      <c r="J822" s="265"/>
      <c r="K822" s="193"/>
      <c r="L822" s="272"/>
      <c r="M822" s="236"/>
      <c r="N822" s="265"/>
      <c r="O822" s="193"/>
      <c r="P822" s="282">
        <v>6.31</v>
      </c>
      <c r="Q822" s="236">
        <f t="shared" si="502"/>
        <v>40</v>
      </c>
      <c r="R822" s="265">
        <f t="shared" si="503"/>
        <v>20</v>
      </c>
      <c r="S822" s="193">
        <f t="shared" si="504"/>
        <v>803</v>
      </c>
      <c r="T822" s="230"/>
      <c r="U822" s="290"/>
      <c r="V822" s="200"/>
      <c r="W822" s="232">
        <f t="shared" si="514"/>
        <v>40</v>
      </c>
      <c r="X822" s="290">
        <v>11.33</v>
      </c>
      <c r="Y822" s="200">
        <f t="shared" si="515"/>
        <v>453.2</v>
      </c>
      <c r="Z822" s="153"/>
      <c r="AA822" s="147"/>
      <c r="AB822" s="101">
        <f t="shared" si="505"/>
        <v>0</v>
      </c>
      <c r="AC822" s="226"/>
      <c r="AD822" s="304">
        <f t="shared" si="516"/>
        <v>8.67</v>
      </c>
      <c r="AE822" s="305">
        <f t="shared" si="517"/>
        <v>349.8</v>
      </c>
    </row>
    <row r="823" spans="1:32" s="95" customFormat="1" hidden="1" outlineLevel="1" x14ac:dyDescent="0.3">
      <c r="A823" s="98"/>
      <c r="B823" s="160"/>
      <c r="C823" s="107"/>
      <c r="D823" s="253"/>
      <c r="E823" s="98"/>
      <c r="F823" s="154"/>
      <c r="G823" s="214"/>
      <c r="H823" s="154"/>
      <c r="I823" s="231"/>
      <c r="J823" s="154"/>
      <c r="K823" s="194"/>
      <c r="L823" s="154"/>
      <c r="M823" s="231"/>
      <c r="N823" s="154"/>
      <c r="O823" s="194"/>
      <c r="P823" s="154"/>
      <c r="Q823" s="231"/>
      <c r="R823" s="286"/>
      <c r="S823" s="194"/>
      <c r="T823" s="231"/>
      <c r="U823" s="155"/>
      <c r="V823" s="194"/>
      <c r="W823" s="231"/>
      <c r="X823" s="155"/>
      <c r="Y823" s="194"/>
      <c r="Z823" s="157"/>
      <c r="AA823" s="156"/>
      <c r="AB823" s="156"/>
      <c r="AC823" s="194"/>
      <c r="AD823" s="155"/>
      <c r="AE823" s="194"/>
    </row>
    <row r="824" spans="1:32" ht="36.75" hidden="1" customHeight="1" outlineLevel="1" x14ac:dyDescent="0.3">
      <c r="A824" s="400"/>
      <c r="B824" s="1082" t="s">
        <v>738</v>
      </c>
      <c r="C824" s="1083"/>
      <c r="D824" s="1083"/>
      <c r="E824" s="1083"/>
      <c r="F824" s="1084"/>
      <c r="G824" s="333">
        <f>SUM(G825:G833)</f>
        <v>3124.3900000000003</v>
      </c>
      <c r="H824" s="320"/>
      <c r="I824" s="320"/>
      <c r="J824" s="320"/>
      <c r="K824" s="321">
        <f>SUM(K825:K833)</f>
        <v>0</v>
      </c>
      <c r="L824" s="320"/>
      <c r="M824" s="320"/>
      <c r="N824" s="320"/>
      <c r="O824" s="321">
        <f>SUM(O825:O833)</f>
        <v>0</v>
      </c>
      <c r="P824" s="320"/>
      <c r="Q824" s="320"/>
      <c r="R824" s="320"/>
      <c r="S824" s="321">
        <f>SUM(S825:S833)</f>
        <v>15798</v>
      </c>
      <c r="T824" s="320"/>
      <c r="U824" s="322"/>
      <c r="V824" s="321">
        <f>SUM(V825:V833)</f>
        <v>0</v>
      </c>
      <c r="W824" s="320"/>
      <c r="X824" s="322"/>
      <c r="Y824" s="321">
        <f>SUM(Y825:Y833)</f>
        <v>6611.9359999999997</v>
      </c>
      <c r="Z824" s="322"/>
      <c r="AA824" s="322"/>
      <c r="AB824" s="322"/>
      <c r="AC824" s="322"/>
      <c r="AD824" s="322"/>
      <c r="AE824" s="325">
        <f>S824-Y824</f>
        <v>9186.0640000000003</v>
      </c>
      <c r="AF824" s="326">
        <f>AE824/S824</f>
        <v>0.58147005950120267</v>
      </c>
    </row>
    <row r="825" spans="1:32" ht="32.25" hidden="1" customHeight="1" outlineLevel="2" x14ac:dyDescent="0.35">
      <c r="A825" s="141"/>
      <c r="B825" s="386" t="s">
        <v>985</v>
      </c>
      <c r="C825" s="44" t="s">
        <v>40</v>
      </c>
      <c r="D825" s="234">
        <v>1</v>
      </c>
      <c r="E825" s="64"/>
      <c r="F825" s="265">
        <f t="shared" ref="F825:F831" si="518">ROUND(G825/D825,0)</f>
        <v>178</v>
      </c>
      <c r="G825" s="219">
        <v>178.48</v>
      </c>
      <c r="H825" s="272"/>
      <c r="I825" s="236"/>
      <c r="J825" s="265"/>
      <c r="K825" s="193"/>
      <c r="L825" s="272"/>
      <c r="M825" s="236"/>
      <c r="N825" s="265"/>
      <c r="O825" s="193"/>
      <c r="P825" s="274">
        <v>6.31</v>
      </c>
      <c r="Q825" s="236">
        <f t="shared" ref="Q825:Q831" si="519">D825-I825-M825</f>
        <v>1</v>
      </c>
      <c r="R825" s="265">
        <f t="shared" ref="R825:R831" si="520">ROUND(F825*P825*0.7958,0)</f>
        <v>894</v>
      </c>
      <c r="S825" s="193">
        <f t="shared" ref="S825:S831" si="521">ROUND(Q825*P825*F825*0.7958,0)</f>
        <v>894</v>
      </c>
      <c r="T825" s="230"/>
      <c r="U825" s="290"/>
      <c r="V825" s="200"/>
      <c r="W825" s="232">
        <f t="shared" ref="W825:W833" si="522">Q825</f>
        <v>1</v>
      </c>
      <c r="X825" s="290">
        <v>1248.8</v>
      </c>
      <c r="Y825" s="199">
        <f t="shared" ref="Y825:Y833" si="523">X825*D825</f>
        <v>1248.8</v>
      </c>
      <c r="Z825" s="153"/>
      <c r="AA825" s="147"/>
      <c r="AB825" s="101"/>
      <c r="AC825" s="226">
        <f>W825</f>
        <v>1</v>
      </c>
      <c r="AD825" s="302">
        <f>R825-X825</f>
        <v>-354.79999999999995</v>
      </c>
      <c r="AE825" s="202">
        <f>ROUND(AC825*AD825,0)</f>
        <v>-355</v>
      </c>
    </row>
    <row r="826" spans="1:32" ht="18.75" hidden="1" customHeight="1" outlineLevel="2" x14ac:dyDescent="0.35">
      <c r="A826" s="141"/>
      <c r="B826" s="386" t="s">
        <v>739</v>
      </c>
      <c r="C826" s="44" t="s">
        <v>5</v>
      </c>
      <c r="D826" s="234">
        <v>30</v>
      </c>
      <c r="E826" s="64"/>
      <c r="F826" s="265">
        <f t="shared" si="518"/>
        <v>23</v>
      </c>
      <c r="G826" s="219">
        <v>675.86</v>
      </c>
      <c r="H826" s="272"/>
      <c r="I826" s="236"/>
      <c r="J826" s="265"/>
      <c r="K826" s="193"/>
      <c r="L826" s="272"/>
      <c r="M826" s="236"/>
      <c r="N826" s="265"/>
      <c r="O826" s="193"/>
      <c r="P826" s="274">
        <v>6.31</v>
      </c>
      <c r="Q826" s="236">
        <f t="shared" si="519"/>
        <v>30</v>
      </c>
      <c r="R826" s="265">
        <f t="shared" si="520"/>
        <v>115</v>
      </c>
      <c r="S826" s="193">
        <f t="shared" si="521"/>
        <v>3465</v>
      </c>
      <c r="T826" s="230"/>
      <c r="U826" s="290"/>
      <c r="V826" s="200"/>
      <c r="W826" s="232">
        <f t="shared" si="522"/>
        <v>30</v>
      </c>
      <c r="X826" s="289">
        <v>15.2</v>
      </c>
      <c r="Y826" s="199">
        <f t="shared" si="523"/>
        <v>456</v>
      </c>
      <c r="Z826" s="153"/>
      <c r="AA826" s="147"/>
      <c r="AB826" s="101"/>
      <c r="AC826" s="226">
        <f t="shared" ref="AC826:AC833" si="524">W826</f>
        <v>30</v>
      </c>
      <c r="AD826" s="304">
        <f t="shared" ref="AD826:AD833" si="525">R826-X826</f>
        <v>99.8</v>
      </c>
      <c r="AE826" s="305">
        <f t="shared" ref="AE826:AE833" si="526">ROUND(AC826*AD826,0)</f>
        <v>2994</v>
      </c>
    </row>
    <row r="827" spans="1:32" ht="18.75" hidden="1" customHeight="1" outlineLevel="2" x14ac:dyDescent="0.35">
      <c r="A827" s="141"/>
      <c r="B827" s="386" t="s">
        <v>740</v>
      </c>
      <c r="C827" s="44" t="s">
        <v>5</v>
      </c>
      <c r="D827" s="234">
        <v>10</v>
      </c>
      <c r="E827" s="64"/>
      <c r="F827" s="265">
        <f t="shared" si="518"/>
        <v>86</v>
      </c>
      <c r="G827" s="219">
        <v>856.86</v>
      </c>
      <c r="H827" s="272"/>
      <c r="I827" s="236"/>
      <c r="J827" s="265"/>
      <c r="K827" s="193"/>
      <c r="L827" s="272"/>
      <c r="M827" s="236"/>
      <c r="N827" s="265"/>
      <c r="O827" s="193"/>
      <c r="P827" s="274">
        <v>6.31</v>
      </c>
      <c r="Q827" s="236">
        <f t="shared" si="519"/>
        <v>10</v>
      </c>
      <c r="R827" s="265">
        <f t="shared" si="520"/>
        <v>432</v>
      </c>
      <c r="S827" s="193">
        <f t="shared" si="521"/>
        <v>4318</v>
      </c>
      <c r="T827" s="230"/>
      <c r="U827" s="290"/>
      <c r="V827" s="200"/>
      <c r="W827" s="232">
        <f t="shared" si="522"/>
        <v>10</v>
      </c>
      <c r="X827" s="289">
        <v>21.2</v>
      </c>
      <c r="Y827" s="199">
        <f t="shared" si="523"/>
        <v>212</v>
      </c>
      <c r="Z827" s="153"/>
      <c r="AA827" s="147"/>
      <c r="AB827" s="101"/>
      <c r="AC827" s="226">
        <f t="shared" si="524"/>
        <v>10</v>
      </c>
      <c r="AD827" s="304">
        <f t="shared" si="525"/>
        <v>410.8</v>
      </c>
      <c r="AE827" s="305">
        <f t="shared" si="526"/>
        <v>4108</v>
      </c>
    </row>
    <row r="828" spans="1:32" ht="18.75" hidden="1" customHeight="1" outlineLevel="2" x14ac:dyDescent="0.35">
      <c r="A828" s="141"/>
      <c r="B828" s="386" t="s">
        <v>741</v>
      </c>
      <c r="C828" s="44" t="s">
        <v>5</v>
      </c>
      <c r="D828" s="234">
        <v>20</v>
      </c>
      <c r="E828" s="64"/>
      <c r="F828" s="265">
        <f t="shared" si="518"/>
        <v>16</v>
      </c>
      <c r="G828" s="219">
        <v>312.06</v>
      </c>
      <c r="H828" s="272"/>
      <c r="I828" s="236"/>
      <c r="J828" s="265"/>
      <c r="K828" s="193"/>
      <c r="L828" s="272"/>
      <c r="M828" s="236"/>
      <c r="N828" s="265"/>
      <c r="O828" s="193"/>
      <c r="P828" s="274">
        <v>6.31</v>
      </c>
      <c r="Q828" s="236">
        <f t="shared" si="519"/>
        <v>20</v>
      </c>
      <c r="R828" s="265">
        <f t="shared" si="520"/>
        <v>80</v>
      </c>
      <c r="S828" s="193">
        <f t="shared" si="521"/>
        <v>1607</v>
      </c>
      <c r="T828" s="230"/>
      <c r="U828" s="290"/>
      <c r="V828" s="200"/>
      <c r="W828" s="232">
        <f t="shared" si="522"/>
        <v>20</v>
      </c>
      <c r="X828" s="289">
        <v>61</v>
      </c>
      <c r="Y828" s="199">
        <f t="shared" si="523"/>
        <v>1220</v>
      </c>
      <c r="Z828" s="153"/>
      <c r="AA828" s="147"/>
      <c r="AB828" s="101"/>
      <c r="AC828" s="226">
        <f t="shared" si="524"/>
        <v>20</v>
      </c>
      <c r="AD828" s="304">
        <f t="shared" si="525"/>
        <v>19</v>
      </c>
      <c r="AE828" s="305">
        <f t="shared" si="526"/>
        <v>380</v>
      </c>
    </row>
    <row r="829" spans="1:32" ht="33.75" hidden="1" customHeight="1" outlineLevel="2" x14ac:dyDescent="0.35">
      <c r="A829" s="141"/>
      <c r="B829" s="386" t="s">
        <v>1336</v>
      </c>
      <c r="C829" s="44" t="s">
        <v>5</v>
      </c>
      <c r="D829" s="234">
        <v>20</v>
      </c>
      <c r="E829" s="64"/>
      <c r="F829" s="265">
        <f t="shared" si="518"/>
        <v>33</v>
      </c>
      <c r="G829" s="219">
        <v>667.4</v>
      </c>
      <c r="H829" s="272"/>
      <c r="I829" s="236"/>
      <c r="J829" s="265"/>
      <c r="K829" s="193"/>
      <c r="L829" s="272"/>
      <c r="M829" s="236"/>
      <c r="N829" s="265"/>
      <c r="O829" s="193"/>
      <c r="P829" s="274">
        <v>6.31</v>
      </c>
      <c r="Q829" s="236">
        <f t="shared" si="519"/>
        <v>20</v>
      </c>
      <c r="R829" s="265">
        <f t="shared" si="520"/>
        <v>166</v>
      </c>
      <c r="S829" s="193">
        <f t="shared" si="521"/>
        <v>3314</v>
      </c>
      <c r="T829" s="230"/>
      <c r="U829" s="290"/>
      <c r="V829" s="200"/>
      <c r="W829" s="232">
        <f t="shared" si="522"/>
        <v>20</v>
      </c>
      <c r="X829" s="290">
        <v>39.4</v>
      </c>
      <c r="Y829" s="199">
        <f t="shared" si="523"/>
        <v>788</v>
      </c>
      <c r="Z829" s="153"/>
      <c r="AA829" s="147"/>
      <c r="AB829" s="101"/>
      <c r="AC829" s="226">
        <f t="shared" si="524"/>
        <v>20</v>
      </c>
      <c r="AD829" s="304">
        <f t="shared" si="525"/>
        <v>126.6</v>
      </c>
      <c r="AE829" s="305">
        <f t="shared" si="526"/>
        <v>2532</v>
      </c>
    </row>
    <row r="830" spans="1:32" ht="18.75" hidden="1" customHeight="1" outlineLevel="2" x14ac:dyDescent="0.35">
      <c r="A830" s="141"/>
      <c r="B830" s="386" t="s">
        <v>986</v>
      </c>
      <c r="C830" s="44" t="s">
        <v>40</v>
      </c>
      <c r="D830" s="234">
        <v>1</v>
      </c>
      <c r="E830" s="64"/>
      <c r="F830" s="265">
        <f t="shared" si="518"/>
        <v>328</v>
      </c>
      <c r="G830" s="219">
        <v>327.97</v>
      </c>
      <c r="H830" s="272"/>
      <c r="I830" s="236"/>
      <c r="J830" s="265"/>
      <c r="K830" s="193"/>
      <c r="L830" s="272"/>
      <c r="M830" s="236"/>
      <c r="N830" s="265"/>
      <c r="O830" s="193"/>
      <c r="P830" s="274">
        <v>6.31</v>
      </c>
      <c r="Q830" s="236">
        <f t="shared" si="519"/>
        <v>1</v>
      </c>
      <c r="R830" s="265">
        <f t="shared" si="520"/>
        <v>1647</v>
      </c>
      <c r="S830" s="193">
        <f t="shared" si="521"/>
        <v>1647</v>
      </c>
      <c r="T830" s="230"/>
      <c r="U830" s="290"/>
      <c r="V830" s="200"/>
      <c r="W830" s="232">
        <f t="shared" si="522"/>
        <v>1</v>
      </c>
      <c r="X830" s="290">
        <v>2369.6</v>
      </c>
      <c r="Y830" s="199">
        <f t="shared" si="523"/>
        <v>2369.6</v>
      </c>
      <c r="Z830" s="153"/>
      <c r="AA830" s="147"/>
      <c r="AB830" s="101"/>
      <c r="AC830" s="226">
        <f t="shared" si="524"/>
        <v>1</v>
      </c>
      <c r="AD830" s="302">
        <f t="shared" si="525"/>
        <v>-722.59999999999991</v>
      </c>
      <c r="AE830" s="202">
        <f t="shared" si="526"/>
        <v>-723</v>
      </c>
    </row>
    <row r="831" spans="1:32" ht="18.75" hidden="1" customHeight="1" outlineLevel="2" x14ac:dyDescent="0.35">
      <c r="B831" s="386" t="s">
        <v>426</v>
      </c>
      <c r="C831" s="44" t="s">
        <v>40</v>
      </c>
      <c r="D831" s="234">
        <v>20</v>
      </c>
      <c r="E831" s="64"/>
      <c r="F831" s="265">
        <f t="shared" si="518"/>
        <v>2</v>
      </c>
      <c r="G831" s="219">
        <v>40.799999999999997</v>
      </c>
      <c r="H831" s="272"/>
      <c r="I831" s="236"/>
      <c r="J831" s="265"/>
      <c r="K831" s="193"/>
      <c r="L831" s="272"/>
      <c r="M831" s="236"/>
      <c r="N831" s="265"/>
      <c r="O831" s="193"/>
      <c r="P831" s="274">
        <v>6.31</v>
      </c>
      <c r="Q831" s="236">
        <f t="shared" si="519"/>
        <v>20</v>
      </c>
      <c r="R831" s="265">
        <f t="shared" si="520"/>
        <v>10</v>
      </c>
      <c r="S831" s="193">
        <f t="shared" si="521"/>
        <v>201</v>
      </c>
      <c r="T831" s="230"/>
      <c r="U831" s="290"/>
      <c r="V831" s="200"/>
      <c r="W831" s="232">
        <f t="shared" si="522"/>
        <v>20</v>
      </c>
      <c r="X831" s="290">
        <v>3.9</v>
      </c>
      <c r="Y831" s="199">
        <f t="shared" si="523"/>
        <v>78</v>
      </c>
      <c r="Z831" s="153"/>
      <c r="AA831" s="147"/>
      <c r="AB831" s="101"/>
      <c r="AC831" s="226">
        <f t="shared" si="524"/>
        <v>20</v>
      </c>
      <c r="AD831" s="304">
        <f t="shared" si="525"/>
        <v>6.1</v>
      </c>
      <c r="AE831" s="305">
        <f t="shared" si="526"/>
        <v>122</v>
      </c>
    </row>
    <row r="832" spans="1:32" ht="18.75" hidden="1" customHeight="1" outlineLevel="2" x14ac:dyDescent="0.35">
      <c r="B832" s="386" t="s">
        <v>427</v>
      </c>
      <c r="C832" s="44" t="s">
        <v>16</v>
      </c>
      <c r="D832" s="234">
        <v>0.56299999999999994</v>
      </c>
      <c r="E832" s="64"/>
      <c r="F832" s="265">
        <f t="shared" ref="F832:F859" si="527">ROUND(G832/D832,0)</f>
        <v>71</v>
      </c>
      <c r="G832" s="219">
        <v>40.14</v>
      </c>
      <c r="H832" s="272"/>
      <c r="I832" s="236"/>
      <c r="J832" s="265"/>
      <c r="K832" s="193"/>
      <c r="L832" s="272"/>
      <c r="M832" s="236"/>
      <c r="N832" s="265"/>
      <c r="O832" s="193"/>
      <c r="P832" s="274">
        <v>6.31</v>
      </c>
      <c r="Q832" s="236">
        <f t="shared" ref="Q832:Q859" si="528">D832-I832-M832</f>
        <v>0.56299999999999994</v>
      </c>
      <c r="R832" s="265">
        <f t="shared" ref="R832:R859" si="529">ROUND(F832*P832*0.7958,0)</f>
        <v>357</v>
      </c>
      <c r="S832" s="193">
        <f t="shared" ref="S832:S859" si="530">ROUND(Q832*P832*F832*0.7958,0)</f>
        <v>201</v>
      </c>
      <c r="T832" s="230"/>
      <c r="U832" s="290"/>
      <c r="V832" s="200"/>
      <c r="W832" s="232">
        <f t="shared" si="522"/>
        <v>0.56299999999999994</v>
      </c>
      <c r="X832" s="289">
        <v>272</v>
      </c>
      <c r="Y832" s="199">
        <f t="shared" si="523"/>
        <v>153.136</v>
      </c>
      <c r="Z832" s="153"/>
      <c r="AA832" s="147"/>
      <c r="AB832" s="101"/>
      <c r="AC832" s="226">
        <f t="shared" si="524"/>
        <v>0.56299999999999994</v>
      </c>
      <c r="AD832" s="304">
        <f t="shared" si="525"/>
        <v>85</v>
      </c>
      <c r="AE832" s="305">
        <f t="shared" si="526"/>
        <v>48</v>
      </c>
    </row>
    <row r="833" spans="1:32" ht="36" hidden="1" customHeight="1" outlineLevel="2" x14ac:dyDescent="0.35">
      <c r="A833" s="141"/>
      <c r="B833" s="386" t="s">
        <v>742</v>
      </c>
      <c r="C833" s="44" t="s">
        <v>5</v>
      </c>
      <c r="D833" s="234">
        <v>30</v>
      </c>
      <c r="E833" s="64"/>
      <c r="F833" s="265">
        <f t="shared" si="527"/>
        <v>1</v>
      </c>
      <c r="G833" s="219">
        <v>24.82</v>
      </c>
      <c r="H833" s="272"/>
      <c r="I833" s="236"/>
      <c r="J833" s="265"/>
      <c r="K833" s="193"/>
      <c r="L833" s="272"/>
      <c r="M833" s="236"/>
      <c r="N833" s="265"/>
      <c r="O833" s="193"/>
      <c r="P833" s="274">
        <v>6.31</v>
      </c>
      <c r="Q833" s="236">
        <f t="shared" si="528"/>
        <v>30</v>
      </c>
      <c r="R833" s="265">
        <f t="shared" si="529"/>
        <v>5</v>
      </c>
      <c r="S833" s="193">
        <f t="shared" si="530"/>
        <v>151</v>
      </c>
      <c r="T833" s="230"/>
      <c r="U833" s="290"/>
      <c r="V833" s="200"/>
      <c r="W833" s="232">
        <f t="shared" si="522"/>
        <v>30</v>
      </c>
      <c r="X833" s="290">
        <v>2.88</v>
      </c>
      <c r="Y833" s="199">
        <f t="shared" si="523"/>
        <v>86.399999999999991</v>
      </c>
      <c r="Z833" s="153"/>
      <c r="AA833" s="147"/>
      <c r="AB833" s="101"/>
      <c r="AC833" s="226">
        <f t="shared" si="524"/>
        <v>30</v>
      </c>
      <c r="AD833" s="304">
        <f t="shared" si="525"/>
        <v>2.12</v>
      </c>
      <c r="AE833" s="305">
        <f t="shared" si="526"/>
        <v>64</v>
      </c>
    </row>
    <row r="834" spans="1:32" s="95" customFormat="1" hidden="1" outlineLevel="1" x14ac:dyDescent="0.3">
      <c r="A834" s="98"/>
      <c r="B834" s="160"/>
      <c r="C834" s="107"/>
      <c r="D834" s="253"/>
      <c r="E834" s="98"/>
      <c r="F834" s="154"/>
      <c r="G834" s="214"/>
      <c r="H834" s="154"/>
      <c r="I834" s="231"/>
      <c r="J834" s="154"/>
      <c r="K834" s="194"/>
      <c r="L834" s="154"/>
      <c r="M834" s="231"/>
      <c r="N834" s="154"/>
      <c r="O834" s="194"/>
      <c r="P834" s="154"/>
      <c r="Q834" s="231"/>
      <c r="R834" s="286"/>
      <c r="S834" s="194"/>
      <c r="T834" s="231"/>
      <c r="U834" s="155"/>
      <c r="V834" s="194"/>
      <c r="W834" s="231"/>
      <c r="X834" s="155"/>
      <c r="Y834" s="194"/>
      <c r="Z834" s="157"/>
      <c r="AA834" s="156"/>
      <c r="AB834" s="156"/>
      <c r="AC834" s="194"/>
      <c r="AD834" s="155"/>
      <c r="AE834" s="194"/>
    </row>
    <row r="835" spans="1:32" ht="27.75" hidden="1" customHeight="1" outlineLevel="1" x14ac:dyDescent="0.3">
      <c r="A835" s="400"/>
      <c r="B835" s="1082" t="s">
        <v>743</v>
      </c>
      <c r="C835" s="1083"/>
      <c r="D835" s="1083"/>
      <c r="E835" s="1083"/>
      <c r="F835" s="1084"/>
      <c r="G835" s="333">
        <f>SUM(G836:G859)</f>
        <v>322271.03000000003</v>
      </c>
      <c r="H835" s="320"/>
      <c r="I835" s="320"/>
      <c r="J835" s="320"/>
      <c r="K835" s="321">
        <f>SUM(K836:K859)</f>
        <v>0</v>
      </c>
      <c r="L835" s="320"/>
      <c r="M835" s="320"/>
      <c r="N835" s="320"/>
      <c r="O835" s="321">
        <f>SUM(O836:O859)</f>
        <v>0</v>
      </c>
      <c r="P835" s="320"/>
      <c r="Q835" s="320"/>
      <c r="R835" s="320"/>
      <c r="S835" s="336">
        <f>SUM(S836:S859)</f>
        <v>1619290</v>
      </c>
      <c r="T835" s="320"/>
      <c r="U835" s="322"/>
      <c r="V835" s="321">
        <f>SUM(V836:V859)</f>
        <v>0</v>
      </c>
      <c r="W835" s="320"/>
      <c r="X835" s="322"/>
      <c r="Y835" s="321">
        <f>SUM(Y836:Y859)</f>
        <v>940147.848</v>
      </c>
      <c r="Z835" s="322"/>
      <c r="AA835" s="322"/>
      <c r="AB835" s="322"/>
      <c r="AC835" s="322"/>
      <c r="AD835" s="322"/>
      <c r="AE835" s="325">
        <f>S835-Y835</f>
        <v>679142.152</v>
      </c>
      <c r="AF835" s="326">
        <f>AE835/S835</f>
        <v>0.41940736495624625</v>
      </c>
    </row>
    <row r="836" spans="1:32" ht="18.75" hidden="1" customHeight="1" outlineLevel="3" x14ac:dyDescent="0.35">
      <c r="B836" s="386" t="s">
        <v>744</v>
      </c>
      <c r="C836" s="44" t="s">
        <v>40</v>
      </c>
      <c r="D836" s="234">
        <v>75.48</v>
      </c>
      <c r="E836" s="64"/>
      <c r="F836" s="265">
        <f t="shared" si="527"/>
        <v>4</v>
      </c>
      <c r="G836" s="219">
        <v>265.69</v>
      </c>
      <c r="H836" s="272"/>
      <c r="I836" s="236"/>
      <c r="J836" s="265"/>
      <c r="K836" s="193"/>
      <c r="L836" s="272"/>
      <c r="M836" s="236"/>
      <c r="N836" s="265"/>
      <c r="O836" s="193"/>
      <c r="P836" s="274">
        <v>6.31</v>
      </c>
      <c r="Q836" s="236">
        <f t="shared" si="528"/>
        <v>75.48</v>
      </c>
      <c r="R836" s="265">
        <f t="shared" si="529"/>
        <v>20</v>
      </c>
      <c r="S836" s="193">
        <f t="shared" si="530"/>
        <v>1516</v>
      </c>
      <c r="T836" s="230"/>
      <c r="U836" s="290"/>
      <c r="V836" s="200"/>
      <c r="W836" s="232">
        <f t="shared" ref="W836:W859" si="531">Q836</f>
        <v>75.48</v>
      </c>
      <c r="X836" s="290">
        <v>75.599999999999994</v>
      </c>
      <c r="Y836" s="199">
        <f t="shared" ref="Y836:Y859" si="532">X836*D836</f>
        <v>5706.2879999999996</v>
      </c>
      <c r="Z836" s="153"/>
      <c r="AA836" s="147"/>
      <c r="AB836" s="101"/>
      <c r="AC836" s="226">
        <f>W836</f>
        <v>75.48</v>
      </c>
      <c r="AD836" s="302">
        <f>R836-X836</f>
        <v>-55.599999999999994</v>
      </c>
      <c r="AE836" s="202">
        <f>ROUND(AC836*AD836,0)</f>
        <v>-4197</v>
      </c>
    </row>
    <row r="837" spans="1:32" ht="18.75" hidden="1" customHeight="1" outlineLevel="3" x14ac:dyDescent="0.35">
      <c r="B837" s="386" t="s">
        <v>745</v>
      </c>
      <c r="C837" s="44" t="s">
        <v>5</v>
      </c>
      <c r="D837" s="234">
        <v>50</v>
      </c>
      <c r="E837" s="64"/>
      <c r="F837" s="265">
        <f t="shared" si="527"/>
        <v>20</v>
      </c>
      <c r="G837" s="219">
        <v>985.68</v>
      </c>
      <c r="H837" s="272"/>
      <c r="I837" s="236"/>
      <c r="J837" s="265"/>
      <c r="K837" s="193"/>
      <c r="L837" s="272"/>
      <c r="M837" s="236"/>
      <c r="N837" s="265"/>
      <c r="O837" s="193"/>
      <c r="P837" s="274">
        <v>6.31</v>
      </c>
      <c r="Q837" s="236">
        <f t="shared" si="528"/>
        <v>50</v>
      </c>
      <c r="R837" s="265">
        <f t="shared" si="529"/>
        <v>100</v>
      </c>
      <c r="S837" s="193">
        <f t="shared" si="530"/>
        <v>5021</v>
      </c>
      <c r="T837" s="230"/>
      <c r="U837" s="290"/>
      <c r="V837" s="200"/>
      <c r="W837" s="232">
        <f t="shared" si="531"/>
        <v>50</v>
      </c>
      <c r="X837" s="290">
        <v>50.24</v>
      </c>
      <c r="Y837" s="199">
        <f t="shared" si="532"/>
        <v>2512</v>
      </c>
      <c r="Z837" s="153"/>
      <c r="AA837" s="147"/>
      <c r="AB837" s="101"/>
      <c r="AC837" s="226">
        <f t="shared" ref="AC837:AC859" si="533">W837</f>
        <v>50</v>
      </c>
      <c r="AD837" s="304">
        <f t="shared" ref="AD837:AD859" si="534">R837-X837</f>
        <v>49.76</v>
      </c>
      <c r="AE837" s="305">
        <f t="shared" ref="AE837:AE859" si="535">ROUND(AC837*AD837,0)</f>
        <v>2488</v>
      </c>
    </row>
    <row r="838" spans="1:32" ht="18.75" hidden="1" customHeight="1" outlineLevel="3" x14ac:dyDescent="0.35">
      <c r="B838" s="386" t="s">
        <v>746</v>
      </c>
      <c r="C838" s="44" t="s">
        <v>5</v>
      </c>
      <c r="D838" s="234">
        <v>1510</v>
      </c>
      <c r="E838" s="64"/>
      <c r="F838" s="265">
        <f t="shared" si="527"/>
        <v>123</v>
      </c>
      <c r="G838" s="219">
        <v>185195.25</v>
      </c>
      <c r="H838" s="272"/>
      <c r="I838" s="236"/>
      <c r="J838" s="265"/>
      <c r="K838" s="193"/>
      <c r="L838" s="272"/>
      <c r="M838" s="236"/>
      <c r="N838" s="265"/>
      <c r="O838" s="193"/>
      <c r="P838" s="274">
        <v>6.31</v>
      </c>
      <c r="Q838" s="236">
        <f t="shared" si="528"/>
        <v>1510</v>
      </c>
      <c r="R838" s="265">
        <f t="shared" si="529"/>
        <v>618</v>
      </c>
      <c r="S838" s="193">
        <f t="shared" si="530"/>
        <v>932643</v>
      </c>
      <c r="T838" s="230"/>
      <c r="U838" s="290"/>
      <c r="V838" s="200"/>
      <c r="W838" s="232">
        <f t="shared" si="531"/>
        <v>1510</v>
      </c>
      <c r="X838" s="290">
        <v>184.55</v>
      </c>
      <c r="Y838" s="199">
        <f t="shared" si="532"/>
        <v>278670.5</v>
      </c>
      <c r="Z838" s="153"/>
      <c r="AA838" s="147"/>
      <c r="AB838" s="101"/>
      <c r="AC838" s="226">
        <f t="shared" si="533"/>
        <v>1510</v>
      </c>
      <c r="AD838" s="304">
        <f t="shared" si="534"/>
        <v>433.45</v>
      </c>
      <c r="AE838" s="305">
        <f t="shared" si="535"/>
        <v>654510</v>
      </c>
    </row>
    <row r="839" spans="1:32" ht="18.75" hidden="1" customHeight="1" outlineLevel="3" x14ac:dyDescent="0.35">
      <c r="B839" s="386" t="s">
        <v>747</v>
      </c>
      <c r="C839" s="44" t="s">
        <v>5</v>
      </c>
      <c r="D839" s="234">
        <v>440</v>
      </c>
      <c r="E839" s="64"/>
      <c r="F839" s="265">
        <f t="shared" si="527"/>
        <v>92</v>
      </c>
      <c r="G839" s="219">
        <v>40316.800000000003</v>
      </c>
      <c r="H839" s="272"/>
      <c r="I839" s="236"/>
      <c r="J839" s="265"/>
      <c r="K839" s="193"/>
      <c r="L839" s="272"/>
      <c r="M839" s="236"/>
      <c r="N839" s="265"/>
      <c r="O839" s="193"/>
      <c r="P839" s="274">
        <v>6.31</v>
      </c>
      <c r="Q839" s="236">
        <f t="shared" si="528"/>
        <v>440</v>
      </c>
      <c r="R839" s="265">
        <f t="shared" si="529"/>
        <v>462</v>
      </c>
      <c r="S839" s="193">
        <f t="shared" si="530"/>
        <v>203270</v>
      </c>
      <c r="T839" s="230"/>
      <c r="U839" s="290"/>
      <c r="V839" s="200"/>
      <c r="W839" s="232">
        <f t="shared" si="531"/>
        <v>440</v>
      </c>
      <c r="X839" s="289">
        <v>497</v>
      </c>
      <c r="Y839" s="199">
        <f t="shared" si="532"/>
        <v>218680</v>
      </c>
      <c r="Z839" s="153"/>
      <c r="AA839" s="147"/>
      <c r="AB839" s="101"/>
      <c r="AC839" s="226">
        <f t="shared" si="533"/>
        <v>440</v>
      </c>
      <c r="AD839" s="302">
        <f t="shared" si="534"/>
        <v>-35</v>
      </c>
      <c r="AE839" s="202">
        <f t="shared" si="535"/>
        <v>-15400</v>
      </c>
    </row>
    <row r="840" spans="1:32" ht="18.75" hidden="1" customHeight="1" outlineLevel="3" x14ac:dyDescent="0.35">
      <c r="B840" s="386" t="s">
        <v>748</v>
      </c>
      <c r="C840" s="44" t="s">
        <v>5</v>
      </c>
      <c r="D840" s="234">
        <v>230</v>
      </c>
      <c r="E840" s="64"/>
      <c r="F840" s="265">
        <f t="shared" si="527"/>
        <v>16</v>
      </c>
      <c r="G840" s="219">
        <v>3691.89</v>
      </c>
      <c r="H840" s="272"/>
      <c r="I840" s="236"/>
      <c r="J840" s="265"/>
      <c r="K840" s="193"/>
      <c r="L840" s="272"/>
      <c r="M840" s="236"/>
      <c r="N840" s="265"/>
      <c r="O840" s="193"/>
      <c r="P840" s="274">
        <v>6.31</v>
      </c>
      <c r="Q840" s="236">
        <f t="shared" si="528"/>
        <v>230</v>
      </c>
      <c r="R840" s="265">
        <f t="shared" si="529"/>
        <v>80</v>
      </c>
      <c r="S840" s="193">
        <f t="shared" si="530"/>
        <v>18479</v>
      </c>
      <c r="T840" s="230"/>
      <c r="U840" s="290"/>
      <c r="V840" s="200"/>
      <c r="W840" s="232">
        <f t="shared" si="531"/>
        <v>230</v>
      </c>
      <c r="X840" s="290">
        <v>55.77</v>
      </c>
      <c r="Y840" s="199">
        <f t="shared" si="532"/>
        <v>12827.1</v>
      </c>
      <c r="Z840" s="153"/>
      <c r="AA840" s="147"/>
      <c r="AB840" s="101"/>
      <c r="AC840" s="226">
        <f t="shared" si="533"/>
        <v>230</v>
      </c>
      <c r="AD840" s="304">
        <f t="shared" si="534"/>
        <v>24.229999999999997</v>
      </c>
      <c r="AE840" s="305">
        <f t="shared" si="535"/>
        <v>5573</v>
      </c>
    </row>
    <row r="841" spans="1:32" ht="18.75" hidden="1" customHeight="1" outlineLevel="3" x14ac:dyDescent="0.35">
      <c r="B841" s="386" t="s">
        <v>749</v>
      </c>
      <c r="C841" s="44" t="s">
        <v>5</v>
      </c>
      <c r="D841" s="234">
        <v>1800</v>
      </c>
      <c r="E841" s="64"/>
      <c r="F841" s="265">
        <f t="shared" si="527"/>
        <v>23</v>
      </c>
      <c r="G841" s="219">
        <v>41002.04</v>
      </c>
      <c r="H841" s="272"/>
      <c r="I841" s="236"/>
      <c r="J841" s="265"/>
      <c r="K841" s="193"/>
      <c r="L841" s="272"/>
      <c r="M841" s="236"/>
      <c r="N841" s="265"/>
      <c r="O841" s="193"/>
      <c r="P841" s="274">
        <v>6.31</v>
      </c>
      <c r="Q841" s="236">
        <f t="shared" si="528"/>
        <v>1800</v>
      </c>
      <c r="R841" s="265">
        <f t="shared" si="529"/>
        <v>115</v>
      </c>
      <c r="S841" s="193">
        <f t="shared" si="530"/>
        <v>207890</v>
      </c>
      <c r="T841" s="230"/>
      <c r="U841" s="290"/>
      <c r="V841" s="200"/>
      <c r="W841" s="232">
        <f t="shared" si="531"/>
        <v>1800</v>
      </c>
      <c r="X841" s="290">
        <v>96.6</v>
      </c>
      <c r="Y841" s="199">
        <f t="shared" si="532"/>
        <v>173880</v>
      </c>
      <c r="Z841" s="153"/>
      <c r="AA841" s="147"/>
      <c r="AB841" s="101"/>
      <c r="AC841" s="226">
        <f t="shared" si="533"/>
        <v>1800</v>
      </c>
      <c r="AD841" s="304">
        <f t="shared" si="534"/>
        <v>18.400000000000006</v>
      </c>
      <c r="AE841" s="305">
        <f t="shared" si="535"/>
        <v>33120</v>
      </c>
    </row>
    <row r="842" spans="1:32" ht="18.75" hidden="1" customHeight="1" outlineLevel="3" x14ac:dyDescent="0.35">
      <c r="B842" s="386" t="s">
        <v>750</v>
      </c>
      <c r="C842" s="44" t="s">
        <v>5</v>
      </c>
      <c r="D842" s="234">
        <v>530</v>
      </c>
      <c r="E842" s="64"/>
      <c r="F842" s="265">
        <f t="shared" si="527"/>
        <v>31</v>
      </c>
      <c r="G842" s="219">
        <v>16629.61</v>
      </c>
      <c r="H842" s="272"/>
      <c r="I842" s="236"/>
      <c r="J842" s="265"/>
      <c r="K842" s="193"/>
      <c r="L842" s="272"/>
      <c r="M842" s="236"/>
      <c r="N842" s="265"/>
      <c r="O842" s="193"/>
      <c r="P842" s="274">
        <v>6.31</v>
      </c>
      <c r="Q842" s="236">
        <f t="shared" si="528"/>
        <v>530</v>
      </c>
      <c r="R842" s="265">
        <f t="shared" si="529"/>
        <v>156</v>
      </c>
      <c r="S842" s="193">
        <f t="shared" si="530"/>
        <v>82503</v>
      </c>
      <c r="T842" s="230"/>
      <c r="U842" s="290"/>
      <c r="V842" s="200"/>
      <c r="W842" s="232">
        <f t="shared" si="531"/>
        <v>530</v>
      </c>
      <c r="X842" s="290">
        <v>144.05000000000001</v>
      </c>
      <c r="Y842" s="199">
        <f t="shared" si="532"/>
        <v>76346.5</v>
      </c>
      <c r="Z842" s="153"/>
      <c r="AA842" s="147"/>
      <c r="AB842" s="101"/>
      <c r="AC842" s="226">
        <f t="shared" si="533"/>
        <v>530</v>
      </c>
      <c r="AD842" s="304">
        <f t="shared" si="534"/>
        <v>11.949999999999989</v>
      </c>
      <c r="AE842" s="305">
        <f t="shared" si="535"/>
        <v>6333</v>
      </c>
    </row>
    <row r="843" spans="1:32" ht="18.75" hidden="1" customHeight="1" outlineLevel="3" x14ac:dyDescent="0.35">
      <c r="B843" s="386" t="s">
        <v>751</v>
      </c>
      <c r="C843" s="44" t="s">
        <v>5</v>
      </c>
      <c r="D843" s="234">
        <v>530</v>
      </c>
      <c r="E843" s="64"/>
      <c r="F843" s="265">
        <f t="shared" si="527"/>
        <v>41</v>
      </c>
      <c r="G843" s="219">
        <v>21948.65</v>
      </c>
      <c r="H843" s="272"/>
      <c r="I843" s="236"/>
      <c r="J843" s="265"/>
      <c r="K843" s="193"/>
      <c r="L843" s="272"/>
      <c r="M843" s="236"/>
      <c r="N843" s="265"/>
      <c r="O843" s="193"/>
      <c r="P843" s="274">
        <v>6.31</v>
      </c>
      <c r="Q843" s="236">
        <f t="shared" si="528"/>
        <v>530</v>
      </c>
      <c r="R843" s="265">
        <f t="shared" si="529"/>
        <v>206</v>
      </c>
      <c r="S843" s="193">
        <f t="shared" si="530"/>
        <v>109117</v>
      </c>
      <c r="T843" s="230"/>
      <c r="U843" s="290"/>
      <c r="V843" s="200"/>
      <c r="W843" s="232">
        <f t="shared" si="531"/>
        <v>530</v>
      </c>
      <c r="X843" s="290">
        <v>203.84</v>
      </c>
      <c r="Y843" s="199">
        <f t="shared" si="532"/>
        <v>108035.2</v>
      </c>
      <c r="Z843" s="153"/>
      <c r="AA843" s="147"/>
      <c r="AB843" s="101"/>
      <c r="AC843" s="226">
        <f t="shared" si="533"/>
        <v>530</v>
      </c>
      <c r="AD843" s="304">
        <f t="shared" si="534"/>
        <v>2.1599999999999966</v>
      </c>
      <c r="AE843" s="305">
        <f t="shared" si="535"/>
        <v>1145</v>
      </c>
    </row>
    <row r="844" spans="1:32" ht="30" hidden="1" customHeight="1" outlineLevel="3" x14ac:dyDescent="0.35">
      <c r="B844" s="386" t="s">
        <v>752</v>
      </c>
      <c r="C844" s="44" t="s">
        <v>5</v>
      </c>
      <c r="D844" s="234">
        <v>70</v>
      </c>
      <c r="E844" s="64"/>
      <c r="F844" s="265">
        <f t="shared" si="527"/>
        <v>4</v>
      </c>
      <c r="G844" s="219">
        <v>299.89999999999998</v>
      </c>
      <c r="H844" s="272"/>
      <c r="I844" s="236"/>
      <c r="J844" s="265"/>
      <c r="K844" s="193"/>
      <c r="L844" s="272"/>
      <c r="M844" s="236"/>
      <c r="N844" s="265"/>
      <c r="O844" s="193"/>
      <c r="P844" s="274">
        <v>6.31</v>
      </c>
      <c r="Q844" s="236">
        <f t="shared" si="528"/>
        <v>70</v>
      </c>
      <c r="R844" s="265">
        <f t="shared" si="529"/>
        <v>20</v>
      </c>
      <c r="S844" s="193">
        <f t="shared" si="530"/>
        <v>1406</v>
      </c>
      <c r="T844" s="230"/>
      <c r="U844" s="290"/>
      <c r="V844" s="200"/>
      <c r="W844" s="232">
        <f t="shared" si="531"/>
        <v>70</v>
      </c>
      <c r="X844" s="289">
        <v>44</v>
      </c>
      <c r="Y844" s="199">
        <f t="shared" si="532"/>
        <v>3080</v>
      </c>
      <c r="Z844" s="153"/>
      <c r="AA844" s="147"/>
      <c r="AB844" s="101"/>
      <c r="AC844" s="226">
        <f t="shared" si="533"/>
        <v>70</v>
      </c>
      <c r="AD844" s="302">
        <f t="shared" si="534"/>
        <v>-24</v>
      </c>
      <c r="AE844" s="202">
        <f t="shared" si="535"/>
        <v>-1680</v>
      </c>
    </row>
    <row r="845" spans="1:32" ht="35.25" hidden="1" customHeight="1" outlineLevel="3" x14ac:dyDescent="0.35">
      <c r="B845" s="386" t="s">
        <v>1182</v>
      </c>
      <c r="C845" s="44" t="s">
        <v>5</v>
      </c>
      <c r="D845" s="234">
        <v>200</v>
      </c>
      <c r="E845" s="64"/>
      <c r="F845" s="265">
        <f t="shared" si="527"/>
        <v>19</v>
      </c>
      <c r="G845" s="219">
        <v>3881.45</v>
      </c>
      <c r="H845" s="272"/>
      <c r="I845" s="236"/>
      <c r="J845" s="265"/>
      <c r="K845" s="193"/>
      <c r="L845" s="272"/>
      <c r="M845" s="236"/>
      <c r="N845" s="265"/>
      <c r="O845" s="193"/>
      <c r="P845" s="274">
        <v>6.31</v>
      </c>
      <c r="Q845" s="236">
        <f t="shared" si="528"/>
        <v>200</v>
      </c>
      <c r="R845" s="265">
        <f t="shared" si="529"/>
        <v>95</v>
      </c>
      <c r="S845" s="193">
        <f t="shared" si="530"/>
        <v>19082</v>
      </c>
      <c r="T845" s="230"/>
      <c r="U845" s="290"/>
      <c r="V845" s="200"/>
      <c r="W845" s="232">
        <f t="shared" si="531"/>
        <v>200</v>
      </c>
      <c r="X845" s="290">
        <v>56.8</v>
      </c>
      <c r="Y845" s="199">
        <f t="shared" si="532"/>
        <v>11360</v>
      </c>
      <c r="Z845" s="153"/>
      <c r="AA845" s="147"/>
      <c r="AB845" s="101"/>
      <c r="AC845" s="226">
        <f t="shared" si="533"/>
        <v>200</v>
      </c>
      <c r="AD845" s="304">
        <f t="shared" si="534"/>
        <v>38.200000000000003</v>
      </c>
      <c r="AE845" s="305">
        <f t="shared" si="535"/>
        <v>7640</v>
      </c>
    </row>
    <row r="846" spans="1:32" ht="18.75" hidden="1" customHeight="1" outlineLevel="3" x14ac:dyDescent="0.35">
      <c r="B846" s="386" t="s">
        <v>1181</v>
      </c>
      <c r="C846" s="44" t="s">
        <v>5</v>
      </c>
      <c r="D846" s="234">
        <v>70</v>
      </c>
      <c r="E846" s="64"/>
      <c r="F846" s="265">
        <f t="shared" si="527"/>
        <v>12</v>
      </c>
      <c r="G846" s="219">
        <v>807.7</v>
      </c>
      <c r="H846" s="272"/>
      <c r="I846" s="236"/>
      <c r="J846" s="265"/>
      <c r="K846" s="193"/>
      <c r="L846" s="272"/>
      <c r="M846" s="236"/>
      <c r="N846" s="265"/>
      <c r="O846" s="193"/>
      <c r="P846" s="274">
        <v>6.31</v>
      </c>
      <c r="Q846" s="236">
        <f t="shared" si="528"/>
        <v>70</v>
      </c>
      <c r="R846" s="265">
        <f t="shared" si="529"/>
        <v>60</v>
      </c>
      <c r="S846" s="193">
        <f t="shared" si="530"/>
        <v>4218</v>
      </c>
      <c r="T846" s="230"/>
      <c r="U846" s="290"/>
      <c r="V846" s="200"/>
      <c r="W846" s="232">
        <f t="shared" si="531"/>
        <v>70</v>
      </c>
      <c r="X846" s="289">
        <v>40</v>
      </c>
      <c r="Y846" s="199">
        <f t="shared" si="532"/>
        <v>2800</v>
      </c>
      <c r="Z846" s="153"/>
      <c r="AA846" s="147"/>
      <c r="AB846" s="101"/>
      <c r="AC846" s="226">
        <f t="shared" si="533"/>
        <v>70</v>
      </c>
      <c r="AD846" s="304">
        <f t="shared" si="534"/>
        <v>20</v>
      </c>
      <c r="AE846" s="305">
        <f t="shared" si="535"/>
        <v>1400</v>
      </c>
    </row>
    <row r="847" spans="1:32" ht="18.75" hidden="1" customHeight="1" outlineLevel="3" x14ac:dyDescent="0.35">
      <c r="B847" s="386" t="s">
        <v>753</v>
      </c>
      <c r="C847" s="44" t="s">
        <v>5</v>
      </c>
      <c r="D847" s="234">
        <v>450</v>
      </c>
      <c r="E847" s="64"/>
      <c r="F847" s="265">
        <f t="shared" si="527"/>
        <v>5</v>
      </c>
      <c r="G847" s="219">
        <v>2292.11</v>
      </c>
      <c r="H847" s="272"/>
      <c r="I847" s="236"/>
      <c r="J847" s="265"/>
      <c r="K847" s="193"/>
      <c r="L847" s="272"/>
      <c r="M847" s="236"/>
      <c r="N847" s="265"/>
      <c r="O847" s="193"/>
      <c r="P847" s="274">
        <v>6.31</v>
      </c>
      <c r="Q847" s="236">
        <f t="shared" si="528"/>
        <v>450</v>
      </c>
      <c r="R847" s="265">
        <f t="shared" si="529"/>
        <v>25</v>
      </c>
      <c r="S847" s="193">
        <f t="shared" si="530"/>
        <v>11298</v>
      </c>
      <c r="T847" s="230"/>
      <c r="U847" s="290"/>
      <c r="V847" s="200"/>
      <c r="W847" s="232">
        <f t="shared" si="531"/>
        <v>450</v>
      </c>
      <c r="X847" s="290">
        <v>28.94</v>
      </c>
      <c r="Y847" s="199">
        <f t="shared" si="532"/>
        <v>13023</v>
      </c>
      <c r="Z847" s="153"/>
      <c r="AA847" s="147"/>
      <c r="AB847" s="101"/>
      <c r="AC847" s="226">
        <f t="shared" si="533"/>
        <v>450</v>
      </c>
      <c r="AD847" s="302">
        <f t="shared" si="534"/>
        <v>-3.9400000000000013</v>
      </c>
      <c r="AE847" s="202">
        <f t="shared" si="535"/>
        <v>-1773</v>
      </c>
    </row>
    <row r="848" spans="1:32" ht="18.75" hidden="1" customHeight="1" outlineLevel="3" x14ac:dyDescent="0.35">
      <c r="B848" s="386" t="s">
        <v>754</v>
      </c>
      <c r="C848" s="44" t="s">
        <v>40</v>
      </c>
      <c r="D848" s="234">
        <v>4</v>
      </c>
      <c r="E848" s="64"/>
      <c r="F848" s="265">
        <f t="shared" si="527"/>
        <v>2</v>
      </c>
      <c r="G848" s="219">
        <v>9.48</v>
      </c>
      <c r="H848" s="272"/>
      <c r="I848" s="236"/>
      <c r="J848" s="265"/>
      <c r="K848" s="193"/>
      <c r="L848" s="272"/>
      <c r="M848" s="236"/>
      <c r="N848" s="265"/>
      <c r="O848" s="193"/>
      <c r="P848" s="274">
        <v>6.31</v>
      </c>
      <c r="Q848" s="236">
        <f t="shared" si="528"/>
        <v>4</v>
      </c>
      <c r="R848" s="265">
        <f t="shared" si="529"/>
        <v>10</v>
      </c>
      <c r="S848" s="193">
        <f t="shared" si="530"/>
        <v>40</v>
      </c>
      <c r="T848" s="230"/>
      <c r="U848" s="290"/>
      <c r="V848" s="200"/>
      <c r="W848" s="232">
        <f t="shared" si="531"/>
        <v>4</v>
      </c>
      <c r="X848" s="289">
        <v>3</v>
      </c>
      <c r="Y848" s="199">
        <f t="shared" si="532"/>
        <v>12</v>
      </c>
      <c r="Z848" s="153"/>
      <c r="AA848" s="147"/>
      <c r="AB848" s="101"/>
      <c r="AC848" s="226">
        <f t="shared" si="533"/>
        <v>4</v>
      </c>
      <c r="AD848" s="304">
        <f t="shared" si="534"/>
        <v>7</v>
      </c>
      <c r="AE848" s="305">
        <f t="shared" si="535"/>
        <v>28</v>
      </c>
    </row>
    <row r="849" spans="1:32" ht="18.75" hidden="1" customHeight="1" outlineLevel="3" x14ac:dyDescent="0.35">
      <c r="B849" s="386" t="s">
        <v>477</v>
      </c>
      <c r="C849" s="44" t="s">
        <v>28</v>
      </c>
      <c r="D849" s="234">
        <v>7.6999999999999999E-2</v>
      </c>
      <c r="E849" s="64"/>
      <c r="F849" s="265">
        <f t="shared" si="527"/>
        <v>11572</v>
      </c>
      <c r="G849" s="219">
        <v>891.08</v>
      </c>
      <c r="H849" s="272"/>
      <c r="I849" s="236"/>
      <c r="J849" s="265"/>
      <c r="K849" s="193"/>
      <c r="L849" s="272"/>
      <c r="M849" s="236"/>
      <c r="N849" s="265"/>
      <c r="O849" s="193"/>
      <c r="P849" s="274">
        <v>6.31</v>
      </c>
      <c r="Q849" s="236">
        <f t="shared" si="528"/>
        <v>7.6999999999999999E-2</v>
      </c>
      <c r="R849" s="265">
        <f t="shared" si="529"/>
        <v>58109</v>
      </c>
      <c r="S849" s="193">
        <f t="shared" si="530"/>
        <v>4474</v>
      </c>
      <c r="T849" s="230"/>
      <c r="U849" s="290"/>
      <c r="V849" s="200"/>
      <c r="W849" s="232">
        <f t="shared" si="531"/>
        <v>7.6999999999999999E-2</v>
      </c>
      <c r="X849" s="289">
        <v>135525</v>
      </c>
      <c r="Y849" s="199">
        <f t="shared" si="532"/>
        <v>10435.424999999999</v>
      </c>
      <c r="Z849" s="153"/>
      <c r="AA849" s="147"/>
      <c r="AB849" s="101"/>
      <c r="AC849" s="226">
        <f t="shared" si="533"/>
        <v>7.6999999999999999E-2</v>
      </c>
      <c r="AD849" s="302">
        <f t="shared" si="534"/>
        <v>-77416</v>
      </c>
      <c r="AE849" s="202">
        <f t="shared" si="535"/>
        <v>-5961</v>
      </c>
    </row>
    <row r="850" spans="1:32" ht="18.75" hidden="1" customHeight="1" outlineLevel="3" x14ac:dyDescent="0.35">
      <c r="B850" s="386" t="s">
        <v>399</v>
      </c>
      <c r="C850" s="44" t="s">
        <v>28</v>
      </c>
      <c r="D850" s="234">
        <v>5.2400000000000002E-2</v>
      </c>
      <c r="E850" s="64"/>
      <c r="F850" s="265">
        <f t="shared" si="527"/>
        <v>7914</v>
      </c>
      <c r="G850" s="219">
        <v>414.67</v>
      </c>
      <c r="H850" s="272"/>
      <c r="I850" s="236"/>
      <c r="J850" s="265"/>
      <c r="K850" s="193"/>
      <c r="L850" s="272"/>
      <c r="M850" s="236"/>
      <c r="N850" s="265"/>
      <c r="O850" s="193"/>
      <c r="P850" s="274">
        <v>6.31</v>
      </c>
      <c r="Q850" s="236">
        <f t="shared" si="528"/>
        <v>5.2400000000000002E-2</v>
      </c>
      <c r="R850" s="265">
        <f t="shared" si="529"/>
        <v>39740</v>
      </c>
      <c r="S850" s="193">
        <f t="shared" si="530"/>
        <v>2082</v>
      </c>
      <c r="T850" s="230"/>
      <c r="U850" s="290"/>
      <c r="V850" s="200"/>
      <c r="W850" s="232">
        <f t="shared" si="531"/>
        <v>5.2400000000000002E-2</v>
      </c>
      <c r="X850" s="289">
        <v>164100</v>
      </c>
      <c r="Y850" s="199">
        <f t="shared" si="532"/>
        <v>8598.84</v>
      </c>
      <c r="Z850" s="153"/>
      <c r="AA850" s="147"/>
      <c r="AB850" s="101"/>
      <c r="AC850" s="226">
        <f t="shared" si="533"/>
        <v>5.2400000000000002E-2</v>
      </c>
      <c r="AD850" s="302">
        <f t="shared" si="534"/>
        <v>-124360</v>
      </c>
      <c r="AE850" s="202">
        <f t="shared" si="535"/>
        <v>-6516</v>
      </c>
    </row>
    <row r="851" spans="1:32" ht="18.75" hidden="1" customHeight="1" outlineLevel="3" x14ac:dyDescent="0.35">
      <c r="B851" s="386" t="s">
        <v>755</v>
      </c>
      <c r="C851" s="44" t="s">
        <v>40</v>
      </c>
      <c r="D851" s="234">
        <v>8</v>
      </c>
      <c r="E851" s="64"/>
      <c r="F851" s="265">
        <f t="shared" si="527"/>
        <v>1</v>
      </c>
      <c r="G851" s="219">
        <v>5.44</v>
      </c>
      <c r="H851" s="272"/>
      <c r="I851" s="236"/>
      <c r="J851" s="265"/>
      <c r="K851" s="193"/>
      <c r="L851" s="272"/>
      <c r="M851" s="236"/>
      <c r="N851" s="265"/>
      <c r="O851" s="193"/>
      <c r="P851" s="274">
        <v>6.31</v>
      </c>
      <c r="Q851" s="236">
        <f t="shared" si="528"/>
        <v>8</v>
      </c>
      <c r="R851" s="265">
        <f t="shared" si="529"/>
        <v>5</v>
      </c>
      <c r="S851" s="193">
        <f t="shared" si="530"/>
        <v>40</v>
      </c>
      <c r="T851" s="230"/>
      <c r="U851" s="290"/>
      <c r="V851" s="200"/>
      <c r="W851" s="232">
        <f t="shared" si="531"/>
        <v>8</v>
      </c>
      <c r="X851" s="290">
        <v>62.4</v>
      </c>
      <c r="Y851" s="199">
        <f t="shared" si="532"/>
        <v>499.2</v>
      </c>
      <c r="Z851" s="153"/>
      <c r="AA851" s="147"/>
      <c r="AB851" s="101"/>
      <c r="AC851" s="226">
        <f t="shared" si="533"/>
        <v>8</v>
      </c>
      <c r="AD851" s="302">
        <f t="shared" si="534"/>
        <v>-57.4</v>
      </c>
      <c r="AE851" s="202">
        <f t="shared" si="535"/>
        <v>-459</v>
      </c>
    </row>
    <row r="852" spans="1:32" ht="18.75" hidden="1" customHeight="1" outlineLevel="3" x14ac:dyDescent="0.35">
      <c r="B852" s="386" t="s">
        <v>375</v>
      </c>
      <c r="C852" s="44" t="s">
        <v>40</v>
      </c>
      <c r="D852" s="234">
        <v>10</v>
      </c>
      <c r="E852" s="64"/>
      <c r="F852" s="265">
        <f t="shared" si="527"/>
        <v>4</v>
      </c>
      <c r="G852" s="219">
        <v>39.200000000000003</v>
      </c>
      <c r="H852" s="272"/>
      <c r="I852" s="236"/>
      <c r="J852" s="265"/>
      <c r="K852" s="193"/>
      <c r="L852" s="272"/>
      <c r="M852" s="236"/>
      <c r="N852" s="265"/>
      <c r="O852" s="193"/>
      <c r="P852" s="274">
        <v>6.31</v>
      </c>
      <c r="Q852" s="236">
        <f t="shared" si="528"/>
        <v>10</v>
      </c>
      <c r="R852" s="265">
        <f t="shared" si="529"/>
        <v>20</v>
      </c>
      <c r="S852" s="193">
        <f t="shared" si="530"/>
        <v>201</v>
      </c>
      <c r="T852" s="230"/>
      <c r="U852" s="290"/>
      <c r="V852" s="200"/>
      <c r="W852" s="232">
        <f t="shared" si="531"/>
        <v>10</v>
      </c>
      <c r="X852" s="289">
        <v>20</v>
      </c>
      <c r="Y852" s="199">
        <f t="shared" si="532"/>
        <v>200</v>
      </c>
      <c r="Z852" s="153"/>
      <c r="AA852" s="147"/>
      <c r="AB852" s="101"/>
      <c r="AC852" s="226">
        <f t="shared" si="533"/>
        <v>10</v>
      </c>
      <c r="AD852" s="304">
        <f t="shared" si="534"/>
        <v>0</v>
      </c>
      <c r="AE852" s="305">
        <f t="shared" si="535"/>
        <v>0</v>
      </c>
    </row>
    <row r="853" spans="1:32" ht="18.75" hidden="1" customHeight="1" outlineLevel="3" x14ac:dyDescent="0.35">
      <c r="B853" s="386" t="s">
        <v>427</v>
      </c>
      <c r="C853" s="44" t="s">
        <v>16</v>
      </c>
      <c r="D853" s="234">
        <v>27.72</v>
      </c>
      <c r="E853" s="64"/>
      <c r="F853" s="265">
        <f t="shared" si="527"/>
        <v>72</v>
      </c>
      <c r="G853" s="219">
        <v>2003.89</v>
      </c>
      <c r="H853" s="272"/>
      <c r="I853" s="236"/>
      <c r="J853" s="265"/>
      <c r="K853" s="193"/>
      <c r="L853" s="272"/>
      <c r="M853" s="236"/>
      <c r="N853" s="265"/>
      <c r="O853" s="193"/>
      <c r="P853" s="274">
        <v>6.31</v>
      </c>
      <c r="Q853" s="236">
        <f t="shared" si="528"/>
        <v>27.72</v>
      </c>
      <c r="R853" s="265">
        <f t="shared" si="529"/>
        <v>362</v>
      </c>
      <c r="S853" s="193">
        <f t="shared" si="530"/>
        <v>10022</v>
      </c>
      <c r="T853" s="230"/>
      <c r="U853" s="290"/>
      <c r="V853" s="200"/>
      <c r="W853" s="232">
        <f t="shared" si="531"/>
        <v>27.72</v>
      </c>
      <c r="X853" s="289">
        <v>272</v>
      </c>
      <c r="Y853" s="199">
        <f t="shared" si="532"/>
        <v>7539.84</v>
      </c>
      <c r="Z853" s="153"/>
      <c r="AA853" s="147"/>
      <c r="AB853" s="101"/>
      <c r="AC853" s="226">
        <f t="shared" si="533"/>
        <v>27.72</v>
      </c>
      <c r="AD853" s="304">
        <f t="shared" si="534"/>
        <v>90</v>
      </c>
      <c r="AE853" s="305">
        <f t="shared" si="535"/>
        <v>2495</v>
      </c>
    </row>
    <row r="854" spans="1:32" ht="18.75" hidden="1" customHeight="1" outlineLevel="3" x14ac:dyDescent="0.35">
      <c r="B854" s="386" t="s">
        <v>756</v>
      </c>
      <c r="C854" s="44" t="s">
        <v>5</v>
      </c>
      <c r="D854" s="234">
        <v>30</v>
      </c>
      <c r="E854" s="64"/>
      <c r="F854" s="265">
        <f t="shared" si="527"/>
        <v>2</v>
      </c>
      <c r="G854" s="219">
        <v>49.3</v>
      </c>
      <c r="H854" s="272"/>
      <c r="I854" s="236"/>
      <c r="J854" s="265"/>
      <c r="K854" s="193"/>
      <c r="L854" s="272"/>
      <c r="M854" s="236"/>
      <c r="N854" s="265"/>
      <c r="O854" s="193"/>
      <c r="P854" s="274">
        <v>6.31</v>
      </c>
      <c r="Q854" s="236">
        <f t="shared" si="528"/>
        <v>30</v>
      </c>
      <c r="R854" s="265">
        <f t="shared" si="529"/>
        <v>10</v>
      </c>
      <c r="S854" s="193">
        <f t="shared" si="530"/>
        <v>301</v>
      </c>
      <c r="T854" s="230"/>
      <c r="U854" s="290"/>
      <c r="V854" s="200"/>
      <c r="W854" s="232">
        <f t="shared" si="531"/>
        <v>30</v>
      </c>
      <c r="X854" s="290">
        <v>10.72</v>
      </c>
      <c r="Y854" s="199">
        <f t="shared" si="532"/>
        <v>321.60000000000002</v>
      </c>
      <c r="Z854" s="153"/>
      <c r="AA854" s="147"/>
      <c r="AB854" s="101"/>
      <c r="AC854" s="226">
        <f t="shared" si="533"/>
        <v>30</v>
      </c>
      <c r="AD854" s="302">
        <f t="shared" si="534"/>
        <v>-0.72000000000000064</v>
      </c>
      <c r="AE854" s="202">
        <f t="shared" si="535"/>
        <v>-22</v>
      </c>
    </row>
    <row r="855" spans="1:32" ht="31.5" hidden="1" customHeight="1" outlineLevel="3" x14ac:dyDescent="0.35">
      <c r="B855" s="386" t="s">
        <v>757</v>
      </c>
      <c r="C855" s="44" t="s">
        <v>5</v>
      </c>
      <c r="D855" s="234">
        <v>10</v>
      </c>
      <c r="E855" s="388" t="s">
        <v>1337</v>
      </c>
      <c r="F855" s="265">
        <f>ROUND(G855/0.001,0)</f>
        <v>90260</v>
      </c>
      <c r="G855" s="219">
        <v>90.26</v>
      </c>
      <c r="H855" s="272"/>
      <c r="I855" s="236"/>
      <c r="J855" s="265"/>
      <c r="K855" s="193"/>
      <c r="L855" s="272"/>
      <c r="M855" s="236"/>
      <c r="N855" s="265"/>
      <c r="O855" s="193"/>
      <c r="P855" s="274">
        <v>6.31</v>
      </c>
      <c r="Q855" s="236">
        <v>1E-3</v>
      </c>
      <c r="R855" s="265">
        <f t="shared" si="529"/>
        <v>453240</v>
      </c>
      <c r="S855" s="193">
        <f t="shared" si="530"/>
        <v>453</v>
      </c>
      <c r="T855" s="230"/>
      <c r="U855" s="290"/>
      <c r="V855" s="200"/>
      <c r="W855" s="232">
        <v>10</v>
      </c>
      <c r="X855" s="289">
        <v>68</v>
      </c>
      <c r="Y855" s="199">
        <f t="shared" si="532"/>
        <v>680</v>
      </c>
      <c r="Z855" s="153"/>
      <c r="AA855" s="147"/>
      <c r="AB855" s="101"/>
      <c r="AC855" s="226">
        <v>10</v>
      </c>
      <c r="AD855" s="304">
        <f>R855/1000-X855</f>
        <v>385.24</v>
      </c>
      <c r="AE855" s="305">
        <f>ROUND(AC855*AD855,0)</f>
        <v>3852</v>
      </c>
    </row>
    <row r="856" spans="1:32" ht="30" hidden="1" customHeight="1" outlineLevel="3" x14ac:dyDescent="0.35">
      <c r="B856" s="386" t="s">
        <v>758</v>
      </c>
      <c r="C856" s="44" t="s">
        <v>5</v>
      </c>
      <c r="D856" s="234">
        <v>10</v>
      </c>
      <c r="E856" s="388" t="s">
        <v>1338</v>
      </c>
      <c r="F856" s="265">
        <f>ROUND(G856/0.005,0)</f>
        <v>98466</v>
      </c>
      <c r="G856" s="219">
        <v>492.33</v>
      </c>
      <c r="H856" s="272"/>
      <c r="I856" s="236"/>
      <c r="J856" s="265"/>
      <c r="K856" s="193"/>
      <c r="L856" s="272"/>
      <c r="M856" s="236"/>
      <c r="N856" s="265"/>
      <c r="O856" s="193"/>
      <c r="P856" s="274">
        <v>6.31</v>
      </c>
      <c r="Q856" s="236">
        <v>1E-3</v>
      </c>
      <c r="R856" s="265">
        <f t="shared" si="529"/>
        <v>494447</v>
      </c>
      <c r="S856" s="193">
        <f t="shared" si="530"/>
        <v>494</v>
      </c>
      <c r="T856" s="230"/>
      <c r="U856" s="290"/>
      <c r="V856" s="200"/>
      <c r="W856" s="232">
        <v>10</v>
      </c>
      <c r="X856" s="289">
        <v>36</v>
      </c>
      <c r="Y856" s="199">
        <f t="shared" si="532"/>
        <v>360</v>
      </c>
      <c r="Z856" s="153"/>
      <c r="AA856" s="147"/>
      <c r="AB856" s="101"/>
      <c r="AC856" s="226">
        <f t="shared" si="533"/>
        <v>10</v>
      </c>
      <c r="AD856" s="304">
        <f>R856/1000-X856</f>
        <v>458.447</v>
      </c>
      <c r="AE856" s="305">
        <f t="shared" si="535"/>
        <v>4584</v>
      </c>
    </row>
    <row r="857" spans="1:32" ht="18.75" hidden="1" customHeight="1" outlineLevel="3" x14ac:dyDescent="0.35">
      <c r="B857" s="386" t="s">
        <v>759</v>
      </c>
      <c r="C857" s="44" t="s">
        <v>40</v>
      </c>
      <c r="D857" s="234">
        <v>2</v>
      </c>
      <c r="E857" s="64"/>
      <c r="F857" s="265">
        <f t="shared" si="527"/>
        <v>8</v>
      </c>
      <c r="G857" s="219">
        <v>16.84</v>
      </c>
      <c r="H857" s="272"/>
      <c r="I857" s="236"/>
      <c r="J857" s="265"/>
      <c r="K857" s="193"/>
      <c r="L857" s="272"/>
      <c r="M857" s="236"/>
      <c r="N857" s="265"/>
      <c r="O857" s="193"/>
      <c r="P857" s="274">
        <v>6.31</v>
      </c>
      <c r="Q857" s="236">
        <f t="shared" si="528"/>
        <v>2</v>
      </c>
      <c r="R857" s="265">
        <f t="shared" si="529"/>
        <v>40</v>
      </c>
      <c r="S857" s="193">
        <f t="shared" si="530"/>
        <v>80</v>
      </c>
      <c r="T857" s="230"/>
      <c r="U857" s="290"/>
      <c r="V857" s="200"/>
      <c r="W857" s="232">
        <f t="shared" si="531"/>
        <v>2</v>
      </c>
      <c r="X857" s="289">
        <v>433</v>
      </c>
      <c r="Y857" s="199">
        <f t="shared" si="532"/>
        <v>866</v>
      </c>
      <c r="Z857" s="153"/>
      <c r="AA857" s="147"/>
      <c r="AB857" s="101"/>
      <c r="AC857" s="226">
        <f t="shared" si="533"/>
        <v>2</v>
      </c>
      <c r="AD857" s="302">
        <f t="shared" si="534"/>
        <v>-393</v>
      </c>
      <c r="AE857" s="202">
        <f t="shared" si="535"/>
        <v>-786</v>
      </c>
    </row>
    <row r="858" spans="1:32" ht="18.75" hidden="1" customHeight="1" outlineLevel="3" x14ac:dyDescent="0.35">
      <c r="B858" s="386" t="s">
        <v>760</v>
      </c>
      <c r="C858" s="44" t="s">
        <v>5</v>
      </c>
      <c r="D858" s="234">
        <v>80</v>
      </c>
      <c r="E858" s="64"/>
      <c r="F858" s="265">
        <f t="shared" si="527"/>
        <v>9</v>
      </c>
      <c r="G858" s="219">
        <v>733.6</v>
      </c>
      <c r="H858" s="272"/>
      <c r="I858" s="236"/>
      <c r="J858" s="265"/>
      <c r="K858" s="193"/>
      <c r="L858" s="272"/>
      <c r="M858" s="236"/>
      <c r="N858" s="265"/>
      <c r="O858" s="193"/>
      <c r="P858" s="274">
        <v>6.31</v>
      </c>
      <c r="Q858" s="236">
        <f t="shared" si="528"/>
        <v>80</v>
      </c>
      <c r="R858" s="265">
        <f t="shared" si="529"/>
        <v>45</v>
      </c>
      <c r="S858" s="193">
        <f t="shared" si="530"/>
        <v>3615</v>
      </c>
      <c r="T858" s="230"/>
      <c r="U858" s="290"/>
      <c r="V858" s="200"/>
      <c r="W858" s="232">
        <f t="shared" si="531"/>
        <v>80</v>
      </c>
      <c r="X858" s="290">
        <v>24.96</v>
      </c>
      <c r="Y858" s="199">
        <f t="shared" si="532"/>
        <v>1996.8000000000002</v>
      </c>
      <c r="Z858" s="153"/>
      <c r="AA858" s="147"/>
      <c r="AB858" s="101"/>
      <c r="AC858" s="226">
        <f t="shared" si="533"/>
        <v>80</v>
      </c>
      <c r="AD858" s="304">
        <f t="shared" si="534"/>
        <v>20.04</v>
      </c>
      <c r="AE858" s="305">
        <f t="shared" si="535"/>
        <v>1603</v>
      </c>
    </row>
    <row r="859" spans="1:32" ht="18.75" hidden="1" customHeight="1" outlineLevel="3" x14ac:dyDescent="0.35">
      <c r="B859" s="386" t="s">
        <v>730</v>
      </c>
      <c r="C859" s="44" t="s">
        <v>28</v>
      </c>
      <c r="D859" s="234">
        <v>4.3400000000000001E-2</v>
      </c>
      <c r="E859" s="64"/>
      <c r="F859" s="265">
        <f t="shared" si="527"/>
        <v>4797</v>
      </c>
      <c r="G859" s="219">
        <v>208.17</v>
      </c>
      <c r="H859" s="272"/>
      <c r="I859" s="236"/>
      <c r="J859" s="265"/>
      <c r="K859" s="193"/>
      <c r="L859" s="272"/>
      <c r="M859" s="236"/>
      <c r="N859" s="265"/>
      <c r="O859" s="193"/>
      <c r="P859" s="274">
        <v>6.31</v>
      </c>
      <c r="Q859" s="236">
        <f t="shared" si="528"/>
        <v>4.3400000000000001E-2</v>
      </c>
      <c r="R859" s="265">
        <f t="shared" si="529"/>
        <v>24088</v>
      </c>
      <c r="S859" s="193">
        <f t="shared" si="530"/>
        <v>1045</v>
      </c>
      <c r="T859" s="230"/>
      <c r="U859" s="290"/>
      <c r="V859" s="200"/>
      <c r="W859" s="232">
        <f t="shared" si="531"/>
        <v>4.3400000000000001E-2</v>
      </c>
      <c r="X859" s="289">
        <v>39575</v>
      </c>
      <c r="Y859" s="199">
        <f t="shared" si="532"/>
        <v>1717.5550000000001</v>
      </c>
      <c r="Z859" s="153"/>
      <c r="AA859" s="147"/>
      <c r="AB859" s="101"/>
      <c r="AC859" s="226">
        <f t="shared" si="533"/>
        <v>4.3400000000000001E-2</v>
      </c>
      <c r="AD859" s="302">
        <f t="shared" si="534"/>
        <v>-15487</v>
      </c>
      <c r="AE859" s="202">
        <f t="shared" si="535"/>
        <v>-672</v>
      </c>
    </row>
    <row r="860" spans="1:32" s="95" customFormat="1" hidden="1" collapsed="1" x14ac:dyDescent="0.3">
      <c r="A860" s="98"/>
      <c r="B860" s="160"/>
      <c r="C860" s="107"/>
      <c r="D860" s="253"/>
      <c r="E860" s="98"/>
      <c r="F860" s="154"/>
      <c r="G860" s="214"/>
      <c r="H860" s="154"/>
      <c r="I860" s="231"/>
      <c r="J860" s="154"/>
      <c r="K860" s="194"/>
      <c r="L860" s="154"/>
      <c r="M860" s="231"/>
      <c r="N860" s="154"/>
      <c r="O860" s="194"/>
      <c r="P860" s="154"/>
      <c r="Q860" s="231"/>
      <c r="R860" s="286"/>
      <c r="S860" s="194"/>
      <c r="T860" s="231"/>
      <c r="U860" s="155"/>
      <c r="V860" s="194"/>
      <c r="W860" s="231"/>
      <c r="X860" s="155"/>
      <c r="Y860" s="194"/>
      <c r="Z860" s="157"/>
      <c r="AA860" s="156"/>
      <c r="AB860" s="156"/>
      <c r="AC860" s="194"/>
      <c r="AD860" s="155"/>
      <c r="AE860" s="194"/>
    </row>
    <row r="861" spans="1:32" ht="39.75" hidden="1" customHeight="1" x14ac:dyDescent="0.3">
      <c r="A861" s="18"/>
      <c r="B861" s="1082" t="s">
        <v>543</v>
      </c>
      <c r="C861" s="1083"/>
      <c r="D861" s="1083"/>
      <c r="E861" s="1083"/>
      <c r="F861" s="1084"/>
      <c r="G861" s="333">
        <f>SUM(G862:G879)</f>
        <v>1138320.7830000001</v>
      </c>
      <c r="H861" s="320"/>
      <c r="I861" s="320"/>
      <c r="J861" s="320"/>
      <c r="K861" s="336">
        <f>SUM(K862:K882)</f>
        <v>10532420</v>
      </c>
      <c r="L861" s="337"/>
      <c r="M861" s="337"/>
      <c r="N861" s="337"/>
      <c r="O861" s="336">
        <f>SUM(O862:O882)</f>
        <v>2229619</v>
      </c>
      <c r="P861" s="337"/>
      <c r="Q861" s="337"/>
      <c r="R861" s="337"/>
      <c r="S861" s="336">
        <f>SUM(S862:S882)</f>
        <v>7041739</v>
      </c>
      <c r="T861" s="320"/>
      <c r="U861" s="322"/>
      <c r="V861" s="336">
        <f>SUM(V862:V882)</f>
        <v>20616987.958000001</v>
      </c>
      <c r="W861" s="320"/>
      <c r="X861" s="322"/>
      <c r="Y861" s="336">
        <f>SUM(Y862:Y882)</f>
        <v>7729251.7309999978</v>
      </c>
      <c r="Z861" s="322"/>
      <c r="AA861" s="322"/>
      <c r="AB861" s="322"/>
      <c r="AC861" s="322"/>
      <c r="AD861" s="322"/>
      <c r="AE861" s="338">
        <f>SUM(AE862:AE882)</f>
        <v>-10772080.688999999</v>
      </c>
      <c r="AF861" s="324">
        <f>AE861/S861</f>
        <v>-1.5297472242296966</v>
      </c>
    </row>
    <row r="862" spans="1:32" ht="39" hidden="1" customHeight="1" outlineLevel="1" x14ac:dyDescent="0.35">
      <c r="A862" s="141"/>
      <c r="B862" s="329" t="s">
        <v>820</v>
      </c>
      <c r="C862" s="44" t="s">
        <v>28</v>
      </c>
      <c r="D862" s="234">
        <v>466.5</v>
      </c>
      <c r="E862" s="64"/>
      <c r="F862" s="265">
        <f t="shared" si="115"/>
        <v>393</v>
      </c>
      <c r="G862" s="218">
        <v>183152.57</v>
      </c>
      <c r="H862" s="272"/>
      <c r="I862" s="236"/>
      <c r="J862" s="265"/>
      <c r="K862" s="193"/>
      <c r="L862" s="272"/>
      <c r="M862" s="236"/>
      <c r="N862" s="265"/>
      <c r="O862" s="193"/>
      <c r="P862" s="272">
        <v>7.36</v>
      </c>
      <c r="Q862" s="236">
        <v>466.5</v>
      </c>
      <c r="R862" s="265">
        <f t="shared" si="117"/>
        <v>2302</v>
      </c>
      <c r="S862" s="193">
        <f t="shared" si="118"/>
        <v>1073806</v>
      </c>
      <c r="T862" s="230"/>
      <c r="U862" s="289"/>
      <c r="V862" s="199"/>
      <c r="W862" s="232">
        <f t="shared" ref="W862" si="536">Q862</f>
        <v>466.5</v>
      </c>
      <c r="X862" s="289">
        <v>2495</v>
      </c>
      <c r="Y862" s="199">
        <f t="shared" ref="Y862" si="537">W862*X862</f>
        <v>1163917.5</v>
      </c>
      <c r="Z862" s="153"/>
      <c r="AA862" s="147"/>
      <c r="AB862" s="101">
        <f t="shared" si="119"/>
        <v>0</v>
      </c>
      <c r="AC862" s="226"/>
      <c r="AD862" s="302">
        <f>R862-X862</f>
        <v>-193</v>
      </c>
      <c r="AE862" s="202">
        <f>S862-Y862</f>
        <v>-90111.5</v>
      </c>
    </row>
    <row r="863" spans="1:32" hidden="1" outlineLevel="1" x14ac:dyDescent="0.35">
      <c r="A863" s="141"/>
      <c r="B863" s="390" t="s">
        <v>411</v>
      </c>
      <c r="C863" s="44" t="s">
        <v>17</v>
      </c>
      <c r="D863" s="234">
        <v>58.41</v>
      </c>
      <c r="E863" s="64"/>
      <c r="F863" s="265">
        <f t="shared" ref="F863:F902" si="538">ROUND(G863/D863,0)</f>
        <v>562</v>
      </c>
      <c r="G863" s="218">
        <v>32825.839999999997</v>
      </c>
      <c r="H863" s="273"/>
      <c r="I863" s="232"/>
      <c r="J863" s="265"/>
      <c r="K863" s="193"/>
      <c r="L863" s="272"/>
      <c r="M863" s="232"/>
      <c r="N863" s="265"/>
      <c r="O863" s="193"/>
      <c r="P863" s="272">
        <v>7.36</v>
      </c>
      <c r="Q863" s="236">
        <f>58.41</f>
        <v>58.41</v>
      </c>
      <c r="R863" s="265">
        <f t="shared" ref="R863:R902" si="539">ROUND(F863*P863*0.7958,0)</f>
        <v>3292</v>
      </c>
      <c r="S863" s="193">
        <f t="shared" ref="S863:S902" si="540">ROUND(Q863*P863*F863*0.7958,0)</f>
        <v>192267</v>
      </c>
      <c r="T863" s="230"/>
      <c r="U863" s="289"/>
      <c r="V863" s="199"/>
      <c r="W863" s="232">
        <f t="shared" ref="W863:W880" si="541">Q863</f>
        <v>58.41</v>
      </c>
      <c r="X863" s="289">
        <v>3200</v>
      </c>
      <c r="Y863" s="199">
        <f t="shared" ref="Y863:Y880" si="542">W863*X863</f>
        <v>186912</v>
      </c>
      <c r="Z863" s="153"/>
      <c r="AA863" s="147"/>
      <c r="AB863" s="101">
        <f t="shared" ref="AB863:AB902" si="543">ROUND(Z863*AA863,0)</f>
        <v>0</v>
      </c>
      <c r="AC863" s="226"/>
      <c r="AD863" s="302">
        <f t="shared" ref="AD863:AD882" si="544">R863-X863</f>
        <v>92</v>
      </c>
      <c r="AE863" s="202">
        <f>S863-Y863</f>
        <v>5355</v>
      </c>
    </row>
    <row r="864" spans="1:32" hidden="1" outlineLevel="1" x14ac:dyDescent="0.35">
      <c r="A864" s="141"/>
      <c r="B864" s="329" t="s">
        <v>821</v>
      </c>
      <c r="C864" s="44" t="s">
        <v>28</v>
      </c>
      <c r="D864" s="234">
        <f>0.2756+4.841</f>
        <v>5.1166</v>
      </c>
      <c r="E864" s="64"/>
      <c r="F864" s="265">
        <f t="shared" si="538"/>
        <v>1648</v>
      </c>
      <c r="G864" s="218">
        <f>512+7921.57</f>
        <v>8433.57</v>
      </c>
      <c r="H864" s="163"/>
      <c r="I864" s="235"/>
      <c r="J864" s="265"/>
      <c r="K864" s="193"/>
      <c r="L864" s="163"/>
      <c r="M864" s="235"/>
      <c r="N864" s="265"/>
      <c r="O864" s="193"/>
      <c r="P864" s="272">
        <v>7.36</v>
      </c>
      <c r="Q864" s="236">
        <f>0.2756+4.841</f>
        <v>5.1166</v>
      </c>
      <c r="R864" s="265">
        <f t="shared" si="539"/>
        <v>9652</v>
      </c>
      <c r="S864" s="193">
        <f t="shared" si="540"/>
        <v>49388</v>
      </c>
      <c r="T864" s="230"/>
      <c r="U864" s="289"/>
      <c r="V864" s="199"/>
      <c r="W864" s="232">
        <f t="shared" si="541"/>
        <v>5.1166</v>
      </c>
      <c r="X864" s="289">
        <v>29785</v>
      </c>
      <c r="Y864" s="199">
        <f t="shared" si="542"/>
        <v>152397.93100000001</v>
      </c>
      <c r="Z864" s="153"/>
      <c r="AA864" s="147"/>
      <c r="AB864" s="101">
        <f t="shared" si="543"/>
        <v>0</v>
      </c>
      <c r="AC864" s="226"/>
      <c r="AD864" s="302">
        <f t="shared" si="544"/>
        <v>-20133</v>
      </c>
      <c r="AE864" s="202">
        <f>S864-Y864</f>
        <v>-103009.93100000001</v>
      </c>
    </row>
    <row r="865" spans="1:31" ht="54" hidden="1" customHeight="1" outlineLevel="1" x14ac:dyDescent="0.35">
      <c r="A865" s="141"/>
      <c r="B865" s="329" t="s">
        <v>825</v>
      </c>
      <c r="C865" s="44" t="s">
        <v>40</v>
      </c>
      <c r="D865" s="234">
        <v>75</v>
      </c>
      <c r="E865" s="64"/>
      <c r="F865" s="265">
        <f t="shared" si="538"/>
        <v>1377</v>
      </c>
      <c r="G865" s="218">
        <v>103289.25</v>
      </c>
      <c r="H865" s="273">
        <v>5.55</v>
      </c>
      <c r="I865" s="232">
        <v>122</v>
      </c>
      <c r="J865" s="265">
        <f t="shared" ref="J865:J878" si="545">ROUND(F865*H865*0.7958,0)</f>
        <v>6082</v>
      </c>
      <c r="K865" s="193">
        <f t="shared" ref="K865:K878" si="546">ROUND(I865*H865*F865*0.7958,0)</f>
        <v>741977</v>
      </c>
      <c r="L865" s="273"/>
      <c r="M865" s="232"/>
      <c r="N865" s="265"/>
      <c r="O865" s="193"/>
      <c r="P865" s="266">
        <v>5.55</v>
      </c>
      <c r="Q865" s="237">
        <v>-47</v>
      </c>
      <c r="R865" s="287">
        <f t="shared" si="539"/>
        <v>6082</v>
      </c>
      <c r="S865" s="205">
        <f t="shared" si="540"/>
        <v>-285844</v>
      </c>
      <c r="T865" s="232">
        <f t="shared" ref="T865:T881" si="547">I865+M865</f>
        <v>122</v>
      </c>
      <c r="U865" s="296">
        <v>5075</v>
      </c>
      <c r="V865" s="199">
        <f t="shared" ref="V865:V881" si="548">T865*U865</f>
        <v>619150</v>
      </c>
      <c r="W865" s="232"/>
      <c r="X865" s="289"/>
      <c r="Y865" s="199"/>
      <c r="Z865" s="153"/>
      <c r="AA865" s="147"/>
      <c r="AB865" s="101">
        <f t="shared" si="543"/>
        <v>0</v>
      </c>
      <c r="AC865" s="226"/>
      <c r="AD865" s="304">
        <f t="shared" si="544"/>
        <v>6082</v>
      </c>
      <c r="AE865" s="305">
        <f>K865+S865-Y865-V865</f>
        <v>-163017</v>
      </c>
    </row>
    <row r="866" spans="1:31" ht="35.25" hidden="1" customHeight="1" outlineLevel="1" x14ac:dyDescent="0.35">
      <c r="A866" s="141"/>
      <c r="B866" s="329" t="s">
        <v>826</v>
      </c>
      <c r="C866" s="44" t="s">
        <v>40</v>
      </c>
      <c r="D866" s="234">
        <v>150</v>
      </c>
      <c r="E866" s="64"/>
      <c r="F866" s="265">
        <f>ROUND(G866/D866,0)</f>
        <v>84</v>
      </c>
      <c r="G866" s="218">
        <v>12630</v>
      </c>
      <c r="H866" s="273">
        <v>5.55</v>
      </c>
      <c r="I866" s="232">
        <v>244</v>
      </c>
      <c r="J866" s="265">
        <f>ROUND(F866*H866*0.7958,0)</f>
        <v>371</v>
      </c>
      <c r="K866" s="193">
        <f>ROUND(I866*H866*F866*0.7958,0)</f>
        <v>90524</v>
      </c>
      <c r="L866" s="273"/>
      <c r="M866" s="232"/>
      <c r="N866" s="265"/>
      <c r="O866" s="193"/>
      <c r="P866" s="266">
        <v>5.55</v>
      </c>
      <c r="Q866" s="237">
        <v>-94</v>
      </c>
      <c r="R866" s="287">
        <f>ROUND(F866*P866*0.7958,0)</f>
        <v>371</v>
      </c>
      <c r="S866" s="205">
        <f>ROUND(Q866*P866*F866*0.7958,0)</f>
        <v>-34874</v>
      </c>
      <c r="T866" s="232">
        <f t="shared" si="547"/>
        <v>244</v>
      </c>
      <c r="U866" s="296">
        <v>1250</v>
      </c>
      <c r="V866" s="199">
        <f t="shared" si="548"/>
        <v>305000</v>
      </c>
      <c r="W866" s="232"/>
      <c r="X866" s="289"/>
      <c r="Y866" s="199"/>
      <c r="Z866" s="153"/>
      <c r="AA866" s="147"/>
      <c r="AB866" s="101">
        <f>ROUND(Z866*AA866,0)</f>
        <v>0</v>
      </c>
      <c r="AC866" s="226"/>
      <c r="AD866" s="304">
        <f t="shared" si="544"/>
        <v>371</v>
      </c>
      <c r="AE866" s="305">
        <f>K866+S866-Y866-V866</f>
        <v>-249350</v>
      </c>
    </row>
    <row r="867" spans="1:31" ht="37.5" hidden="1" customHeight="1" outlineLevel="1" x14ac:dyDescent="0.35">
      <c r="A867" s="141"/>
      <c r="B867" s="329" t="s">
        <v>828</v>
      </c>
      <c r="C867" s="44" t="s">
        <v>17</v>
      </c>
      <c r="D867" s="234">
        <v>0.432</v>
      </c>
      <c r="E867" s="164" t="s">
        <v>827</v>
      </c>
      <c r="F867" s="265">
        <f>ROUND(G867/D867,0)</f>
        <v>847</v>
      </c>
      <c r="G867" s="218">
        <v>365.85</v>
      </c>
      <c r="H867" s="273">
        <v>5.55</v>
      </c>
      <c r="I867" s="232">
        <v>7.1999999999999995E-2</v>
      </c>
      <c r="J867" s="265">
        <f>ROUND(F867*H867*0.7958,0)</f>
        <v>3741</v>
      </c>
      <c r="K867" s="193">
        <f>ROUND(I867*H867*F867*0.7958,0)</f>
        <v>269</v>
      </c>
      <c r="L867" s="273"/>
      <c r="M867" s="232"/>
      <c r="N867" s="265"/>
      <c r="O867" s="193"/>
      <c r="P867" s="266">
        <v>5.91</v>
      </c>
      <c r="Q867" s="236">
        <v>0.36</v>
      </c>
      <c r="R867" s="265">
        <f>ROUND(F867*P867*0.7958,0)</f>
        <v>3984</v>
      </c>
      <c r="S867" s="193">
        <f>ROUND(Q867*P867*F867*0.7958,0)</f>
        <v>1434</v>
      </c>
      <c r="T867" s="371">
        <v>4</v>
      </c>
      <c r="U867" s="296">
        <v>389.5</v>
      </c>
      <c r="V867" s="199">
        <f t="shared" si="548"/>
        <v>1558</v>
      </c>
      <c r="W867" s="371">
        <v>20</v>
      </c>
      <c r="X867" s="296">
        <v>390</v>
      </c>
      <c r="Y867" s="199">
        <f t="shared" si="542"/>
        <v>7800</v>
      </c>
      <c r="Z867" s="153"/>
      <c r="AA867" s="147"/>
      <c r="AB867" s="101">
        <f>ROUND(Z867*AA867,0)</f>
        <v>0</v>
      </c>
      <c r="AC867" s="226"/>
      <c r="AD867" s="304">
        <f t="shared" si="544"/>
        <v>3594</v>
      </c>
      <c r="AE867" s="335">
        <f>K867+S867-Y867-V867</f>
        <v>-7655</v>
      </c>
    </row>
    <row r="868" spans="1:31" hidden="1" outlineLevel="1" x14ac:dyDescent="0.35">
      <c r="B868" s="329" t="s">
        <v>418</v>
      </c>
      <c r="C868" s="44" t="s">
        <v>17</v>
      </c>
      <c r="D868" s="234">
        <f>2.734+1.683+2.0746</f>
        <v>6.4916</v>
      </c>
      <c r="E868" s="64"/>
      <c r="F868" s="265">
        <f t="shared" si="538"/>
        <v>1171</v>
      </c>
      <c r="G868" s="218">
        <f>3037+1629+2936.99</f>
        <v>7602.99</v>
      </c>
      <c r="H868" s="274">
        <v>5.55</v>
      </c>
      <c r="I868" s="238">
        <v>4.4470000000000001</v>
      </c>
      <c r="J868" s="265">
        <f>ROUND(F868*H868*0.7958,0)</f>
        <v>5172</v>
      </c>
      <c r="K868" s="193">
        <f>ROUND(I868*H868*F868*0.7958,0)</f>
        <v>23000</v>
      </c>
      <c r="L868" s="164"/>
      <c r="M868" s="230"/>
      <c r="N868" s="265"/>
      <c r="O868" s="193"/>
      <c r="P868" s="272">
        <v>5.55</v>
      </c>
      <c r="Q868" s="236">
        <v>2.0746000000000002</v>
      </c>
      <c r="R868" s="265">
        <f t="shared" si="539"/>
        <v>5172</v>
      </c>
      <c r="S868" s="193">
        <f>ROUND(Q868*P868*F868*0.7958,0)</f>
        <v>10730</v>
      </c>
      <c r="T868" s="232">
        <f t="shared" si="547"/>
        <v>4.4470000000000001</v>
      </c>
      <c r="U868" s="289">
        <v>11500</v>
      </c>
      <c r="V868" s="199">
        <f t="shared" si="548"/>
        <v>51140.5</v>
      </c>
      <c r="W868" s="232">
        <f t="shared" si="541"/>
        <v>2.0746000000000002</v>
      </c>
      <c r="X868" s="289">
        <v>11500</v>
      </c>
      <c r="Y868" s="199">
        <f t="shared" si="542"/>
        <v>23857.9</v>
      </c>
      <c r="Z868" s="153"/>
      <c r="AA868" s="147"/>
      <c r="AB868" s="101">
        <f t="shared" si="543"/>
        <v>0</v>
      </c>
      <c r="AC868" s="226"/>
      <c r="AD868" s="302">
        <f t="shared" si="544"/>
        <v>-6328</v>
      </c>
      <c r="AE868" s="202">
        <f>K868+S868-Y868-V868</f>
        <v>-41268.400000000001</v>
      </c>
    </row>
    <row r="869" spans="1:31" hidden="1" outlineLevel="1" x14ac:dyDescent="0.35">
      <c r="B869" s="329" t="s">
        <v>412</v>
      </c>
      <c r="C869" s="44" t="s">
        <v>16</v>
      </c>
      <c r="D869" s="234">
        <v>48.6</v>
      </c>
      <c r="E869" s="64"/>
      <c r="F869" s="265">
        <f t="shared" si="538"/>
        <v>35</v>
      </c>
      <c r="G869" s="218">
        <v>1702.46</v>
      </c>
      <c r="H869" s="164"/>
      <c r="I869" s="230"/>
      <c r="J869" s="265"/>
      <c r="K869" s="193"/>
      <c r="L869" s="164"/>
      <c r="M869" s="230"/>
      <c r="N869" s="265"/>
      <c r="O869" s="193"/>
      <c r="P869" s="266">
        <v>5.91</v>
      </c>
      <c r="Q869" s="236">
        <v>48.6</v>
      </c>
      <c r="R869" s="265">
        <f t="shared" si="539"/>
        <v>165</v>
      </c>
      <c r="S869" s="193">
        <f t="shared" si="540"/>
        <v>8000</v>
      </c>
      <c r="T869" s="232"/>
      <c r="U869" s="289"/>
      <c r="V869" s="199"/>
      <c r="W869" s="232">
        <f t="shared" si="541"/>
        <v>48.6</v>
      </c>
      <c r="X869" s="289">
        <v>136</v>
      </c>
      <c r="Y869" s="199">
        <f t="shared" si="542"/>
        <v>6609.6</v>
      </c>
      <c r="Z869" s="153"/>
      <c r="AA869" s="147"/>
      <c r="AB869" s="101">
        <f t="shared" si="543"/>
        <v>0</v>
      </c>
      <c r="AC869" s="226"/>
      <c r="AD869" s="304">
        <f t="shared" si="544"/>
        <v>29</v>
      </c>
      <c r="AE869" s="305">
        <f>S869-Y869</f>
        <v>1390.3999999999996</v>
      </c>
    </row>
    <row r="870" spans="1:31" hidden="1" outlineLevel="1" x14ac:dyDescent="0.35">
      <c r="A870" s="141"/>
      <c r="B870" s="329" t="s">
        <v>419</v>
      </c>
      <c r="C870" s="44" t="s">
        <v>40</v>
      </c>
      <c r="D870" s="234">
        <v>990</v>
      </c>
      <c r="E870" s="64"/>
      <c r="F870" s="265">
        <f t="shared" si="538"/>
        <v>61</v>
      </c>
      <c r="G870" s="218">
        <v>60409.8</v>
      </c>
      <c r="H870" s="274"/>
      <c r="I870" s="238"/>
      <c r="J870" s="265"/>
      <c r="K870" s="193"/>
      <c r="L870" s="274"/>
      <c r="M870" s="238"/>
      <c r="N870" s="265"/>
      <c r="O870" s="193"/>
      <c r="P870" s="274">
        <v>6.9</v>
      </c>
      <c r="Q870" s="238">
        <v>990</v>
      </c>
      <c r="R870" s="265">
        <f t="shared" si="539"/>
        <v>335</v>
      </c>
      <c r="S870" s="193">
        <f t="shared" si="540"/>
        <v>331603</v>
      </c>
      <c r="T870" s="232"/>
      <c r="U870" s="289"/>
      <c r="V870" s="199"/>
      <c r="W870" s="232">
        <f t="shared" si="541"/>
        <v>990</v>
      </c>
      <c r="X870" s="289">
        <v>193.6</v>
      </c>
      <c r="Y870" s="199">
        <f t="shared" si="542"/>
        <v>191664</v>
      </c>
      <c r="Z870" s="153"/>
      <c r="AA870" s="147"/>
      <c r="AB870" s="101">
        <f t="shared" si="543"/>
        <v>0</v>
      </c>
      <c r="AC870" s="226"/>
      <c r="AD870" s="304">
        <f t="shared" si="544"/>
        <v>141.4</v>
      </c>
      <c r="AE870" s="305">
        <f>S870-Y870</f>
        <v>139939</v>
      </c>
    </row>
    <row r="871" spans="1:31" hidden="1" outlineLevel="1" x14ac:dyDescent="0.35">
      <c r="B871" s="329" t="s">
        <v>399</v>
      </c>
      <c r="C871" s="44" t="s">
        <v>28</v>
      </c>
      <c r="D871" s="234">
        <v>0.1125</v>
      </c>
      <c r="E871" s="64"/>
      <c r="F871" s="265">
        <f t="shared" si="538"/>
        <v>7914</v>
      </c>
      <c r="G871" s="218">
        <v>890.27</v>
      </c>
      <c r="H871" s="274">
        <v>5.55</v>
      </c>
      <c r="I871" s="238">
        <v>0.183</v>
      </c>
      <c r="J871" s="265">
        <f t="shared" si="545"/>
        <v>34954</v>
      </c>
      <c r="K871" s="193">
        <f t="shared" si="546"/>
        <v>6397</v>
      </c>
      <c r="L871" s="274"/>
      <c r="M871" s="238"/>
      <c r="N871" s="265"/>
      <c r="O871" s="193"/>
      <c r="P871" s="274">
        <v>5.55</v>
      </c>
      <c r="Q871" s="237">
        <v>-7.0499999999999993E-2</v>
      </c>
      <c r="R871" s="287">
        <f t="shared" si="539"/>
        <v>34954</v>
      </c>
      <c r="S871" s="205">
        <f t="shared" si="540"/>
        <v>-2464</v>
      </c>
      <c r="T871" s="232">
        <f t="shared" si="547"/>
        <v>0.183</v>
      </c>
      <c r="U871" s="289">
        <v>164100</v>
      </c>
      <c r="V871" s="199">
        <f t="shared" si="548"/>
        <v>30030.3</v>
      </c>
      <c r="W871" s="232"/>
      <c r="X871" s="289"/>
      <c r="Y871" s="199"/>
      <c r="Z871" s="153"/>
      <c r="AA871" s="147"/>
      <c r="AB871" s="101">
        <f t="shared" si="543"/>
        <v>0</v>
      </c>
      <c r="AC871" s="226"/>
      <c r="AD871" s="302">
        <f t="shared" si="544"/>
        <v>34954</v>
      </c>
      <c r="AE871" s="202">
        <f t="shared" ref="AE871:AE882" si="549">K871+S871-Y871-V871</f>
        <v>-26097.3</v>
      </c>
    </row>
    <row r="872" spans="1:31" hidden="1" outlineLevel="1" x14ac:dyDescent="0.35">
      <c r="B872" s="329" t="s">
        <v>414</v>
      </c>
      <c r="C872" s="44" t="s">
        <v>28</v>
      </c>
      <c r="D872" s="234">
        <v>1.51</v>
      </c>
      <c r="E872" s="64"/>
      <c r="F872" s="265">
        <f t="shared" si="538"/>
        <v>4186</v>
      </c>
      <c r="G872" s="218">
        <v>6321.43</v>
      </c>
      <c r="H872" s="274">
        <v>5.55</v>
      </c>
      <c r="I872" s="238">
        <v>2.456</v>
      </c>
      <c r="J872" s="265">
        <f t="shared" si="545"/>
        <v>18488</v>
      </c>
      <c r="K872" s="193">
        <f t="shared" si="546"/>
        <v>45407</v>
      </c>
      <c r="L872" s="274"/>
      <c r="M872" s="238"/>
      <c r="N872" s="265"/>
      <c r="O872" s="193"/>
      <c r="P872" s="274">
        <v>5.55</v>
      </c>
      <c r="Q872" s="237">
        <v>-0.94599999999999995</v>
      </c>
      <c r="R872" s="287">
        <f t="shared" si="539"/>
        <v>18488</v>
      </c>
      <c r="S872" s="205">
        <f t="shared" si="540"/>
        <v>-17490</v>
      </c>
      <c r="T872" s="232">
        <f t="shared" si="547"/>
        <v>2.456</v>
      </c>
      <c r="U872" s="289">
        <v>46993</v>
      </c>
      <c r="V872" s="199">
        <f t="shared" si="548"/>
        <v>115414.808</v>
      </c>
      <c r="W872" s="232"/>
      <c r="X872" s="289"/>
      <c r="Y872" s="199"/>
      <c r="Z872" s="153"/>
      <c r="AA872" s="147"/>
      <c r="AB872" s="101">
        <f t="shared" si="543"/>
        <v>0</v>
      </c>
      <c r="AC872" s="226"/>
      <c r="AD872" s="302">
        <f t="shared" si="544"/>
        <v>18488</v>
      </c>
      <c r="AE872" s="202">
        <f t="shared" si="549"/>
        <v>-87497.808000000005</v>
      </c>
    </row>
    <row r="873" spans="1:31" hidden="1" outlineLevel="1" x14ac:dyDescent="0.35">
      <c r="B873" s="329" t="s">
        <v>220</v>
      </c>
      <c r="C873" s="44" t="s">
        <v>16</v>
      </c>
      <c r="D873" s="234">
        <v>97.88</v>
      </c>
      <c r="E873" s="64"/>
      <c r="F873" s="265">
        <f t="shared" si="538"/>
        <v>10</v>
      </c>
      <c r="G873" s="218">
        <v>960.2</v>
      </c>
      <c r="H873" s="274">
        <v>5.55</v>
      </c>
      <c r="I873" s="238">
        <v>159.19999999999999</v>
      </c>
      <c r="J873" s="265">
        <f t="shared" si="545"/>
        <v>44</v>
      </c>
      <c r="K873" s="193">
        <f t="shared" si="546"/>
        <v>7031</v>
      </c>
      <c r="L873" s="274"/>
      <c r="M873" s="238"/>
      <c r="N873" s="265"/>
      <c r="O873" s="193"/>
      <c r="P873" s="274">
        <v>5.55</v>
      </c>
      <c r="Q873" s="237">
        <v>-61.319999999999993</v>
      </c>
      <c r="R873" s="287">
        <f t="shared" si="539"/>
        <v>44</v>
      </c>
      <c r="S873" s="205">
        <f t="shared" si="540"/>
        <v>-2708</v>
      </c>
      <c r="T873" s="232">
        <f t="shared" si="547"/>
        <v>159.19999999999999</v>
      </c>
      <c r="U873" s="289">
        <v>69</v>
      </c>
      <c r="V873" s="199">
        <f t="shared" si="548"/>
        <v>10984.8</v>
      </c>
      <c r="W873" s="232"/>
      <c r="X873" s="289"/>
      <c r="Y873" s="199"/>
      <c r="Z873" s="153"/>
      <c r="AA873" s="147"/>
      <c r="AB873" s="101">
        <f t="shared" si="543"/>
        <v>0</v>
      </c>
      <c r="AC873" s="226"/>
      <c r="AD873" s="302">
        <f t="shared" si="544"/>
        <v>44</v>
      </c>
      <c r="AE873" s="202">
        <f t="shared" si="549"/>
        <v>-6661.7999999999993</v>
      </c>
    </row>
    <row r="874" spans="1:31" hidden="1" outlineLevel="1" x14ac:dyDescent="0.35">
      <c r="B874" s="329" t="s">
        <v>84</v>
      </c>
      <c r="C874" s="44" t="s">
        <v>28</v>
      </c>
      <c r="D874" s="234">
        <v>8.3599999999999994E-2</v>
      </c>
      <c r="E874" s="64"/>
      <c r="F874" s="265">
        <f t="shared" si="538"/>
        <v>6222</v>
      </c>
      <c r="G874" s="218">
        <v>520.14</v>
      </c>
      <c r="H874" s="274"/>
      <c r="I874" s="238"/>
      <c r="J874" s="265"/>
      <c r="K874" s="193"/>
      <c r="L874" s="274"/>
      <c r="M874" s="238"/>
      <c r="N874" s="265"/>
      <c r="O874" s="193"/>
      <c r="P874" s="272">
        <v>7.36</v>
      </c>
      <c r="Q874" s="236">
        <v>8.3599999999999994E-2</v>
      </c>
      <c r="R874" s="265">
        <f t="shared" si="539"/>
        <v>36443</v>
      </c>
      <c r="S874" s="193">
        <f t="shared" si="540"/>
        <v>3047</v>
      </c>
      <c r="T874" s="232"/>
      <c r="U874" s="289"/>
      <c r="V874" s="199"/>
      <c r="W874" s="232">
        <f t="shared" si="541"/>
        <v>8.3599999999999994E-2</v>
      </c>
      <c r="X874" s="289">
        <v>23600</v>
      </c>
      <c r="Y874" s="199">
        <f t="shared" si="542"/>
        <v>1972.9599999999998</v>
      </c>
      <c r="Z874" s="153"/>
      <c r="AA874" s="147"/>
      <c r="AB874" s="101">
        <f t="shared" si="543"/>
        <v>0</v>
      </c>
      <c r="AC874" s="226"/>
      <c r="AD874" s="304">
        <f t="shared" si="544"/>
        <v>12843</v>
      </c>
      <c r="AE874" s="305">
        <f t="shared" si="549"/>
        <v>1074.0400000000002</v>
      </c>
    </row>
    <row r="875" spans="1:31" hidden="1" outlineLevel="1" x14ac:dyDescent="0.35">
      <c r="B875" s="329" t="s">
        <v>824</v>
      </c>
      <c r="C875" s="44" t="s">
        <v>17</v>
      </c>
      <c r="D875" s="234">
        <f>0.1778+0.21+0.594</f>
        <v>0.98180000000000001</v>
      </c>
      <c r="E875" s="64"/>
      <c r="F875" s="265">
        <f t="shared" si="538"/>
        <v>508</v>
      </c>
      <c r="G875" s="218">
        <f>97+95+306.43</f>
        <v>498.43</v>
      </c>
      <c r="H875" s="274">
        <v>5.55</v>
      </c>
      <c r="I875" s="238">
        <f>0.2891+0.3416</f>
        <v>0.63070000000000004</v>
      </c>
      <c r="J875" s="265">
        <f t="shared" si="545"/>
        <v>2244</v>
      </c>
      <c r="K875" s="193">
        <f t="shared" si="546"/>
        <v>1415</v>
      </c>
      <c r="L875" s="274"/>
      <c r="M875" s="238"/>
      <c r="N875" s="265"/>
      <c r="O875" s="193"/>
      <c r="P875" s="274">
        <v>7.36</v>
      </c>
      <c r="Q875" s="236">
        <v>0.59399999999999997</v>
      </c>
      <c r="R875" s="265">
        <f t="shared" si="539"/>
        <v>2975</v>
      </c>
      <c r="S875" s="193">
        <f t="shared" si="540"/>
        <v>1767</v>
      </c>
      <c r="T875" s="232">
        <f t="shared" si="547"/>
        <v>0.63070000000000004</v>
      </c>
      <c r="U875" s="289">
        <v>2500</v>
      </c>
      <c r="V875" s="199">
        <f t="shared" si="548"/>
        <v>1576.75</v>
      </c>
      <c r="W875" s="232">
        <f t="shared" si="541"/>
        <v>0.59399999999999997</v>
      </c>
      <c r="X875" s="289">
        <v>2500</v>
      </c>
      <c r="Y875" s="199">
        <f t="shared" si="542"/>
        <v>1485</v>
      </c>
      <c r="Z875" s="153"/>
      <c r="AA875" s="147"/>
      <c r="AB875" s="101">
        <f t="shared" si="543"/>
        <v>0</v>
      </c>
      <c r="AC875" s="226"/>
      <c r="AD875" s="304">
        <f t="shared" si="544"/>
        <v>475</v>
      </c>
      <c r="AE875" s="305">
        <f t="shared" si="549"/>
        <v>120.25</v>
      </c>
    </row>
    <row r="876" spans="1:31" hidden="1" outlineLevel="1" x14ac:dyDescent="0.35">
      <c r="B876" s="329" t="s">
        <v>415</v>
      </c>
      <c r="C876" s="44" t="s">
        <v>16</v>
      </c>
      <c r="D876" s="234">
        <v>9.8000000000000007</v>
      </c>
      <c r="E876" s="64"/>
      <c r="F876" s="265">
        <f t="shared" si="538"/>
        <v>152</v>
      </c>
      <c r="G876" s="218">
        <v>1488.82</v>
      </c>
      <c r="H876" s="274"/>
      <c r="I876" s="238"/>
      <c r="J876" s="265"/>
      <c r="K876" s="193"/>
      <c r="L876" s="274"/>
      <c r="M876" s="238"/>
      <c r="N876" s="265"/>
      <c r="O876" s="193"/>
      <c r="P876" s="274">
        <v>6.9</v>
      </c>
      <c r="Q876" s="236">
        <v>9.8000000000000007</v>
      </c>
      <c r="R876" s="265">
        <f t="shared" si="539"/>
        <v>835</v>
      </c>
      <c r="S876" s="193">
        <f t="shared" si="540"/>
        <v>8179</v>
      </c>
      <c r="T876" s="232"/>
      <c r="U876" s="289"/>
      <c r="V876" s="199"/>
      <c r="W876" s="232">
        <f t="shared" si="541"/>
        <v>9.8000000000000007</v>
      </c>
      <c r="X876" s="289">
        <v>104</v>
      </c>
      <c r="Y876" s="199">
        <f t="shared" si="542"/>
        <v>1019.2</v>
      </c>
      <c r="Z876" s="153"/>
      <c r="AA876" s="147"/>
      <c r="AB876" s="101">
        <f t="shared" si="543"/>
        <v>0</v>
      </c>
      <c r="AC876" s="226"/>
      <c r="AD876" s="304">
        <f t="shared" si="544"/>
        <v>731</v>
      </c>
      <c r="AE876" s="305">
        <f t="shared" si="549"/>
        <v>7159.8</v>
      </c>
    </row>
    <row r="877" spans="1:31" hidden="1" outlineLevel="1" x14ac:dyDescent="0.35">
      <c r="A877" s="142"/>
      <c r="B877" s="329" t="s">
        <v>416</v>
      </c>
      <c r="C877" s="44" t="s">
        <v>28</v>
      </c>
      <c r="D877" s="234">
        <v>6.1199999999999997E-2</v>
      </c>
      <c r="E877" s="64"/>
      <c r="F877" s="265">
        <f t="shared" si="538"/>
        <v>1628</v>
      </c>
      <c r="G877" s="218">
        <v>99.63</v>
      </c>
      <c r="H877" s="274"/>
      <c r="I877" s="238"/>
      <c r="J877" s="265"/>
      <c r="K877" s="193"/>
      <c r="L877" s="274"/>
      <c r="M877" s="238"/>
      <c r="N877" s="265"/>
      <c r="O877" s="193"/>
      <c r="P877" s="274">
        <v>5.91</v>
      </c>
      <c r="Q877" s="236">
        <v>6.1199999999999997E-2</v>
      </c>
      <c r="R877" s="265">
        <f t="shared" si="539"/>
        <v>7657</v>
      </c>
      <c r="S877" s="193">
        <f t="shared" si="540"/>
        <v>469</v>
      </c>
      <c r="T877" s="232"/>
      <c r="U877" s="289"/>
      <c r="V877" s="199"/>
      <c r="W877" s="232">
        <f t="shared" si="541"/>
        <v>6.1199999999999997E-2</v>
      </c>
      <c r="X877" s="289">
        <v>2700</v>
      </c>
      <c r="Y877" s="199">
        <f t="shared" si="542"/>
        <v>165.23999999999998</v>
      </c>
      <c r="Z877" s="153"/>
      <c r="AA877" s="147"/>
      <c r="AB877" s="101">
        <f t="shared" si="543"/>
        <v>0</v>
      </c>
      <c r="AC877" s="226"/>
      <c r="AD877" s="304">
        <f t="shared" si="544"/>
        <v>4957</v>
      </c>
      <c r="AE877" s="305">
        <f t="shared" si="549"/>
        <v>303.76</v>
      </c>
    </row>
    <row r="878" spans="1:31" hidden="1" outlineLevel="1" x14ac:dyDescent="0.35">
      <c r="B878" s="329" t="s">
        <v>823</v>
      </c>
      <c r="C878" s="44" t="s">
        <v>17</v>
      </c>
      <c r="D878" s="234">
        <f>11+1366+72.25+7.0506+108.4</f>
        <v>1564.7006000000001</v>
      </c>
      <c r="E878" s="64"/>
      <c r="F878" s="265">
        <f t="shared" si="538"/>
        <v>234</v>
      </c>
      <c r="G878" s="218">
        <f>2503+310691+21216+645+30868.793</f>
        <v>365923.79300000001</v>
      </c>
      <c r="H878" s="272">
        <v>5.55</v>
      </c>
      <c r="I878" s="238">
        <v>11</v>
      </c>
      <c r="J878" s="265">
        <f t="shared" si="545"/>
        <v>1034</v>
      </c>
      <c r="K878" s="193">
        <f t="shared" si="546"/>
        <v>11369</v>
      </c>
      <c r="L878" s="274"/>
      <c r="M878" s="238"/>
      <c r="N878" s="265"/>
      <c r="O878" s="193"/>
      <c r="P878" s="274">
        <v>6.9</v>
      </c>
      <c r="Q878" s="236">
        <f>1366+72.25+108.4</f>
        <v>1546.65</v>
      </c>
      <c r="R878" s="265">
        <f t="shared" si="539"/>
        <v>1285</v>
      </c>
      <c r="S878" s="193">
        <f>ROUND(Q878*P878*F878*0.7958,0)</f>
        <v>1987289</v>
      </c>
      <c r="T878" s="232">
        <f t="shared" si="547"/>
        <v>11</v>
      </c>
      <c r="U878" s="289">
        <v>892</v>
      </c>
      <c r="V878" s="199">
        <f t="shared" si="548"/>
        <v>9812</v>
      </c>
      <c r="W878" s="232">
        <f t="shared" si="541"/>
        <v>1546.65</v>
      </c>
      <c r="X878" s="296">
        <v>1100</v>
      </c>
      <c r="Y878" s="199">
        <f t="shared" si="542"/>
        <v>1701315</v>
      </c>
      <c r="Z878" s="153"/>
      <c r="AA878" s="147"/>
      <c r="AB878" s="101">
        <f t="shared" si="543"/>
        <v>0</v>
      </c>
      <c r="AC878" s="226"/>
      <c r="AD878" s="304">
        <f t="shared" si="544"/>
        <v>185</v>
      </c>
      <c r="AE878" s="305">
        <f t="shared" si="549"/>
        <v>287531</v>
      </c>
    </row>
    <row r="879" spans="1:31" hidden="1" outlineLevel="1" x14ac:dyDescent="0.35">
      <c r="A879" s="142"/>
      <c r="B879" s="329" t="s">
        <v>417</v>
      </c>
      <c r="C879" s="44" t="s">
        <v>28</v>
      </c>
      <c r="D879" s="234">
        <f>116.8+1242</f>
        <v>1358.8</v>
      </c>
      <c r="E879" s="64"/>
      <c r="F879" s="265">
        <f t="shared" si="538"/>
        <v>258</v>
      </c>
      <c r="G879" s="218">
        <f>30186+321019.74</f>
        <v>351205.74</v>
      </c>
      <c r="H879" s="274"/>
      <c r="I879" s="238"/>
      <c r="J879" s="265"/>
      <c r="K879" s="193"/>
      <c r="L879" s="274"/>
      <c r="M879" s="238"/>
      <c r="N879" s="265"/>
      <c r="O879" s="193"/>
      <c r="P879" s="274">
        <v>6.9</v>
      </c>
      <c r="Q879" s="236">
        <f>116.8+1242</f>
        <v>1358.8</v>
      </c>
      <c r="R879" s="265">
        <f t="shared" si="539"/>
        <v>1417</v>
      </c>
      <c r="S879" s="193">
        <f t="shared" si="540"/>
        <v>1924989</v>
      </c>
      <c r="T879" s="232"/>
      <c r="U879" s="289"/>
      <c r="V879" s="199"/>
      <c r="W879" s="232">
        <f t="shared" si="541"/>
        <v>1358.8</v>
      </c>
      <c r="X879" s="296">
        <v>1300</v>
      </c>
      <c r="Y879" s="199">
        <f t="shared" si="542"/>
        <v>1766440</v>
      </c>
      <c r="Z879" s="153"/>
      <c r="AA879" s="147"/>
      <c r="AB879" s="101">
        <f t="shared" si="543"/>
        <v>0</v>
      </c>
      <c r="AC879" s="226"/>
      <c r="AD879" s="302">
        <f t="shared" si="544"/>
        <v>117</v>
      </c>
      <c r="AE879" s="202">
        <f t="shared" si="549"/>
        <v>158549</v>
      </c>
    </row>
    <row r="880" spans="1:31" hidden="1" outlineLevel="1" x14ac:dyDescent="0.35">
      <c r="B880" s="329" t="s">
        <v>822</v>
      </c>
      <c r="C880" s="44" t="s">
        <v>17</v>
      </c>
      <c r="D880" s="234">
        <v>1505</v>
      </c>
      <c r="E880" s="64"/>
      <c r="F880" s="265">
        <f>ROUND(G880/D880,0)</f>
        <v>233</v>
      </c>
      <c r="G880" s="218">
        <v>351128</v>
      </c>
      <c r="H880" s="275"/>
      <c r="I880" s="226"/>
      <c r="J880" s="265"/>
      <c r="K880" s="193"/>
      <c r="L880" s="275"/>
      <c r="M880" s="226"/>
      <c r="N880" s="265"/>
      <c r="O880" s="193"/>
      <c r="P880" s="272">
        <v>7.36</v>
      </c>
      <c r="Q880" s="236">
        <v>1505</v>
      </c>
      <c r="R880" s="265">
        <f>ROUND(F880*P880*0.7958,0)</f>
        <v>1365</v>
      </c>
      <c r="S880" s="193">
        <f>ROUND(Q880*P880*F880*0.7958,0)</f>
        <v>2053876</v>
      </c>
      <c r="T880" s="232"/>
      <c r="U880" s="289"/>
      <c r="V880" s="199"/>
      <c r="W880" s="232">
        <f t="shared" si="541"/>
        <v>1505</v>
      </c>
      <c r="X880" s="289">
        <v>1125</v>
      </c>
      <c r="Y880" s="199">
        <f t="shared" si="542"/>
        <v>1693125</v>
      </c>
      <c r="Z880" s="153"/>
      <c r="AA880" s="147"/>
      <c r="AB880" s="101">
        <f>ROUND(Z880*AA880,0)</f>
        <v>0</v>
      </c>
      <c r="AC880" s="226"/>
      <c r="AD880" s="304">
        <f t="shared" si="544"/>
        <v>240</v>
      </c>
      <c r="AE880" s="202">
        <f t="shared" si="549"/>
        <v>360751</v>
      </c>
    </row>
    <row r="881" spans="1:32" hidden="1" outlineLevel="1" x14ac:dyDescent="0.35">
      <c r="B881" s="329" t="s">
        <v>413</v>
      </c>
      <c r="C881" s="44" t="s">
        <v>17</v>
      </c>
      <c r="D881" s="234">
        <v>11704.7</v>
      </c>
      <c r="E881" s="64"/>
      <c r="F881" s="265">
        <f>ROUND(G881/D881,0)</f>
        <v>20</v>
      </c>
      <c r="G881" s="218">
        <v>239829.3</v>
      </c>
      <c r="H881" s="274">
        <v>6.83</v>
      </c>
      <c r="I881" s="238">
        <v>21073.62</v>
      </c>
      <c r="J881" s="265">
        <f>ROUND(F881*H881*0.7958,0)</f>
        <v>109</v>
      </c>
      <c r="K881" s="193">
        <f>ROUND(I881*H881*F881*0.7958,0)</f>
        <v>2290835</v>
      </c>
      <c r="L881" s="273"/>
      <c r="M881" s="232"/>
      <c r="N881" s="265"/>
      <c r="O881" s="193"/>
      <c r="P881" s="266">
        <v>6.83</v>
      </c>
      <c r="Q881" s="237">
        <v>-9368.9199999999983</v>
      </c>
      <c r="R881" s="287">
        <f>ROUND(F881*P881*0.7958,0)</f>
        <v>109</v>
      </c>
      <c r="S881" s="205">
        <f>ROUND(Q881*P881*F881*0.7958,0)</f>
        <v>-1018460</v>
      </c>
      <c r="T881" s="232">
        <f t="shared" si="547"/>
        <v>21073.62</v>
      </c>
      <c r="U881" s="289">
        <v>360</v>
      </c>
      <c r="V881" s="199">
        <f t="shared" si="548"/>
        <v>7586503.1999999993</v>
      </c>
      <c r="W881" s="232"/>
      <c r="X881" s="289"/>
      <c r="Y881" s="199"/>
      <c r="Z881" s="153"/>
      <c r="AA881" s="147"/>
      <c r="AB881" s="101">
        <f>ROUND(Z881*AA881,0)</f>
        <v>0</v>
      </c>
      <c r="AC881" s="226"/>
      <c r="AD881" s="302">
        <f t="shared" si="544"/>
        <v>109</v>
      </c>
      <c r="AE881" s="202">
        <f t="shared" si="549"/>
        <v>-6314128.1999999993</v>
      </c>
    </row>
    <row r="882" spans="1:32" hidden="1" outlineLevel="1" x14ac:dyDescent="0.35">
      <c r="B882" s="329" t="s">
        <v>62</v>
      </c>
      <c r="C882" s="44" t="s">
        <v>17</v>
      </c>
      <c r="D882" s="234">
        <v>35323.299999999996</v>
      </c>
      <c r="E882" s="64"/>
      <c r="F882" s="265">
        <f>ROUND(G882/D882,0)</f>
        <v>56</v>
      </c>
      <c r="G882" s="218">
        <v>1969273.98</v>
      </c>
      <c r="H882" s="272">
        <v>6.37</v>
      </c>
      <c r="I882" s="236">
        <v>25765.300000000003</v>
      </c>
      <c r="J882" s="265">
        <f>ROUND(F882*H882*0.7958,0)</f>
        <v>284</v>
      </c>
      <c r="K882" s="193">
        <f>ROUND(I882*H882*F882*0.7958,0)</f>
        <v>7314196</v>
      </c>
      <c r="L882" s="272">
        <v>6.9</v>
      </c>
      <c r="M882" s="236">
        <v>7250.86</v>
      </c>
      <c r="N882" s="265">
        <f>ROUND(F882*L882*0.7958,0)</f>
        <v>307</v>
      </c>
      <c r="O882" s="193">
        <f>ROUND(M882*L882*F882*0.7958,0)</f>
        <v>2229619</v>
      </c>
      <c r="P882" s="272">
        <v>7.36</v>
      </c>
      <c r="Q882" s="236">
        <v>2307.1399999999931</v>
      </c>
      <c r="R882" s="265">
        <f>ROUND(F882*P882*0.7958,0)</f>
        <v>328</v>
      </c>
      <c r="S882" s="193">
        <f>ROUND(Q882*P882*F882*0.7958,0)</f>
        <v>756735</v>
      </c>
      <c r="T882" s="232">
        <f>I882+M882</f>
        <v>33016.160000000003</v>
      </c>
      <c r="U882" s="289">
        <v>360</v>
      </c>
      <c r="V882" s="199">
        <f>T882*U882</f>
        <v>11885817.600000001</v>
      </c>
      <c r="W882" s="232">
        <f>Q882</f>
        <v>2307.1399999999931</v>
      </c>
      <c r="X882" s="289">
        <v>360</v>
      </c>
      <c r="Y882" s="200">
        <f>W882*X882</f>
        <v>830570.39999999746</v>
      </c>
      <c r="Z882" s="153"/>
      <c r="AA882" s="147"/>
      <c r="AB882" s="101">
        <f>ROUND(Z882*AA882,0)</f>
        <v>0</v>
      </c>
      <c r="AC882" s="226"/>
      <c r="AD882" s="302">
        <f t="shared" si="544"/>
        <v>-32</v>
      </c>
      <c r="AE882" s="202">
        <f t="shared" si="549"/>
        <v>-4645456.9999999991</v>
      </c>
    </row>
    <row r="883" spans="1:32" s="95" customFormat="1" hidden="1" collapsed="1" x14ac:dyDescent="0.3">
      <c r="A883" s="98"/>
      <c r="B883" s="160"/>
      <c r="C883" s="107"/>
      <c r="D883" s="253"/>
      <c r="E883" s="98"/>
      <c r="F883" s="154"/>
      <c r="G883" s="214"/>
      <c r="H883" s="154"/>
      <c r="I883" s="231"/>
      <c r="J883" s="154"/>
      <c r="K883" s="194"/>
      <c r="L883" s="154"/>
      <c r="M883" s="231"/>
      <c r="N883" s="154"/>
      <c r="O883" s="194"/>
      <c r="P883" s="154"/>
      <c r="Q883" s="231"/>
      <c r="R883" s="286"/>
      <c r="S883" s="194"/>
      <c r="T883" s="231"/>
      <c r="U883" s="155"/>
      <c r="V883" s="194"/>
      <c r="W883" s="231"/>
      <c r="X883" s="155"/>
      <c r="Y883" s="194"/>
      <c r="Z883" s="157"/>
      <c r="AA883" s="156"/>
      <c r="AB883" s="156"/>
      <c r="AC883" s="194"/>
      <c r="AD883" s="155"/>
      <c r="AE883" s="194"/>
    </row>
    <row r="884" spans="1:32" ht="37.5" hidden="1" customHeight="1" x14ac:dyDescent="0.3">
      <c r="A884" s="18"/>
      <c r="B884" s="1082" t="s">
        <v>542</v>
      </c>
      <c r="C884" s="1083"/>
      <c r="D884" s="1083"/>
      <c r="E884" s="1083"/>
      <c r="F884" s="1084"/>
      <c r="G884" s="333">
        <f>SUM(G885:G904)</f>
        <v>1073321.03</v>
      </c>
      <c r="H884" s="320"/>
      <c r="I884" s="320"/>
      <c r="J884" s="320"/>
      <c r="K884" s="336">
        <f>SUM(K885:K904)</f>
        <v>1044308</v>
      </c>
      <c r="L884" s="320"/>
      <c r="M884" s="320"/>
      <c r="N884" s="320"/>
      <c r="O884" s="321">
        <f>SUM(O885:O904)</f>
        <v>0</v>
      </c>
      <c r="P884" s="320"/>
      <c r="Q884" s="320"/>
      <c r="R884" s="320"/>
      <c r="S884" s="336">
        <f>SUM(S885:S904)</f>
        <v>5106602</v>
      </c>
      <c r="T884" s="320"/>
      <c r="U884" s="322"/>
      <c r="V884" s="321">
        <f>SUM(V885:V904)</f>
        <v>3523716</v>
      </c>
      <c r="W884" s="320"/>
      <c r="X884" s="322"/>
      <c r="Y884" s="321">
        <f>SUM(Y885:Y904)</f>
        <v>5153919.5719999997</v>
      </c>
      <c r="Z884" s="322"/>
      <c r="AA884" s="322"/>
      <c r="AB884" s="322"/>
      <c r="AC884" s="322"/>
      <c r="AD884" s="322"/>
      <c r="AE884" s="338">
        <f>SUM(AE885:AE904)</f>
        <v>-2526725.5719999997</v>
      </c>
      <c r="AF884" s="324">
        <f>AE884/S884</f>
        <v>-0.49479586856387081</v>
      </c>
    </row>
    <row r="885" spans="1:32" ht="33" hidden="1" customHeight="1" outlineLevel="1" x14ac:dyDescent="0.35">
      <c r="A885" s="141"/>
      <c r="B885" s="329" t="s">
        <v>829</v>
      </c>
      <c r="C885" s="44" t="s">
        <v>28</v>
      </c>
      <c r="D885" s="234">
        <v>308.89999999999998</v>
      </c>
      <c r="E885" s="64"/>
      <c r="F885" s="265">
        <f t="shared" si="538"/>
        <v>393</v>
      </c>
      <c r="G885" s="219">
        <v>121277.23</v>
      </c>
      <c r="H885" s="274"/>
      <c r="I885" s="238"/>
      <c r="J885" s="265"/>
      <c r="K885" s="193"/>
      <c r="L885" s="272"/>
      <c r="M885" s="236"/>
      <c r="N885" s="265"/>
      <c r="O885" s="193"/>
      <c r="P885" s="272">
        <v>7.36</v>
      </c>
      <c r="Q885" s="236">
        <f t="shared" ref="Q885:Q902" si="550">D885-I885-M885</f>
        <v>308.89999999999998</v>
      </c>
      <c r="R885" s="265">
        <f t="shared" si="539"/>
        <v>2302</v>
      </c>
      <c r="S885" s="193">
        <f t="shared" si="540"/>
        <v>711037</v>
      </c>
      <c r="T885" s="230"/>
      <c r="U885" s="290"/>
      <c r="V885" s="200"/>
      <c r="W885" s="232">
        <f t="shared" ref="W885:W902" si="551">Q885</f>
        <v>308.89999999999998</v>
      </c>
      <c r="X885" s="289">
        <v>2495</v>
      </c>
      <c r="Y885" s="199">
        <f t="shared" ref="Y885:Y902" si="552">W885*X885</f>
        <v>770705.5</v>
      </c>
      <c r="Z885" s="153"/>
      <c r="AA885" s="147"/>
      <c r="AB885" s="101">
        <f t="shared" si="543"/>
        <v>0</v>
      </c>
      <c r="AC885" s="226"/>
      <c r="AD885" s="302">
        <f t="shared" ref="AD885" si="553">R885-X885</f>
        <v>-193</v>
      </c>
      <c r="AE885" s="202">
        <f t="shared" ref="AE885" si="554">S885-Y885</f>
        <v>-59668.5</v>
      </c>
    </row>
    <row r="886" spans="1:32" hidden="1" outlineLevel="1" x14ac:dyDescent="0.35">
      <c r="B886" s="329" t="s">
        <v>99</v>
      </c>
      <c r="C886" s="44" t="s">
        <v>17</v>
      </c>
      <c r="D886" s="234">
        <v>1.123</v>
      </c>
      <c r="E886" s="64"/>
      <c r="F886" s="265">
        <f t="shared" si="538"/>
        <v>569</v>
      </c>
      <c r="G886" s="219">
        <v>638.82000000000005</v>
      </c>
      <c r="H886" s="274"/>
      <c r="I886" s="238"/>
      <c r="J886" s="265"/>
      <c r="K886" s="193"/>
      <c r="L886" s="272"/>
      <c r="M886" s="236"/>
      <c r="N886" s="265"/>
      <c r="O886" s="193"/>
      <c r="P886" s="272">
        <v>7.36</v>
      </c>
      <c r="Q886" s="236">
        <f t="shared" si="550"/>
        <v>1.123</v>
      </c>
      <c r="R886" s="265">
        <f t="shared" si="539"/>
        <v>3333</v>
      </c>
      <c r="S886" s="193">
        <f t="shared" si="540"/>
        <v>3743</v>
      </c>
      <c r="T886" s="230"/>
      <c r="U886" s="290"/>
      <c r="V886" s="200"/>
      <c r="W886" s="232">
        <f t="shared" si="551"/>
        <v>1.123</v>
      </c>
      <c r="X886" s="296">
        <v>3350</v>
      </c>
      <c r="Y886" s="199">
        <f t="shared" si="552"/>
        <v>3762.05</v>
      </c>
      <c r="Z886" s="153"/>
      <c r="AA886" s="147"/>
      <c r="AB886" s="101">
        <f t="shared" si="543"/>
        <v>0</v>
      </c>
      <c r="AC886" s="226"/>
      <c r="AD886" s="302">
        <f t="shared" ref="AD886:AD904" si="555">R886-X886</f>
        <v>-17</v>
      </c>
      <c r="AE886" s="202">
        <f t="shared" ref="AE886:AE902" si="556">S886-Y886</f>
        <v>-19.050000000000182</v>
      </c>
    </row>
    <row r="887" spans="1:32" ht="21" hidden="1" customHeight="1" outlineLevel="1" x14ac:dyDescent="0.35">
      <c r="A887" s="141"/>
      <c r="B887" s="329" t="s">
        <v>834</v>
      </c>
      <c r="C887" s="44" t="s">
        <v>28</v>
      </c>
      <c r="D887" s="234">
        <f>0.2127+4.12</f>
        <v>4.3327</v>
      </c>
      <c r="E887" s="64"/>
      <c r="F887" s="265">
        <f t="shared" si="538"/>
        <v>1647</v>
      </c>
      <c r="G887" s="219">
        <f>395+6741.76</f>
        <v>7136.76</v>
      </c>
      <c r="H887" s="274"/>
      <c r="I887" s="238"/>
      <c r="J887" s="265"/>
      <c r="K887" s="193"/>
      <c r="L887" s="272"/>
      <c r="M887" s="236"/>
      <c r="N887" s="265"/>
      <c r="O887" s="193"/>
      <c r="P887" s="272">
        <v>7.36</v>
      </c>
      <c r="Q887" s="236">
        <f t="shared" si="550"/>
        <v>4.3327</v>
      </c>
      <c r="R887" s="265">
        <f t="shared" si="539"/>
        <v>9647</v>
      </c>
      <c r="S887" s="193">
        <f t="shared" si="540"/>
        <v>41796</v>
      </c>
      <c r="T887" s="230"/>
      <c r="U887" s="290"/>
      <c r="V887" s="200"/>
      <c r="W887" s="232">
        <f t="shared" si="551"/>
        <v>4.3327</v>
      </c>
      <c r="X887" s="289">
        <v>29785</v>
      </c>
      <c r="Y887" s="199">
        <f t="shared" si="552"/>
        <v>129049.46950000001</v>
      </c>
      <c r="Z887" s="153"/>
      <c r="AA887" s="147"/>
      <c r="AB887" s="101">
        <f t="shared" si="543"/>
        <v>0</v>
      </c>
      <c r="AC887" s="226"/>
      <c r="AD887" s="302">
        <f t="shared" si="555"/>
        <v>-20138</v>
      </c>
      <c r="AE887" s="202">
        <f t="shared" si="556"/>
        <v>-87253.469500000007</v>
      </c>
    </row>
    <row r="888" spans="1:32" hidden="1" outlineLevel="1" x14ac:dyDescent="0.35">
      <c r="B888" s="329" t="s">
        <v>846</v>
      </c>
      <c r="C888" s="44" t="s">
        <v>17</v>
      </c>
      <c r="D888" s="234">
        <v>1.5894999999999999</v>
      </c>
      <c r="E888" s="64"/>
      <c r="F888" s="265">
        <f t="shared" si="538"/>
        <v>1416</v>
      </c>
      <c r="G888" s="219">
        <v>2250.2399999999998</v>
      </c>
      <c r="H888" s="274"/>
      <c r="I888" s="238"/>
      <c r="J888" s="265"/>
      <c r="K888" s="193"/>
      <c r="L888" s="272"/>
      <c r="M888" s="236"/>
      <c r="N888" s="265"/>
      <c r="O888" s="193"/>
      <c r="P888" s="272">
        <v>7.36</v>
      </c>
      <c r="Q888" s="236">
        <f t="shared" si="550"/>
        <v>1.5894999999999999</v>
      </c>
      <c r="R888" s="265">
        <f t="shared" si="539"/>
        <v>8294</v>
      </c>
      <c r="S888" s="193">
        <f t="shared" si="540"/>
        <v>13183</v>
      </c>
      <c r="T888" s="230"/>
      <c r="U888" s="290"/>
      <c r="V888" s="200"/>
      <c r="W888" s="232">
        <f t="shared" si="551"/>
        <v>1.5894999999999999</v>
      </c>
      <c r="X888" s="289">
        <v>11500</v>
      </c>
      <c r="Y888" s="199">
        <f t="shared" si="552"/>
        <v>18279.25</v>
      </c>
      <c r="Z888" s="153"/>
      <c r="AA888" s="147"/>
      <c r="AB888" s="101">
        <f t="shared" si="543"/>
        <v>0</v>
      </c>
      <c r="AC888" s="226"/>
      <c r="AD888" s="302">
        <f t="shared" si="555"/>
        <v>-3206</v>
      </c>
      <c r="AE888" s="202">
        <f t="shared" si="556"/>
        <v>-5096.25</v>
      </c>
    </row>
    <row r="889" spans="1:32" hidden="1" outlineLevel="1" x14ac:dyDescent="0.35">
      <c r="A889" s="141"/>
      <c r="B889" s="329" t="s">
        <v>836</v>
      </c>
      <c r="C889" s="44" t="s">
        <v>16</v>
      </c>
      <c r="D889" s="234">
        <v>73.98</v>
      </c>
      <c r="E889" s="64"/>
      <c r="F889" s="265">
        <f t="shared" si="538"/>
        <v>35</v>
      </c>
      <c r="G889" s="219">
        <v>2591.52</v>
      </c>
      <c r="H889" s="274"/>
      <c r="I889" s="238"/>
      <c r="J889" s="265"/>
      <c r="K889" s="193"/>
      <c r="L889" s="272"/>
      <c r="M889" s="236"/>
      <c r="N889" s="265"/>
      <c r="O889" s="193"/>
      <c r="P889" s="274">
        <v>6.9</v>
      </c>
      <c r="Q889" s="236">
        <f t="shared" si="550"/>
        <v>73.98</v>
      </c>
      <c r="R889" s="265">
        <f t="shared" si="539"/>
        <v>192</v>
      </c>
      <c r="S889" s="193">
        <f t="shared" si="540"/>
        <v>14218</v>
      </c>
      <c r="T889" s="230"/>
      <c r="U889" s="290"/>
      <c r="V889" s="200"/>
      <c r="W889" s="232">
        <f t="shared" si="551"/>
        <v>73.98</v>
      </c>
      <c r="X889" s="289">
        <v>136</v>
      </c>
      <c r="Y889" s="199">
        <f t="shared" si="552"/>
        <v>10061.280000000001</v>
      </c>
      <c r="Z889" s="153"/>
      <c r="AA889" s="147"/>
      <c r="AB889" s="101">
        <f t="shared" si="543"/>
        <v>0</v>
      </c>
      <c r="AC889" s="226"/>
      <c r="AD889" s="304">
        <f t="shared" si="555"/>
        <v>56</v>
      </c>
      <c r="AE889" s="305">
        <f t="shared" si="556"/>
        <v>4156.7199999999993</v>
      </c>
    </row>
    <row r="890" spans="1:32" hidden="1" outlineLevel="1" x14ac:dyDescent="0.35">
      <c r="A890" s="141"/>
      <c r="B890" s="329" t="s">
        <v>830</v>
      </c>
      <c r="C890" s="44" t="s">
        <v>20</v>
      </c>
      <c r="D890" s="234">
        <v>37</v>
      </c>
      <c r="E890" s="64"/>
      <c r="F890" s="265">
        <f t="shared" si="538"/>
        <v>14</v>
      </c>
      <c r="G890" s="219">
        <v>500.61</v>
      </c>
      <c r="H890" s="274"/>
      <c r="I890" s="238"/>
      <c r="J890" s="265"/>
      <c r="K890" s="193"/>
      <c r="L890" s="272"/>
      <c r="M890" s="236"/>
      <c r="N890" s="265"/>
      <c r="O890" s="193"/>
      <c r="P890" s="272">
        <v>7.36</v>
      </c>
      <c r="Q890" s="236">
        <f t="shared" si="550"/>
        <v>37</v>
      </c>
      <c r="R890" s="265">
        <f t="shared" si="539"/>
        <v>82</v>
      </c>
      <c r="S890" s="193">
        <f t="shared" si="540"/>
        <v>3034</v>
      </c>
      <c r="T890" s="230"/>
      <c r="U890" s="290"/>
      <c r="V890" s="200"/>
      <c r="W890" s="232">
        <f t="shared" si="551"/>
        <v>37</v>
      </c>
      <c r="X890" s="289">
        <v>40</v>
      </c>
      <c r="Y890" s="199">
        <f t="shared" si="552"/>
        <v>1480</v>
      </c>
      <c r="Z890" s="153"/>
      <c r="AA890" s="147"/>
      <c r="AB890" s="101">
        <f t="shared" si="543"/>
        <v>0</v>
      </c>
      <c r="AC890" s="226"/>
      <c r="AD890" s="304">
        <f t="shared" si="555"/>
        <v>42</v>
      </c>
      <c r="AE890" s="305">
        <f t="shared" si="556"/>
        <v>1554</v>
      </c>
    </row>
    <row r="891" spans="1:32" ht="62.4" hidden="1" outlineLevel="1" x14ac:dyDescent="0.35">
      <c r="A891" s="142"/>
      <c r="B891" s="329" t="s">
        <v>832</v>
      </c>
      <c r="C891" s="44" t="s">
        <v>17</v>
      </c>
      <c r="D891" s="234">
        <v>1724</v>
      </c>
      <c r="E891" s="164" t="s">
        <v>833</v>
      </c>
      <c r="F891" s="265">
        <f t="shared" si="538"/>
        <v>233</v>
      </c>
      <c r="G891" s="219">
        <v>402222.13</v>
      </c>
      <c r="H891" s="274"/>
      <c r="I891" s="238"/>
      <c r="J891" s="265"/>
      <c r="K891" s="193"/>
      <c r="L891" s="272"/>
      <c r="M891" s="236"/>
      <c r="N891" s="265"/>
      <c r="O891" s="193"/>
      <c r="P891" s="272">
        <v>7.36</v>
      </c>
      <c r="Q891" s="236">
        <f t="shared" si="550"/>
        <v>1724</v>
      </c>
      <c r="R891" s="265">
        <f t="shared" si="539"/>
        <v>1365</v>
      </c>
      <c r="S891" s="193">
        <f t="shared" si="540"/>
        <v>2352745</v>
      </c>
      <c r="T891" s="230"/>
      <c r="U891" s="290"/>
      <c r="V891" s="200"/>
      <c r="W891" s="232">
        <f>Q891*1.2</f>
        <v>2068.7999999999997</v>
      </c>
      <c r="X891" s="289">
        <v>1125</v>
      </c>
      <c r="Y891" s="199">
        <f t="shared" si="552"/>
        <v>2327399.9999999995</v>
      </c>
      <c r="Z891" s="153"/>
      <c r="AA891" s="147"/>
      <c r="AB891" s="101">
        <f t="shared" si="543"/>
        <v>0</v>
      </c>
      <c r="AC891" s="226"/>
      <c r="AD891" s="304">
        <f t="shared" si="555"/>
        <v>240</v>
      </c>
      <c r="AE891" s="305">
        <f t="shared" si="556"/>
        <v>25345.000000000466</v>
      </c>
    </row>
    <row r="892" spans="1:32" ht="37.5" hidden="1" customHeight="1" outlineLevel="1" x14ac:dyDescent="0.35">
      <c r="A892" s="141"/>
      <c r="B892" s="329" t="s">
        <v>838</v>
      </c>
      <c r="C892" s="44" t="s">
        <v>40</v>
      </c>
      <c r="D892" s="234">
        <v>6</v>
      </c>
      <c r="E892" s="64"/>
      <c r="F892" s="265">
        <f t="shared" si="538"/>
        <v>555</v>
      </c>
      <c r="G892" s="219">
        <v>3328.02</v>
      </c>
      <c r="H892" s="274"/>
      <c r="I892" s="238"/>
      <c r="J892" s="265"/>
      <c r="K892" s="193"/>
      <c r="L892" s="272"/>
      <c r="M892" s="236"/>
      <c r="N892" s="265"/>
      <c r="O892" s="193"/>
      <c r="P892" s="272">
        <v>7.36</v>
      </c>
      <c r="Q892" s="236">
        <f t="shared" si="550"/>
        <v>6</v>
      </c>
      <c r="R892" s="265">
        <f t="shared" si="539"/>
        <v>3251</v>
      </c>
      <c r="S892" s="193">
        <f t="shared" si="540"/>
        <v>19504</v>
      </c>
      <c r="T892" s="230"/>
      <c r="U892" s="290"/>
      <c r="V892" s="200"/>
      <c r="W892" s="232">
        <f t="shared" si="551"/>
        <v>6</v>
      </c>
      <c r="X892" s="289">
        <v>3716</v>
      </c>
      <c r="Y892" s="199">
        <f t="shared" si="552"/>
        <v>22296</v>
      </c>
      <c r="Z892" s="153"/>
      <c r="AA892" s="147"/>
      <c r="AB892" s="101">
        <f t="shared" si="543"/>
        <v>0</v>
      </c>
      <c r="AC892" s="226"/>
      <c r="AD892" s="302">
        <f t="shared" si="555"/>
        <v>-465</v>
      </c>
      <c r="AE892" s="202">
        <f t="shared" si="556"/>
        <v>-2792</v>
      </c>
    </row>
    <row r="893" spans="1:32" hidden="1" outlineLevel="1" x14ac:dyDescent="0.35">
      <c r="B893" s="329" t="s">
        <v>420</v>
      </c>
      <c r="C893" s="44" t="s">
        <v>28</v>
      </c>
      <c r="D893" s="234">
        <f>0.0041+0.0002</f>
        <v>4.3E-3</v>
      </c>
      <c r="E893" s="64"/>
      <c r="F893" s="265">
        <f t="shared" si="538"/>
        <v>24037</v>
      </c>
      <c r="G893" s="219">
        <f>100+3.36</f>
        <v>103.36</v>
      </c>
      <c r="H893" s="274"/>
      <c r="I893" s="238"/>
      <c r="J893" s="265"/>
      <c r="K893" s="193"/>
      <c r="L893" s="272"/>
      <c r="M893" s="236"/>
      <c r="N893" s="265"/>
      <c r="O893" s="193"/>
      <c r="P893" s="272">
        <v>7.36</v>
      </c>
      <c r="Q893" s="236">
        <f t="shared" si="550"/>
        <v>4.3E-3</v>
      </c>
      <c r="R893" s="265">
        <f t="shared" si="539"/>
        <v>140787</v>
      </c>
      <c r="S893" s="193">
        <f t="shared" si="540"/>
        <v>605</v>
      </c>
      <c r="T893" s="230"/>
      <c r="U893" s="290"/>
      <c r="V893" s="200"/>
      <c r="W893" s="232">
        <f t="shared" si="551"/>
        <v>4.3E-3</v>
      </c>
      <c r="X893" s="289">
        <v>108000</v>
      </c>
      <c r="Y893" s="199">
        <f t="shared" si="552"/>
        <v>464.4</v>
      </c>
      <c r="Z893" s="153"/>
      <c r="AA893" s="147"/>
      <c r="AB893" s="101">
        <f t="shared" si="543"/>
        <v>0</v>
      </c>
      <c r="AC893" s="226"/>
      <c r="AD893" s="304">
        <f t="shared" si="555"/>
        <v>32787</v>
      </c>
      <c r="AE893" s="305">
        <f t="shared" si="556"/>
        <v>140.60000000000002</v>
      </c>
    </row>
    <row r="894" spans="1:32" ht="31.2" hidden="1" outlineLevel="1" x14ac:dyDescent="0.35">
      <c r="A894" s="141"/>
      <c r="B894" s="329" t="s">
        <v>843</v>
      </c>
      <c r="C894" s="44" t="s">
        <v>5</v>
      </c>
      <c r="D894" s="234">
        <v>32</v>
      </c>
      <c r="E894" s="164" t="s">
        <v>1312</v>
      </c>
      <c r="F894" s="265">
        <f t="shared" si="538"/>
        <v>126</v>
      </c>
      <c r="G894" s="219">
        <v>4023.05</v>
      </c>
      <c r="H894" s="274"/>
      <c r="I894" s="238"/>
      <c r="J894" s="265"/>
      <c r="K894" s="193"/>
      <c r="L894" s="272"/>
      <c r="M894" s="236"/>
      <c r="N894" s="265"/>
      <c r="O894" s="193"/>
      <c r="P894" s="272">
        <v>7.36</v>
      </c>
      <c r="Q894" s="236">
        <f t="shared" si="550"/>
        <v>32</v>
      </c>
      <c r="R894" s="265">
        <f t="shared" si="539"/>
        <v>738</v>
      </c>
      <c r="S894" s="193">
        <f t="shared" si="540"/>
        <v>23616</v>
      </c>
      <c r="T894" s="230"/>
      <c r="U894" s="290"/>
      <c r="V894" s="200"/>
      <c r="W894" s="232">
        <v>32</v>
      </c>
      <c r="X894" s="289">
        <v>1665</v>
      </c>
      <c r="Y894" s="199">
        <f t="shared" si="552"/>
        <v>53280</v>
      </c>
      <c r="Z894" s="153"/>
      <c r="AA894" s="147"/>
      <c r="AB894" s="101">
        <f t="shared" si="543"/>
        <v>0</v>
      </c>
      <c r="AC894" s="226"/>
      <c r="AD894" s="302">
        <f t="shared" si="555"/>
        <v>-927</v>
      </c>
      <c r="AE894" s="202">
        <f t="shared" si="556"/>
        <v>-29664</v>
      </c>
    </row>
    <row r="895" spans="1:32" hidden="1" outlineLevel="1" x14ac:dyDescent="0.35">
      <c r="A895" s="141"/>
      <c r="B895" s="329" t="s">
        <v>421</v>
      </c>
      <c r="C895" s="44" t="s">
        <v>28</v>
      </c>
      <c r="D895" s="234">
        <v>0.14910000000000001</v>
      </c>
      <c r="E895" s="64"/>
      <c r="F895" s="265">
        <f>ROUND(G895/D895,0)</f>
        <v>6361</v>
      </c>
      <c r="G895" s="219">
        <v>948.45</v>
      </c>
      <c r="H895" s="274"/>
      <c r="I895" s="238"/>
      <c r="J895" s="265"/>
      <c r="K895" s="193"/>
      <c r="L895" s="272"/>
      <c r="M895" s="236"/>
      <c r="N895" s="265"/>
      <c r="O895" s="193"/>
      <c r="P895" s="272">
        <v>7.36</v>
      </c>
      <c r="Q895" s="236">
        <f>D895-I895-M895</f>
        <v>0.14910000000000001</v>
      </c>
      <c r="R895" s="265">
        <f>ROUND(F895*P895*0.7958,0)</f>
        <v>37257</v>
      </c>
      <c r="S895" s="193">
        <f>ROUND(Q895*P895*F895*0.7958,0)</f>
        <v>5555</v>
      </c>
      <c r="T895" s="230"/>
      <c r="U895" s="290"/>
      <c r="V895" s="200"/>
      <c r="W895" s="232">
        <f t="shared" si="551"/>
        <v>0.14910000000000001</v>
      </c>
      <c r="X895" s="296">
        <v>135525</v>
      </c>
      <c r="Y895" s="199">
        <f t="shared" si="552"/>
        <v>20206.7775</v>
      </c>
      <c r="Z895" s="153"/>
      <c r="AA895" s="147"/>
      <c r="AB895" s="101">
        <f>ROUND(Z895*AA895,0)</f>
        <v>0</v>
      </c>
      <c r="AC895" s="226"/>
      <c r="AD895" s="302">
        <f t="shared" si="555"/>
        <v>-98268</v>
      </c>
      <c r="AE895" s="202">
        <f t="shared" si="556"/>
        <v>-14651.7775</v>
      </c>
    </row>
    <row r="896" spans="1:32" hidden="1" outlineLevel="1" x14ac:dyDescent="0.35">
      <c r="B896" s="329" t="s">
        <v>84</v>
      </c>
      <c r="C896" s="44" t="s">
        <v>28</v>
      </c>
      <c r="D896" s="234">
        <v>6.54E-2</v>
      </c>
      <c r="E896" s="64"/>
      <c r="F896" s="265">
        <f t="shared" si="538"/>
        <v>6222</v>
      </c>
      <c r="G896" s="219">
        <v>406.91</v>
      </c>
      <c r="H896" s="274"/>
      <c r="I896" s="238"/>
      <c r="J896" s="265"/>
      <c r="K896" s="193"/>
      <c r="L896" s="272"/>
      <c r="M896" s="236"/>
      <c r="N896" s="265"/>
      <c r="O896" s="193"/>
      <c r="P896" s="272">
        <v>7.36</v>
      </c>
      <c r="Q896" s="236">
        <f t="shared" si="550"/>
        <v>6.54E-2</v>
      </c>
      <c r="R896" s="265">
        <f t="shared" si="539"/>
        <v>36443</v>
      </c>
      <c r="S896" s="193">
        <f t="shared" si="540"/>
        <v>2383</v>
      </c>
      <c r="T896" s="230"/>
      <c r="U896" s="290"/>
      <c r="V896" s="200"/>
      <c r="W896" s="232">
        <f t="shared" si="551"/>
        <v>6.54E-2</v>
      </c>
      <c r="X896" s="289">
        <v>23600</v>
      </c>
      <c r="Y896" s="199">
        <f t="shared" si="552"/>
        <v>1543.44</v>
      </c>
      <c r="Z896" s="153"/>
      <c r="AA896" s="147"/>
      <c r="AB896" s="101">
        <f t="shared" si="543"/>
        <v>0</v>
      </c>
      <c r="AC896" s="226"/>
      <c r="AD896" s="304">
        <f t="shared" si="555"/>
        <v>12843</v>
      </c>
      <c r="AE896" s="305">
        <f t="shared" si="556"/>
        <v>839.56</v>
      </c>
    </row>
    <row r="897" spans="1:32" ht="28.5" hidden="1" customHeight="1" outlineLevel="1" x14ac:dyDescent="0.35">
      <c r="A897" s="141"/>
      <c r="B897" s="329" t="s">
        <v>839</v>
      </c>
      <c r="C897" s="44" t="s">
        <v>841</v>
      </c>
      <c r="D897" s="234" t="s">
        <v>842</v>
      </c>
      <c r="E897" s="64" t="s">
        <v>840</v>
      </c>
      <c r="F897" s="265">
        <f>ROUND(G897/0.052,0)</f>
        <v>11737</v>
      </c>
      <c r="G897" s="219">
        <v>610.32000000000005</v>
      </c>
      <c r="H897" s="274"/>
      <c r="I897" s="238"/>
      <c r="J897" s="265"/>
      <c r="K897" s="193"/>
      <c r="L897" s="272"/>
      <c r="M897" s="236"/>
      <c r="N897" s="265"/>
      <c r="O897" s="193"/>
      <c r="P897" s="272">
        <v>7.36</v>
      </c>
      <c r="Q897" s="236">
        <f>0.052-I897-M897</f>
        <v>5.1999999999999998E-2</v>
      </c>
      <c r="R897" s="265">
        <f t="shared" si="539"/>
        <v>68745</v>
      </c>
      <c r="S897" s="193">
        <f t="shared" si="540"/>
        <v>3575</v>
      </c>
      <c r="T897" s="230"/>
      <c r="U897" s="290"/>
      <c r="V897" s="200"/>
      <c r="W897" s="232">
        <v>3</v>
      </c>
      <c r="X897" s="289">
        <v>1546</v>
      </c>
      <c r="Y897" s="199">
        <f t="shared" si="552"/>
        <v>4638</v>
      </c>
      <c r="Z897" s="153"/>
      <c r="AA897" s="147"/>
      <c r="AB897" s="101">
        <f t="shared" si="543"/>
        <v>0</v>
      </c>
      <c r="AC897" s="226"/>
      <c r="AD897" s="304"/>
      <c r="AE897" s="202">
        <f t="shared" si="556"/>
        <v>-1063</v>
      </c>
    </row>
    <row r="898" spans="1:32" ht="33.75" hidden="1" customHeight="1" outlineLevel="1" x14ac:dyDescent="0.35">
      <c r="A898" s="141"/>
      <c r="B898" s="329" t="s">
        <v>837</v>
      </c>
      <c r="C898" s="44" t="s">
        <v>40</v>
      </c>
      <c r="D898" s="234">
        <v>62</v>
      </c>
      <c r="E898" s="64"/>
      <c r="F898" s="265">
        <f t="shared" si="538"/>
        <v>45</v>
      </c>
      <c r="G898" s="219">
        <v>2816.66</v>
      </c>
      <c r="H898" s="274"/>
      <c r="I898" s="238"/>
      <c r="J898" s="265"/>
      <c r="K898" s="193"/>
      <c r="L898" s="272"/>
      <c r="M898" s="236"/>
      <c r="N898" s="265"/>
      <c r="O898" s="193"/>
      <c r="P898" s="272">
        <v>7.36</v>
      </c>
      <c r="Q898" s="236">
        <f t="shared" si="550"/>
        <v>62</v>
      </c>
      <c r="R898" s="265">
        <f t="shared" si="539"/>
        <v>264</v>
      </c>
      <c r="S898" s="193">
        <f t="shared" si="540"/>
        <v>16341</v>
      </c>
      <c r="T898" s="230"/>
      <c r="U898" s="290"/>
      <c r="V898" s="200"/>
      <c r="W898" s="232">
        <f t="shared" si="551"/>
        <v>62</v>
      </c>
      <c r="X898" s="289">
        <v>245</v>
      </c>
      <c r="Y898" s="199">
        <f t="shared" si="552"/>
        <v>15190</v>
      </c>
      <c r="Z898" s="153"/>
      <c r="AA898" s="147"/>
      <c r="AB898" s="101">
        <f t="shared" si="543"/>
        <v>0</v>
      </c>
      <c r="AC898" s="226"/>
      <c r="AD898" s="304">
        <f t="shared" si="555"/>
        <v>19</v>
      </c>
      <c r="AE898" s="305">
        <f t="shared" si="556"/>
        <v>1151</v>
      </c>
    </row>
    <row r="899" spans="1:32" ht="37.5" hidden="1" customHeight="1" outlineLevel="1" x14ac:dyDescent="0.35">
      <c r="A899" s="141"/>
      <c r="B899" s="329" t="s">
        <v>844</v>
      </c>
      <c r="C899" s="44" t="s">
        <v>16</v>
      </c>
      <c r="D899" s="234">
        <v>69.540000000000006</v>
      </c>
      <c r="E899" s="64" t="s">
        <v>845</v>
      </c>
      <c r="F899" s="265">
        <f t="shared" si="538"/>
        <v>18</v>
      </c>
      <c r="G899" s="219">
        <v>1247.55</v>
      </c>
      <c r="H899" s="274"/>
      <c r="I899" s="238"/>
      <c r="J899" s="265"/>
      <c r="K899" s="193"/>
      <c r="L899" s="272"/>
      <c r="M899" s="236"/>
      <c r="N899" s="265"/>
      <c r="O899" s="193"/>
      <c r="P899" s="272">
        <v>7.36</v>
      </c>
      <c r="Q899" s="236">
        <f t="shared" si="550"/>
        <v>69.540000000000006</v>
      </c>
      <c r="R899" s="265">
        <f t="shared" si="539"/>
        <v>105</v>
      </c>
      <c r="S899" s="193">
        <f t="shared" si="540"/>
        <v>7331</v>
      </c>
      <c r="T899" s="230"/>
      <c r="U899" s="290"/>
      <c r="V899" s="200"/>
      <c r="W899" s="232">
        <v>69.540000000000006</v>
      </c>
      <c r="X899" s="289">
        <v>70</v>
      </c>
      <c r="Y899" s="199">
        <f t="shared" si="552"/>
        <v>4867.8</v>
      </c>
      <c r="Z899" s="153"/>
      <c r="AA899" s="147"/>
      <c r="AB899" s="101">
        <f t="shared" si="543"/>
        <v>0</v>
      </c>
      <c r="AC899" s="226"/>
      <c r="AD899" s="304">
        <f t="shared" si="555"/>
        <v>35</v>
      </c>
      <c r="AE899" s="305">
        <f t="shared" si="556"/>
        <v>2463.1999999999998</v>
      </c>
    </row>
    <row r="900" spans="1:32" hidden="1" outlineLevel="1" x14ac:dyDescent="0.35">
      <c r="A900" s="142"/>
      <c r="B900" s="329" t="s">
        <v>416</v>
      </c>
      <c r="C900" s="44" t="s">
        <v>28</v>
      </c>
      <c r="D900" s="234">
        <v>9.3200000000000005E-2</v>
      </c>
      <c r="E900" s="64"/>
      <c r="F900" s="265">
        <f t="shared" si="538"/>
        <v>1628</v>
      </c>
      <c r="G900" s="219">
        <v>151.72999999999999</v>
      </c>
      <c r="H900" s="274"/>
      <c r="I900" s="238"/>
      <c r="J900" s="265"/>
      <c r="K900" s="193"/>
      <c r="L900" s="272"/>
      <c r="M900" s="236"/>
      <c r="N900" s="265"/>
      <c r="O900" s="193"/>
      <c r="P900" s="272">
        <v>6.9</v>
      </c>
      <c r="Q900" s="236">
        <f t="shared" si="550"/>
        <v>9.3200000000000005E-2</v>
      </c>
      <c r="R900" s="265">
        <f t="shared" si="539"/>
        <v>8939</v>
      </c>
      <c r="S900" s="193">
        <f>ROUND(Q900*P900*F900*0.7958,0)</f>
        <v>833</v>
      </c>
      <c r="T900" s="230"/>
      <c r="U900" s="290"/>
      <c r="V900" s="200"/>
      <c r="W900" s="232">
        <f t="shared" si="551"/>
        <v>9.3200000000000005E-2</v>
      </c>
      <c r="X900" s="289">
        <v>2700</v>
      </c>
      <c r="Y900" s="199">
        <f t="shared" si="552"/>
        <v>251.64000000000001</v>
      </c>
      <c r="Z900" s="153"/>
      <c r="AA900" s="147"/>
      <c r="AB900" s="101">
        <f t="shared" si="543"/>
        <v>0</v>
      </c>
      <c r="AC900" s="226"/>
      <c r="AD900" s="304">
        <f t="shared" si="555"/>
        <v>6239</v>
      </c>
      <c r="AE900" s="305">
        <f t="shared" si="556"/>
        <v>581.36</v>
      </c>
    </row>
    <row r="901" spans="1:32" hidden="1" outlineLevel="1" x14ac:dyDescent="0.35">
      <c r="A901" s="141"/>
      <c r="B901" s="329" t="s">
        <v>835</v>
      </c>
      <c r="C901" s="44" t="s">
        <v>17</v>
      </c>
      <c r="D901" s="234">
        <f>0.0721+176</f>
        <v>176.07210000000001</v>
      </c>
      <c r="E901" s="64"/>
      <c r="F901" s="265">
        <f t="shared" si="538"/>
        <v>227</v>
      </c>
      <c r="G901" s="219">
        <f>7+40039.56</f>
        <v>40046.559999999998</v>
      </c>
      <c r="H901" s="274"/>
      <c r="I901" s="238"/>
      <c r="J901" s="265"/>
      <c r="K901" s="193"/>
      <c r="L901" s="272"/>
      <c r="M901" s="236"/>
      <c r="N901" s="265"/>
      <c r="O901" s="193"/>
      <c r="P901" s="272">
        <v>6.9</v>
      </c>
      <c r="Q901" s="236">
        <f t="shared" si="550"/>
        <v>176.07210000000001</v>
      </c>
      <c r="R901" s="265">
        <f t="shared" si="539"/>
        <v>1246</v>
      </c>
      <c r="S901" s="193">
        <f t="shared" si="540"/>
        <v>219467</v>
      </c>
      <c r="T901" s="230"/>
      <c r="U901" s="290"/>
      <c r="V901" s="200"/>
      <c r="W901" s="232">
        <f t="shared" si="551"/>
        <v>176.07210000000001</v>
      </c>
      <c r="X901" s="296">
        <v>1650</v>
      </c>
      <c r="Y901" s="199">
        <f t="shared" si="552"/>
        <v>290518.96500000003</v>
      </c>
      <c r="Z901" s="153"/>
      <c r="AA901" s="147"/>
      <c r="AB901" s="101">
        <f t="shared" si="543"/>
        <v>0</v>
      </c>
      <c r="AC901" s="226"/>
      <c r="AD901" s="302">
        <f t="shared" si="555"/>
        <v>-404</v>
      </c>
      <c r="AE901" s="202">
        <f t="shared" si="556"/>
        <v>-71051.965000000026</v>
      </c>
    </row>
    <row r="902" spans="1:32" hidden="1" outlineLevel="1" x14ac:dyDescent="0.35">
      <c r="A902" s="141"/>
      <c r="B902" s="329" t="s">
        <v>831</v>
      </c>
      <c r="C902" s="44" t="s">
        <v>28</v>
      </c>
      <c r="D902" s="234">
        <f>990.7+93.15</f>
        <v>1083.8500000000001</v>
      </c>
      <c r="E902" s="64"/>
      <c r="F902" s="265">
        <f t="shared" si="538"/>
        <v>258</v>
      </c>
      <c r="G902" s="219">
        <f>256066+24076.48</f>
        <v>280142.48</v>
      </c>
      <c r="H902" s="274"/>
      <c r="I902" s="238"/>
      <c r="J902" s="265"/>
      <c r="K902" s="193"/>
      <c r="L902" s="272"/>
      <c r="M902" s="236"/>
      <c r="N902" s="265"/>
      <c r="O902" s="193"/>
      <c r="P902" s="272">
        <v>7.36</v>
      </c>
      <c r="Q902" s="236">
        <f t="shared" si="550"/>
        <v>1083.8500000000001</v>
      </c>
      <c r="R902" s="265">
        <f t="shared" si="539"/>
        <v>1511</v>
      </c>
      <c r="S902" s="193">
        <f t="shared" si="540"/>
        <v>1637837</v>
      </c>
      <c r="T902" s="230"/>
      <c r="U902" s="290"/>
      <c r="V902" s="200"/>
      <c r="W902" s="232">
        <f t="shared" si="551"/>
        <v>1083.8500000000001</v>
      </c>
      <c r="X902" s="296">
        <v>1300</v>
      </c>
      <c r="Y902" s="199">
        <f t="shared" si="552"/>
        <v>1409005.0000000002</v>
      </c>
      <c r="Z902" s="153"/>
      <c r="AA902" s="147"/>
      <c r="AB902" s="101">
        <f t="shared" si="543"/>
        <v>0</v>
      </c>
      <c r="AC902" s="226"/>
      <c r="AD902" s="302">
        <f t="shared" si="555"/>
        <v>211</v>
      </c>
      <c r="AE902" s="202">
        <f t="shared" si="556"/>
        <v>228831.99999999977</v>
      </c>
    </row>
    <row r="903" spans="1:32" hidden="1" outlineLevel="1" x14ac:dyDescent="0.35">
      <c r="A903" s="141"/>
      <c r="B903" s="329" t="s">
        <v>62</v>
      </c>
      <c r="C903" s="44" t="s">
        <v>17</v>
      </c>
      <c r="D903" s="234">
        <v>595.9</v>
      </c>
      <c r="E903" s="64"/>
      <c r="F903" s="265">
        <f>ROUND(G903/D903,0)</f>
        <v>56</v>
      </c>
      <c r="G903" s="219">
        <v>33221.43</v>
      </c>
      <c r="H903" s="274">
        <v>6.52</v>
      </c>
      <c r="I903" s="238">
        <v>554.6</v>
      </c>
      <c r="J903" s="265">
        <f>ROUND(F903*H903*0.7958,0)</f>
        <v>291</v>
      </c>
      <c r="K903" s="193">
        <f>ROUND(I903*H903*F903*0.7958,0)</f>
        <v>161146</v>
      </c>
      <c r="L903" s="272"/>
      <c r="M903" s="236"/>
      <c r="N903" s="265"/>
      <c r="O903" s="193"/>
      <c r="P903" s="284">
        <v>6.9</v>
      </c>
      <c r="Q903" s="236">
        <f>D903-I903-M903</f>
        <v>41.299999999999955</v>
      </c>
      <c r="R903" s="265">
        <f>ROUND(F903*P903*0.7958,0)</f>
        <v>307</v>
      </c>
      <c r="S903" s="193">
        <f>ROUND(Q903*P903*F903*0.7958,0)</f>
        <v>12700</v>
      </c>
      <c r="T903" s="230">
        <f>I903+M903</f>
        <v>554.6</v>
      </c>
      <c r="U903" s="290">
        <v>1080</v>
      </c>
      <c r="V903" s="199">
        <f>T903*U903</f>
        <v>598968</v>
      </c>
      <c r="W903" s="232">
        <f>Q903</f>
        <v>41.299999999999955</v>
      </c>
      <c r="X903" s="289">
        <v>360</v>
      </c>
      <c r="Y903" s="199">
        <f>W903*X903</f>
        <v>14867.999999999984</v>
      </c>
      <c r="Z903" s="153"/>
      <c r="AA903" s="147"/>
      <c r="AB903" s="101">
        <f>ROUND(Z903*AA903,0)</f>
        <v>0</v>
      </c>
      <c r="AC903" s="226"/>
      <c r="AD903" s="302">
        <f t="shared" si="555"/>
        <v>-53</v>
      </c>
      <c r="AE903" s="202">
        <f>K903+S903-Y903-V903</f>
        <v>-439990</v>
      </c>
    </row>
    <row r="904" spans="1:32" hidden="1" outlineLevel="1" x14ac:dyDescent="0.35">
      <c r="A904" s="141"/>
      <c r="B904" s="329" t="s">
        <v>413</v>
      </c>
      <c r="C904" s="44" t="s">
        <v>17</v>
      </c>
      <c r="D904" s="234">
        <v>8280</v>
      </c>
      <c r="E904" s="64"/>
      <c r="F904" s="265">
        <f>ROUND(G904/D904,0)</f>
        <v>20</v>
      </c>
      <c r="G904" s="219">
        <v>169657.2</v>
      </c>
      <c r="H904" s="274">
        <v>6.83</v>
      </c>
      <c r="I904" s="238">
        <v>8124.3</v>
      </c>
      <c r="J904" s="265">
        <f>ROUND(F904*H904*0.7958,0)</f>
        <v>109</v>
      </c>
      <c r="K904" s="193">
        <f>ROUND(I904*H904*F904*0.7958,0)</f>
        <v>883162</v>
      </c>
      <c r="L904" s="272"/>
      <c r="M904" s="236"/>
      <c r="N904" s="265"/>
      <c r="O904" s="193"/>
      <c r="P904" s="274">
        <v>6.9</v>
      </c>
      <c r="Q904" s="236">
        <f>D904-I904-M904</f>
        <v>155.69999999999982</v>
      </c>
      <c r="R904" s="265">
        <f>ROUND(F904*P904*0.7958,0)</f>
        <v>110</v>
      </c>
      <c r="S904" s="193">
        <f>ROUND(Q904*P904*F904*0.7958,0)</f>
        <v>17099</v>
      </c>
      <c r="T904" s="230">
        <f>I904+M904</f>
        <v>8124.3</v>
      </c>
      <c r="U904" s="290">
        <v>360</v>
      </c>
      <c r="V904" s="199">
        <f>T904*U904</f>
        <v>2924748</v>
      </c>
      <c r="W904" s="232">
        <f>Q904</f>
        <v>155.69999999999982</v>
      </c>
      <c r="X904" s="289">
        <v>360</v>
      </c>
      <c r="Y904" s="199">
        <f>W904*X904</f>
        <v>56051.999999999935</v>
      </c>
      <c r="Z904" s="153"/>
      <c r="AA904" s="147"/>
      <c r="AB904" s="101">
        <f>ROUND(Z904*AA904,0)</f>
        <v>0</v>
      </c>
      <c r="AC904" s="226"/>
      <c r="AD904" s="302">
        <f t="shared" si="555"/>
        <v>-250</v>
      </c>
      <c r="AE904" s="202">
        <f>K904+S904-V904-Y904</f>
        <v>-2080539</v>
      </c>
    </row>
    <row r="905" spans="1:32" s="95" customFormat="1" hidden="1" collapsed="1" x14ac:dyDescent="0.3">
      <c r="A905" s="98"/>
      <c r="B905" s="160"/>
      <c r="C905" s="107"/>
      <c r="D905" s="253"/>
      <c r="E905" s="98"/>
      <c r="F905" s="154"/>
      <c r="G905" s="214"/>
      <c r="H905" s="154"/>
      <c r="I905" s="231"/>
      <c r="J905" s="154"/>
      <c r="K905" s="194"/>
      <c r="L905" s="154"/>
      <c r="M905" s="231"/>
      <c r="N905" s="154"/>
      <c r="O905" s="194"/>
      <c r="P905" s="154"/>
      <c r="Q905" s="231"/>
      <c r="R905" s="286"/>
      <c r="S905" s="194"/>
      <c r="T905" s="231"/>
      <c r="U905" s="155"/>
      <c r="V905" s="194"/>
      <c r="W905" s="231"/>
      <c r="X905" s="155"/>
      <c r="Y905" s="194"/>
      <c r="Z905" s="157"/>
      <c r="AA905" s="156"/>
      <c r="AB905" s="156"/>
      <c r="AC905" s="194"/>
      <c r="AD905" s="155"/>
      <c r="AE905" s="330"/>
    </row>
    <row r="906" spans="1:32" s="142" customFormat="1" ht="47.25" hidden="1" customHeight="1" x14ac:dyDescent="0.3">
      <c r="A906" s="393"/>
      <c r="B906" s="996" t="s">
        <v>1364</v>
      </c>
      <c r="C906" s="997"/>
      <c r="D906" s="997"/>
      <c r="E906" s="997"/>
      <c r="F906" s="998"/>
      <c r="G906" s="401">
        <f>G907+G918</f>
        <v>1756612.4900000002</v>
      </c>
      <c r="H906" s="402"/>
      <c r="I906" s="402"/>
      <c r="J906" s="402"/>
      <c r="K906" s="397"/>
      <c r="L906" s="402"/>
      <c r="M906" s="402"/>
      <c r="N906" s="402"/>
      <c r="O906" s="397"/>
      <c r="P906" s="402"/>
      <c r="Q906" s="402"/>
      <c r="R906" s="402"/>
      <c r="S906" s="397"/>
      <c r="T906" s="402"/>
      <c r="U906" s="403"/>
      <c r="V906" s="401">
        <f>V907+V918</f>
        <v>499624.91061999998</v>
      </c>
      <c r="W906" s="402"/>
      <c r="X906" s="403"/>
      <c r="Y906" s="401">
        <f>Y907+Y918</f>
        <v>9229145.5153000001</v>
      </c>
      <c r="Z906" s="404"/>
      <c r="AA906" s="403"/>
      <c r="AB906" s="403"/>
      <c r="AC906" s="405"/>
      <c r="AD906" s="405"/>
      <c r="AE906" s="407">
        <f>AE907+AE918</f>
        <v>-2388805.4259200008</v>
      </c>
      <c r="AF906" s="398"/>
    </row>
    <row r="907" spans="1:32" ht="42.75" hidden="1" customHeight="1" outlineLevel="1" x14ac:dyDescent="0.3">
      <c r="A907" s="18"/>
      <c r="B907" s="1082" t="s">
        <v>638</v>
      </c>
      <c r="C907" s="1083"/>
      <c r="D907" s="1083"/>
      <c r="E907" s="1083"/>
      <c r="F907" s="1084"/>
      <c r="G907" s="319">
        <f>SUM(G908:G916)</f>
        <v>786514.67</v>
      </c>
      <c r="H907" s="320"/>
      <c r="I907" s="320"/>
      <c r="J907" s="320"/>
      <c r="K907" s="321">
        <f>SUM(K908:K916)</f>
        <v>253866</v>
      </c>
      <c r="L907" s="320"/>
      <c r="M907" s="320"/>
      <c r="N907" s="320"/>
      <c r="O907" s="321">
        <f>SUM(O908:O916)</f>
        <v>0</v>
      </c>
      <c r="P907" s="320"/>
      <c r="Q907" s="320"/>
      <c r="R907" s="320"/>
      <c r="S907" s="336">
        <f>SUM(S908:S916)</f>
        <v>3158783</v>
      </c>
      <c r="T907" s="320"/>
      <c r="U907" s="322"/>
      <c r="V907" s="321">
        <f>SUM(V908:V916)</f>
        <v>261851.67491999999</v>
      </c>
      <c r="W907" s="320"/>
      <c r="X907" s="322"/>
      <c r="Y907" s="321">
        <f>SUM(Y908:Y916)</f>
        <v>3434653.1566666672</v>
      </c>
      <c r="Z907" s="322"/>
      <c r="AA907" s="322"/>
      <c r="AB907" s="322"/>
      <c r="AC907" s="322"/>
      <c r="AD907" s="322"/>
      <c r="AE907" s="323">
        <f>SUM(AE908:AE916)</f>
        <v>-283788.83158666699</v>
      </c>
      <c r="AF907" s="324">
        <f>AE907/S907</f>
        <v>-8.9841192505679235E-2</v>
      </c>
    </row>
    <row r="908" spans="1:32" hidden="1" outlineLevel="2" collapsed="1" x14ac:dyDescent="0.35">
      <c r="B908" s="386" t="s">
        <v>639</v>
      </c>
      <c r="C908" s="44" t="s">
        <v>17</v>
      </c>
      <c r="D908" s="234">
        <v>37.351999999999997</v>
      </c>
      <c r="E908" s="64"/>
      <c r="F908" s="265">
        <f t="shared" ref="F908:F984" si="557">ROUND(G908/D908,0)</f>
        <v>701</v>
      </c>
      <c r="G908" s="219">
        <v>26170.31</v>
      </c>
      <c r="H908" s="274">
        <v>5.67</v>
      </c>
      <c r="I908" s="238">
        <v>37.351999999999997</v>
      </c>
      <c r="J908" s="265">
        <f t="shared" ref="J908:J933" si="558">ROUND(F908*H908*0.7958,0)</f>
        <v>3163</v>
      </c>
      <c r="K908" s="193">
        <f t="shared" ref="K908:K933" si="559">ROUND(I908*H908*F908*0.7958,0)</f>
        <v>118146</v>
      </c>
      <c r="L908" s="272"/>
      <c r="M908" s="236"/>
      <c r="N908" s="265"/>
      <c r="O908" s="193"/>
      <c r="P908" s="282"/>
      <c r="Q908" s="236"/>
      <c r="R908" s="265"/>
      <c r="S908" s="193"/>
      <c r="T908" s="232">
        <f>I908+M908</f>
        <v>37.351999999999997</v>
      </c>
      <c r="U908" s="289">
        <v>3400</v>
      </c>
      <c r="V908" s="199">
        <f>T908*U908</f>
        <v>126996.79999999999</v>
      </c>
      <c r="W908" s="230"/>
      <c r="X908" s="290"/>
      <c r="Y908" s="199"/>
      <c r="Z908" s="153"/>
      <c r="AA908" s="147"/>
      <c r="AB908" s="101">
        <f t="shared" ref="AB908:AB916" si="560">ROUND(Z908*AA908,0)</f>
        <v>0</v>
      </c>
      <c r="AC908" s="226">
        <f>W908</f>
        <v>0</v>
      </c>
      <c r="AD908" s="302">
        <f>J908-U908</f>
        <v>-237</v>
      </c>
      <c r="AE908" s="202">
        <f>K908-V908</f>
        <v>-8850.7999999999884</v>
      </c>
    </row>
    <row r="909" spans="1:32" hidden="1" outlineLevel="2" x14ac:dyDescent="0.35">
      <c r="B909" s="386" t="s">
        <v>547</v>
      </c>
      <c r="C909" s="44" t="s">
        <v>17</v>
      </c>
      <c r="D909" s="234">
        <v>12.954000000000001</v>
      </c>
      <c r="E909" s="64"/>
      <c r="F909" s="265">
        <f t="shared" si="557"/>
        <v>508</v>
      </c>
      <c r="G909" s="219">
        <v>6576.23</v>
      </c>
      <c r="H909" s="274">
        <v>5.64</v>
      </c>
      <c r="I909" s="248">
        <v>12.9846</v>
      </c>
      <c r="J909" s="265">
        <f t="shared" si="558"/>
        <v>2280</v>
      </c>
      <c r="K909" s="193">
        <f t="shared" si="559"/>
        <v>29606</v>
      </c>
      <c r="L909" s="272"/>
      <c r="M909" s="236"/>
      <c r="N909" s="265"/>
      <c r="O909" s="193"/>
      <c r="P909" s="282">
        <v>5.43</v>
      </c>
      <c r="Q909" s="237">
        <f>D909-I909-M909</f>
        <v>-3.0599999999999739E-2</v>
      </c>
      <c r="R909" s="265">
        <f>ROUND(F909*P909*0.7958,0)</f>
        <v>2195</v>
      </c>
      <c r="S909" s="205">
        <f>ROUND(Q909*P909*F909*0.7958,0)</f>
        <v>-67</v>
      </c>
      <c r="T909" s="232">
        <f>I909</f>
        <v>12.9846</v>
      </c>
      <c r="U909" s="289">
        <v>2667</v>
      </c>
      <c r="V909" s="199">
        <f t="shared" ref="V909:V913" si="561">T909*U909</f>
        <v>34629.928200000002</v>
      </c>
      <c r="W909" s="232"/>
      <c r="X909" s="290"/>
      <c r="Y909" s="199"/>
      <c r="Z909" s="153"/>
      <c r="AA909" s="147"/>
      <c r="AB909" s="101">
        <f t="shared" si="560"/>
        <v>0</v>
      </c>
      <c r="AC909" s="226">
        <f t="shared" ref="AC909:AC916" si="562">W909</f>
        <v>0</v>
      </c>
      <c r="AD909" s="302">
        <f t="shared" ref="AD909:AD913" si="563">J909-U909</f>
        <v>-387</v>
      </c>
      <c r="AE909" s="202">
        <f>K909-V909</f>
        <v>-5023.9282000000021</v>
      </c>
    </row>
    <row r="910" spans="1:32" hidden="1" outlineLevel="2" x14ac:dyDescent="0.35">
      <c r="B910" s="392" t="s">
        <v>1326</v>
      </c>
      <c r="C910" s="44" t="s">
        <v>28</v>
      </c>
      <c r="D910" s="234">
        <v>6.1800000000000001E-2</v>
      </c>
      <c r="E910" s="64"/>
      <c r="F910" s="265">
        <f t="shared" si="557"/>
        <v>1521</v>
      </c>
      <c r="G910" s="219">
        <v>94.02</v>
      </c>
      <c r="H910" s="274">
        <v>6.75</v>
      </c>
      <c r="I910" s="238">
        <v>6.1800000000000001E-2</v>
      </c>
      <c r="J910" s="265">
        <f t="shared" si="558"/>
        <v>8170</v>
      </c>
      <c r="K910" s="193">
        <f t="shared" si="559"/>
        <v>505</v>
      </c>
      <c r="L910" s="272"/>
      <c r="M910" s="236"/>
      <c r="N910" s="265"/>
      <c r="O910" s="193"/>
      <c r="P910" s="282"/>
      <c r="Q910" s="236"/>
      <c r="R910" s="265"/>
      <c r="S910" s="193"/>
      <c r="T910" s="232">
        <f t="shared" ref="T910:T913" si="564">I910+M910</f>
        <v>6.1800000000000001E-2</v>
      </c>
      <c r="U910" s="289">
        <v>30000</v>
      </c>
      <c r="V910" s="199">
        <f t="shared" si="561"/>
        <v>1854</v>
      </c>
      <c r="W910" s="232"/>
      <c r="X910" s="290"/>
      <c r="Y910" s="199"/>
      <c r="Z910" s="153"/>
      <c r="AA910" s="147"/>
      <c r="AB910" s="101">
        <f t="shared" si="560"/>
        <v>0</v>
      </c>
      <c r="AC910" s="226">
        <f t="shared" si="562"/>
        <v>0</v>
      </c>
      <c r="AD910" s="302">
        <f t="shared" si="563"/>
        <v>-21830</v>
      </c>
      <c r="AE910" s="202">
        <f>K910-V910</f>
        <v>-1349</v>
      </c>
    </row>
    <row r="911" spans="1:32" hidden="1" outlineLevel="2" x14ac:dyDescent="0.35">
      <c r="B911" s="386" t="s">
        <v>640</v>
      </c>
      <c r="C911" s="44" t="s">
        <v>28</v>
      </c>
      <c r="D911" s="264">
        <v>8.2799999999999999E-2</v>
      </c>
      <c r="E911" s="64"/>
      <c r="F911" s="265">
        <f t="shared" si="557"/>
        <v>5505</v>
      </c>
      <c r="G911" s="219">
        <v>455.82</v>
      </c>
      <c r="H911" s="274">
        <v>5.67</v>
      </c>
      <c r="I911" s="238">
        <v>8.2799999999999999E-2</v>
      </c>
      <c r="J911" s="265">
        <f t="shared" si="558"/>
        <v>24840</v>
      </c>
      <c r="K911" s="193">
        <f t="shared" si="559"/>
        <v>2057</v>
      </c>
      <c r="L911" s="272"/>
      <c r="M911" s="236"/>
      <c r="N911" s="265"/>
      <c r="O911" s="193"/>
      <c r="P911" s="282"/>
      <c r="Q911" s="236"/>
      <c r="R911" s="265"/>
      <c r="S911" s="193"/>
      <c r="T911" s="232">
        <f t="shared" si="564"/>
        <v>8.2799999999999999E-2</v>
      </c>
      <c r="U911" s="289">
        <v>35006.400000000001</v>
      </c>
      <c r="V911" s="199">
        <f t="shared" si="561"/>
        <v>2898.5299199999999</v>
      </c>
      <c r="W911" s="232"/>
      <c r="X911" s="290"/>
      <c r="Y911" s="199"/>
      <c r="Z911" s="153"/>
      <c r="AA911" s="147"/>
      <c r="AB911" s="101">
        <f t="shared" si="560"/>
        <v>0</v>
      </c>
      <c r="AC911" s="226">
        <f t="shared" si="562"/>
        <v>0</v>
      </c>
      <c r="AD911" s="302">
        <f t="shared" si="563"/>
        <v>-10166.400000000001</v>
      </c>
      <c r="AE911" s="202">
        <f>K911-V911</f>
        <v>-841.52991999999995</v>
      </c>
    </row>
    <row r="912" spans="1:32" hidden="1" outlineLevel="2" x14ac:dyDescent="0.35">
      <c r="B912" s="386" t="s">
        <v>327</v>
      </c>
      <c r="C912" s="44" t="s">
        <v>28</v>
      </c>
      <c r="D912" s="234">
        <v>2.2424400000000002</v>
      </c>
      <c r="E912" s="64"/>
      <c r="F912" s="265">
        <f t="shared" si="557"/>
        <v>8481</v>
      </c>
      <c r="G912" s="219">
        <v>19018.73</v>
      </c>
      <c r="H912" s="274">
        <v>5.67</v>
      </c>
      <c r="I912" s="238">
        <v>2.2424400000000002</v>
      </c>
      <c r="J912" s="265">
        <f t="shared" si="558"/>
        <v>38268</v>
      </c>
      <c r="K912" s="193">
        <f t="shared" si="559"/>
        <v>85813</v>
      </c>
      <c r="L912" s="272"/>
      <c r="M912" s="236"/>
      <c r="N912" s="265"/>
      <c r="O912" s="193"/>
      <c r="P912" s="282"/>
      <c r="Q912" s="236"/>
      <c r="R912" s="265"/>
      <c r="S912" s="193"/>
      <c r="T912" s="232">
        <f t="shared" si="564"/>
        <v>2.2424400000000002</v>
      </c>
      <c r="U912" s="289">
        <v>34720</v>
      </c>
      <c r="V912" s="199">
        <f t="shared" si="561"/>
        <v>77857.516800000012</v>
      </c>
      <c r="W912" s="232"/>
      <c r="X912" s="290"/>
      <c r="Y912" s="199"/>
      <c r="Z912" s="153"/>
      <c r="AA912" s="147"/>
      <c r="AB912" s="101">
        <f t="shared" si="560"/>
        <v>0</v>
      </c>
      <c r="AC912" s="226">
        <f t="shared" si="562"/>
        <v>0</v>
      </c>
      <c r="AD912" s="304">
        <f t="shared" si="563"/>
        <v>3548</v>
      </c>
      <c r="AE912" s="305">
        <f>K912-V912</f>
        <v>7955.4831999999878</v>
      </c>
    </row>
    <row r="913" spans="1:32" hidden="1" outlineLevel="2" x14ac:dyDescent="0.35">
      <c r="B913" s="392" t="s">
        <v>207</v>
      </c>
      <c r="C913" s="44" t="s">
        <v>28</v>
      </c>
      <c r="D913" s="234">
        <v>0.92710000000000004</v>
      </c>
      <c r="E913" s="64"/>
      <c r="F913" s="265">
        <f t="shared" si="557"/>
        <v>3562</v>
      </c>
      <c r="G913" s="219">
        <v>3302.14</v>
      </c>
      <c r="H913" s="274">
        <v>6.75</v>
      </c>
      <c r="I913" s="238">
        <v>0.92710000000000004</v>
      </c>
      <c r="J913" s="265">
        <f t="shared" si="558"/>
        <v>19134</v>
      </c>
      <c r="K913" s="193">
        <f t="shared" si="559"/>
        <v>17739</v>
      </c>
      <c r="L913" s="272"/>
      <c r="M913" s="236"/>
      <c r="N913" s="265"/>
      <c r="O913" s="193"/>
      <c r="P913" s="282"/>
      <c r="Q913" s="236"/>
      <c r="R913" s="265"/>
      <c r="S913" s="193"/>
      <c r="T913" s="232">
        <f t="shared" si="564"/>
        <v>0.92710000000000004</v>
      </c>
      <c r="U913" s="289">
        <v>19000</v>
      </c>
      <c r="V913" s="199">
        <f t="shared" si="561"/>
        <v>17614.900000000001</v>
      </c>
      <c r="W913" s="232"/>
      <c r="X913" s="289"/>
      <c r="Y913" s="199"/>
      <c r="Z913" s="153"/>
      <c r="AA913" s="147"/>
      <c r="AB913" s="101">
        <f t="shared" si="560"/>
        <v>0</v>
      </c>
      <c r="AC913" s="226">
        <f t="shared" si="562"/>
        <v>0</v>
      </c>
      <c r="AD913" s="304">
        <f t="shared" si="563"/>
        <v>134</v>
      </c>
      <c r="AE913" s="305">
        <f>K913-V913</f>
        <v>124.09999999999854</v>
      </c>
    </row>
    <row r="914" spans="1:32" hidden="1" outlineLevel="2" x14ac:dyDescent="0.35">
      <c r="B914" s="386" t="s">
        <v>641</v>
      </c>
      <c r="C914" s="44" t="s">
        <v>17</v>
      </c>
      <c r="D914" s="234">
        <v>723.1</v>
      </c>
      <c r="E914" s="64"/>
      <c r="F914" s="265">
        <f t="shared" si="557"/>
        <v>21</v>
      </c>
      <c r="G914" s="219">
        <v>15069.4</v>
      </c>
      <c r="H914" s="274"/>
      <c r="I914" s="238"/>
      <c r="J914" s="265"/>
      <c r="K914" s="193"/>
      <c r="L914" s="272"/>
      <c r="M914" s="236"/>
      <c r="N914" s="265"/>
      <c r="O914" s="193"/>
      <c r="P914" s="282">
        <v>5.43</v>
      </c>
      <c r="Q914" s="236">
        <f t="shared" ref="Q914:Q984" si="565">D914-I914-M914</f>
        <v>723.1</v>
      </c>
      <c r="R914" s="265">
        <f t="shared" ref="R914:R984" si="566">ROUND(F914*P914*0.7958,0)</f>
        <v>91</v>
      </c>
      <c r="S914" s="193">
        <f t="shared" ref="S914:S984" si="567">ROUND(Q914*P914*F914*0.7958,0)</f>
        <v>65618</v>
      </c>
      <c r="T914" s="230"/>
      <c r="U914" s="289"/>
      <c r="V914" s="199"/>
      <c r="W914" s="232">
        <f t="shared" ref="W914:W916" si="568">Q914</f>
        <v>723.1</v>
      </c>
      <c r="X914" s="289">
        <v>250</v>
      </c>
      <c r="Y914" s="199">
        <f t="shared" ref="Y914:Y916" si="569">X914*W914</f>
        <v>180775</v>
      </c>
      <c r="Z914" s="153"/>
      <c r="AA914" s="147"/>
      <c r="AB914" s="101">
        <f t="shared" si="560"/>
        <v>0</v>
      </c>
      <c r="AC914" s="226">
        <f t="shared" si="562"/>
        <v>723.1</v>
      </c>
      <c r="AD914" s="302">
        <f>R914-X914</f>
        <v>-159</v>
      </c>
      <c r="AE914" s="202">
        <f>S914-Y914</f>
        <v>-115157</v>
      </c>
    </row>
    <row r="915" spans="1:32" hidden="1" outlineLevel="2" x14ac:dyDescent="0.35">
      <c r="B915" s="386" t="s">
        <v>225</v>
      </c>
      <c r="C915" s="44" t="s">
        <v>17</v>
      </c>
      <c r="D915" s="234">
        <v>0.79</v>
      </c>
      <c r="E915" s="64"/>
      <c r="F915" s="265">
        <f t="shared" si="557"/>
        <v>61</v>
      </c>
      <c r="G915" s="219">
        <v>48.02</v>
      </c>
      <c r="H915" s="274"/>
      <c r="I915" s="238"/>
      <c r="J915" s="265"/>
      <c r="K915" s="193"/>
      <c r="L915" s="272"/>
      <c r="M915" s="236"/>
      <c r="N915" s="265"/>
      <c r="O915" s="193"/>
      <c r="P915" s="282">
        <v>5.43</v>
      </c>
      <c r="Q915" s="236">
        <f t="shared" si="565"/>
        <v>0.79</v>
      </c>
      <c r="R915" s="265">
        <f t="shared" si="566"/>
        <v>264</v>
      </c>
      <c r="S915" s="193">
        <f t="shared" si="567"/>
        <v>208</v>
      </c>
      <c r="T915" s="230"/>
      <c r="U915" s="289"/>
      <c r="V915" s="199"/>
      <c r="W915" s="232">
        <f t="shared" si="568"/>
        <v>0.79</v>
      </c>
      <c r="X915" s="289">
        <v>331</v>
      </c>
      <c r="Y915" s="199">
        <f t="shared" si="569"/>
        <v>261.49</v>
      </c>
      <c r="Z915" s="153"/>
      <c r="AA915" s="147"/>
      <c r="AB915" s="101">
        <f t="shared" si="560"/>
        <v>0</v>
      </c>
      <c r="AC915" s="226">
        <f t="shared" si="562"/>
        <v>0.79</v>
      </c>
      <c r="AD915" s="302">
        <f t="shared" ref="AD915:AD916" si="570">R915-X915</f>
        <v>-67</v>
      </c>
      <c r="AE915" s="202">
        <f>S915-Y915</f>
        <v>-53.490000000000009</v>
      </c>
    </row>
    <row r="916" spans="1:32" hidden="1" outlineLevel="2" x14ac:dyDescent="0.35">
      <c r="B916" s="386" t="s">
        <v>642</v>
      </c>
      <c r="C916" s="44" t="s">
        <v>643</v>
      </c>
      <c r="D916" s="234">
        <v>2</v>
      </c>
      <c r="E916" s="64"/>
      <c r="F916" s="265">
        <f t="shared" si="557"/>
        <v>357890</v>
      </c>
      <c r="G916" s="219">
        <v>715780</v>
      </c>
      <c r="H916" s="274"/>
      <c r="I916" s="238"/>
      <c r="J916" s="265"/>
      <c r="K916" s="193"/>
      <c r="L916" s="272"/>
      <c r="M916" s="236"/>
      <c r="N916" s="265"/>
      <c r="O916" s="193"/>
      <c r="P916" s="282">
        <v>5.43</v>
      </c>
      <c r="Q916" s="236">
        <f t="shared" si="565"/>
        <v>2</v>
      </c>
      <c r="R916" s="265">
        <f t="shared" si="566"/>
        <v>1546512</v>
      </c>
      <c r="S916" s="193">
        <f t="shared" si="567"/>
        <v>3093024</v>
      </c>
      <c r="U916" s="380"/>
      <c r="V916" s="199"/>
      <c r="W916" s="232">
        <f t="shared" si="568"/>
        <v>2</v>
      </c>
      <c r="X916" s="296">
        <f>1952170/1.2</f>
        <v>1626808.3333333335</v>
      </c>
      <c r="Y916" s="199">
        <f t="shared" si="569"/>
        <v>3253616.666666667</v>
      </c>
      <c r="Z916" s="153"/>
      <c r="AA916" s="147"/>
      <c r="AB916" s="101">
        <f t="shared" si="560"/>
        <v>0</v>
      </c>
      <c r="AC916" s="226">
        <f t="shared" si="562"/>
        <v>2</v>
      </c>
      <c r="AD916" s="302">
        <f t="shared" si="570"/>
        <v>-80296.333333333489</v>
      </c>
      <c r="AE916" s="202">
        <f>S916-Y916</f>
        <v>-160592.66666666698</v>
      </c>
    </row>
    <row r="917" spans="1:32" s="95" customFormat="1" hidden="1" outlineLevel="1" x14ac:dyDescent="0.3">
      <c r="A917" s="98"/>
      <c r="B917" s="160"/>
      <c r="C917" s="107"/>
      <c r="D917" s="253"/>
      <c r="E917" s="98"/>
      <c r="F917" s="154"/>
      <c r="G917" s="214"/>
      <c r="H917" s="154"/>
      <c r="I917" s="231"/>
      <c r="J917" s="154"/>
      <c r="K917" s="194"/>
      <c r="L917" s="154"/>
      <c r="M917" s="231"/>
      <c r="N917" s="154"/>
      <c r="O917" s="194"/>
      <c r="P917" s="154"/>
      <c r="Q917" s="231"/>
      <c r="R917" s="286"/>
      <c r="S917" s="194"/>
      <c r="T917" s="231"/>
      <c r="U917" s="155"/>
      <c r="V917" s="194"/>
      <c r="W917" s="231"/>
      <c r="X917" s="155"/>
      <c r="Y917" s="194"/>
      <c r="Z917" s="157"/>
      <c r="AA917" s="156"/>
      <c r="AB917" s="156"/>
      <c r="AC917" s="194"/>
      <c r="AD917" s="155"/>
      <c r="AE917" s="330"/>
    </row>
    <row r="918" spans="1:32" ht="28.5" hidden="1" customHeight="1" outlineLevel="1" x14ac:dyDescent="0.3">
      <c r="A918" s="18"/>
      <c r="B918" s="1082" t="s">
        <v>644</v>
      </c>
      <c r="C918" s="1083"/>
      <c r="D918" s="1083"/>
      <c r="E918" s="1083"/>
      <c r="F918" s="1084"/>
      <c r="G918" s="333">
        <f>SUM(G919:G962)</f>
        <v>970097.82000000007</v>
      </c>
      <c r="H918" s="320"/>
      <c r="I918" s="320"/>
      <c r="J918" s="320"/>
      <c r="K918" s="321">
        <f>SUM(K919:K962)</f>
        <v>124611</v>
      </c>
      <c r="L918" s="320"/>
      <c r="M918" s="320"/>
      <c r="N918" s="320"/>
      <c r="O918" s="321">
        <f>SUM(O919:O962)</f>
        <v>0</v>
      </c>
      <c r="P918" s="320"/>
      <c r="Q918" s="320"/>
      <c r="R918" s="320"/>
      <c r="S918" s="336">
        <f>SUM(S919:S962)</f>
        <v>3802638</v>
      </c>
      <c r="T918" s="320"/>
      <c r="U918" s="322"/>
      <c r="V918" s="321">
        <f>SUM(V919:V962)</f>
        <v>237773.23570000002</v>
      </c>
      <c r="W918" s="320"/>
      <c r="X918" s="322"/>
      <c r="Y918" s="321">
        <f>SUM(Y919:Y962)</f>
        <v>5794492.3586333329</v>
      </c>
      <c r="Z918" s="322"/>
      <c r="AA918" s="322"/>
      <c r="AB918" s="322"/>
      <c r="AC918" s="322"/>
      <c r="AD918" s="322"/>
      <c r="AE918" s="338">
        <f>SUM(AE919:AE962)</f>
        <v>-2105016.5943333339</v>
      </c>
      <c r="AF918" s="324">
        <f>AE918/S918</f>
        <v>-0.55356744300491756</v>
      </c>
    </row>
    <row r="919" spans="1:32" hidden="1" outlineLevel="2" x14ac:dyDescent="0.35">
      <c r="A919" s="141"/>
      <c r="B919" s="386" t="s">
        <v>847</v>
      </c>
      <c r="C919" s="44" t="s">
        <v>40</v>
      </c>
      <c r="D919" s="234">
        <v>2</v>
      </c>
      <c r="E919" s="64"/>
      <c r="F919" s="265">
        <f>ROUND(G919/D919,0)</f>
        <v>391499</v>
      </c>
      <c r="G919" s="219">
        <v>782997.78</v>
      </c>
      <c r="H919" s="272"/>
      <c r="I919" s="236"/>
      <c r="J919" s="265"/>
      <c r="K919" s="193"/>
      <c r="L919" s="272"/>
      <c r="M919" s="236"/>
      <c r="N919" s="265"/>
      <c r="O919" s="193"/>
      <c r="P919" s="274">
        <v>5.43</v>
      </c>
      <c r="Q919" s="236">
        <f>D919-I919-M919</f>
        <v>2</v>
      </c>
      <c r="R919" s="265">
        <f>ROUND(F919*P919*0.7958,0)</f>
        <v>1691743</v>
      </c>
      <c r="S919" s="193">
        <f>ROUND(Q919*P919*F919*0.7958,0)</f>
        <v>3383486</v>
      </c>
      <c r="T919" s="230"/>
      <c r="U919" s="296"/>
      <c r="V919" s="199"/>
      <c r="W919" s="232">
        <v>2</v>
      </c>
      <c r="X919" s="296">
        <f>2534570/1.2</f>
        <v>2112141.666666667</v>
      </c>
      <c r="Y919" s="199">
        <f>W919*X919</f>
        <v>4224283.333333334</v>
      </c>
      <c r="Z919" s="153"/>
      <c r="AA919" s="147"/>
      <c r="AB919" s="101"/>
      <c r="AC919" s="226">
        <v>0</v>
      </c>
      <c r="AD919" s="302">
        <f>R919-X919</f>
        <v>-420398.66666666698</v>
      </c>
      <c r="AE919" s="331">
        <f>S919-Y919</f>
        <v>-840797.33333333395</v>
      </c>
    </row>
    <row r="920" spans="1:32" hidden="1" outlineLevel="2" x14ac:dyDescent="0.35">
      <c r="A920" s="142"/>
      <c r="B920" s="386" t="s">
        <v>858</v>
      </c>
      <c r="C920" s="44" t="s">
        <v>17</v>
      </c>
      <c r="D920" s="234">
        <v>1044.0999999999999</v>
      </c>
      <c r="E920" s="64"/>
      <c r="F920" s="265">
        <f>ROUND(G920/D920,0)</f>
        <v>21</v>
      </c>
      <c r="G920" s="219">
        <v>21759.040000000001</v>
      </c>
      <c r="H920" s="272"/>
      <c r="I920" s="236"/>
      <c r="J920" s="265"/>
      <c r="K920" s="193"/>
      <c r="L920" s="272"/>
      <c r="M920" s="236"/>
      <c r="N920" s="265"/>
      <c r="O920" s="193"/>
      <c r="P920" s="274">
        <v>3.66</v>
      </c>
      <c r="Q920" s="236">
        <f>D920-I920-M920</f>
        <v>1044.0999999999999</v>
      </c>
      <c r="R920" s="265">
        <f>ROUND(F920*P920*0.7958,0)</f>
        <v>61</v>
      </c>
      <c r="S920" s="193">
        <f>ROUND(Q920*P920*F920*0.7958,0)</f>
        <v>63863</v>
      </c>
      <c r="T920" s="230"/>
      <c r="U920" s="289"/>
      <c r="V920" s="200"/>
      <c r="W920" s="232">
        <f>Q920</f>
        <v>1044.0999999999999</v>
      </c>
      <c r="X920" s="289">
        <v>250</v>
      </c>
      <c r="Y920" s="199">
        <f t="shared" ref="Y920:Y962" si="571">X920*W920</f>
        <v>261024.99999999997</v>
      </c>
      <c r="Z920" s="153"/>
      <c r="AA920" s="147"/>
      <c r="AB920" s="101"/>
      <c r="AC920" s="226">
        <v>0</v>
      </c>
      <c r="AD920" s="302">
        <f t="shared" ref="AD920:AD925" si="572">R920-X920</f>
        <v>-189</v>
      </c>
      <c r="AE920" s="331">
        <f t="shared" ref="AE920:AE925" si="573">S920-Y920</f>
        <v>-197161.99999999997</v>
      </c>
    </row>
    <row r="921" spans="1:32" hidden="1" outlineLevel="2" x14ac:dyDescent="0.35">
      <c r="A921" s="142"/>
      <c r="B921" s="386" t="s">
        <v>859</v>
      </c>
      <c r="C921" s="44" t="s">
        <v>17</v>
      </c>
      <c r="D921" s="234">
        <v>29.6646</v>
      </c>
      <c r="E921" s="64"/>
      <c r="F921" s="265">
        <f>ROUND(G921/D921,0)</f>
        <v>61</v>
      </c>
      <c r="G921" s="219">
        <v>1803.02</v>
      </c>
      <c r="H921" s="272"/>
      <c r="I921" s="236"/>
      <c r="J921" s="265"/>
      <c r="K921" s="193"/>
      <c r="L921" s="272"/>
      <c r="M921" s="236"/>
      <c r="N921" s="265"/>
      <c r="O921" s="193"/>
      <c r="P921" s="274">
        <v>3.66</v>
      </c>
      <c r="Q921" s="236">
        <f>D921-I921-M921</f>
        <v>29.6646</v>
      </c>
      <c r="R921" s="265">
        <f>ROUND(F921*P921*0.7958,0)</f>
        <v>178</v>
      </c>
      <c r="S921" s="193">
        <f>ROUND(Q921*P921*F921*0.7958,0)</f>
        <v>5271</v>
      </c>
      <c r="T921" s="230"/>
      <c r="U921" s="289"/>
      <c r="V921" s="200"/>
      <c r="W921" s="232">
        <f t="shared" ref="W921:W925" si="574">Q921</f>
        <v>29.6646</v>
      </c>
      <c r="X921" s="289">
        <v>331</v>
      </c>
      <c r="Y921" s="199">
        <f t="shared" si="571"/>
        <v>9818.9825999999994</v>
      </c>
      <c r="Z921" s="153"/>
      <c r="AA921" s="147"/>
      <c r="AB921" s="101"/>
      <c r="AC921" s="226">
        <v>0</v>
      </c>
      <c r="AD921" s="302">
        <f t="shared" si="572"/>
        <v>-153</v>
      </c>
      <c r="AE921" s="331">
        <f t="shared" si="573"/>
        <v>-4547.9825999999994</v>
      </c>
    </row>
    <row r="922" spans="1:32" hidden="1" outlineLevel="2" x14ac:dyDescent="0.35">
      <c r="B922" s="386" t="s">
        <v>645</v>
      </c>
      <c r="C922" s="44" t="s">
        <v>28</v>
      </c>
      <c r="D922" s="234">
        <v>0.2346</v>
      </c>
      <c r="E922" s="64"/>
      <c r="F922" s="265">
        <f t="shared" si="557"/>
        <v>722</v>
      </c>
      <c r="G922" s="219">
        <v>169.27</v>
      </c>
      <c r="H922" s="274"/>
      <c r="I922" s="238"/>
      <c r="J922" s="265"/>
      <c r="K922" s="193"/>
      <c r="L922" s="272"/>
      <c r="M922" s="236"/>
      <c r="N922" s="265"/>
      <c r="O922" s="193"/>
      <c r="P922" s="274">
        <v>3.66</v>
      </c>
      <c r="Q922" s="236">
        <f t="shared" si="565"/>
        <v>0.2346</v>
      </c>
      <c r="R922" s="265">
        <f t="shared" si="566"/>
        <v>2103</v>
      </c>
      <c r="S922" s="193">
        <f t="shared" si="567"/>
        <v>493</v>
      </c>
      <c r="T922" s="230"/>
      <c r="U922" s="289"/>
      <c r="V922" s="200"/>
      <c r="W922" s="232">
        <f t="shared" si="574"/>
        <v>0.2346</v>
      </c>
      <c r="X922" s="161">
        <v>4400</v>
      </c>
      <c r="Y922" s="199">
        <f t="shared" si="571"/>
        <v>1032.24</v>
      </c>
      <c r="Z922" s="153"/>
      <c r="AA922" s="147"/>
      <c r="AB922" s="101"/>
      <c r="AC922" s="226">
        <v>0</v>
      </c>
      <c r="AD922" s="302">
        <f t="shared" si="572"/>
        <v>-2297</v>
      </c>
      <c r="AE922" s="331">
        <f t="shared" si="573"/>
        <v>-539.24</v>
      </c>
    </row>
    <row r="923" spans="1:32" hidden="1" outlineLevel="2" x14ac:dyDescent="0.35">
      <c r="B923" s="386" t="s">
        <v>92</v>
      </c>
      <c r="C923" s="44" t="s">
        <v>28</v>
      </c>
      <c r="D923" s="234">
        <v>6.4260000000000002</v>
      </c>
      <c r="E923" s="64"/>
      <c r="F923" s="265">
        <f t="shared" si="557"/>
        <v>456</v>
      </c>
      <c r="G923" s="219">
        <v>2930.96</v>
      </c>
      <c r="H923" s="274"/>
      <c r="I923" s="238"/>
      <c r="J923" s="265"/>
      <c r="K923" s="193"/>
      <c r="L923" s="272"/>
      <c r="M923" s="236"/>
      <c r="N923" s="265"/>
      <c r="O923" s="193"/>
      <c r="P923" s="274">
        <v>3.66</v>
      </c>
      <c r="Q923" s="236">
        <f t="shared" si="565"/>
        <v>6.4260000000000002</v>
      </c>
      <c r="R923" s="265">
        <f t="shared" si="566"/>
        <v>1328</v>
      </c>
      <c r="S923" s="193">
        <f t="shared" si="567"/>
        <v>8535</v>
      </c>
      <c r="T923" s="230"/>
      <c r="U923" s="289"/>
      <c r="V923" s="200"/>
      <c r="W923" s="232">
        <f t="shared" si="574"/>
        <v>6.4260000000000002</v>
      </c>
      <c r="X923" s="161">
        <v>4300</v>
      </c>
      <c r="Y923" s="199">
        <f t="shared" si="571"/>
        <v>27631.8</v>
      </c>
      <c r="Z923" s="153"/>
      <c r="AA923" s="147"/>
      <c r="AB923" s="101"/>
      <c r="AC923" s="226">
        <v>0</v>
      </c>
      <c r="AD923" s="302">
        <f t="shared" si="572"/>
        <v>-2972</v>
      </c>
      <c r="AE923" s="331">
        <f t="shared" si="573"/>
        <v>-19096.8</v>
      </c>
    </row>
    <row r="924" spans="1:32" hidden="1" outlineLevel="2" x14ac:dyDescent="0.35">
      <c r="B924" s="386" t="s">
        <v>651</v>
      </c>
      <c r="C924" s="44" t="s">
        <v>17</v>
      </c>
      <c r="D924" s="234">
        <v>14.79</v>
      </c>
      <c r="E924" s="64"/>
      <c r="F924" s="265">
        <f>ROUND(G924/D924,0)</f>
        <v>150</v>
      </c>
      <c r="G924" s="219">
        <v>2212.73</v>
      </c>
      <c r="H924" s="272"/>
      <c r="I924" s="236"/>
      <c r="J924" s="265"/>
      <c r="K924" s="193"/>
      <c r="L924" s="272"/>
      <c r="M924" s="236"/>
      <c r="N924" s="265"/>
      <c r="O924" s="193"/>
      <c r="P924" s="274">
        <v>3.66</v>
      </c>
      <c r="Q924" s="236">
        <f>D924-I924-M924</f>
        <v>14.79</v>
      </c>
      <c r="R924" s="265">
        <f>ROUND(F924*P924*0.7958,0)</f>
        <v>437</v>
      </c>
      <c r="S924" s="193">
        <f>ROUND(Q924*P924*F924*0.7958,0)</f>
        <v>6462</v>
      </c>
      <c r="T924" s="230"/>
      <c r="U924" s="289"/>
      <c r="V924" s="200"/>
      <c r="W924" s="232">
        <f t="shared" si="574"/>
        <v>14.79</v>
      </c>
      <c r="X924" s="161">
        <v>1100</v>
      </c>
      <c r="Y924" s="199">
        <f t="shared" si="571"/>
        <v>16268.999999999998</v>
      </c>
      <c r="Z924" s="153"/>
      <c r="AA924" s="147"/>
      <c r="AB924" s="101"/>
      <c r="AC924" s="226">
        <v>0</v>
      </c>
      <c r="AD924" s="302">
        <f t="shared" si="572"/>
        <v>-663</v>
      </c>
      <c r="AE924" s="331">
        <f t="shared" si="573"/>
        <v>-9806.9999999999982</v>
      </c>
    </row>
    <row r="925" spans="1:32" hidden="1" outlineLevel="2" x14ac:dyDescent="0.35">
      <c r="B925" s="386" t="s">
        <v>411</v>
      </c>
      <c r="C925" s="44" t="s">
        <v>17</v>
      </c>
      <c r="D925" s="234">
        <v>8.1006</v>
      </c>
      <c r="E925" s="64"/>
      <c r="F925" s="265">
        <f t="shared" si="557"/>
        <v>573</v>
      </c>
      <c r="G925" s="219">
        <v>4639.4400000000005</v>
      </c>
      <c r="H925" s="274"/>
      <c r="I925" s="238"/>
      <c r="J925" s="265"/>
      <c r="K925" s="193"/>
      <c r="L925" s="272"/>
      <c r="M925" s="236"/>
      <c r="N925" s="265"/>
      <c r="O925" s="193"/>
      <c r="P925" s="274">
        <v>3.66</v>
      </c>
      <c r="Q925" s="236">
        <f t="shared" si="565"/>
        <v>8.1006</v>
      </c>
      <c r="R925" s="265">
        <f t="shared" si="566"/>
        <v>1669</v>
      </c>
      <c r="S925" s="193">
        <f t="shared" si="567"/>
        <v>13519</v>
      </c>
      <c r="T925" s="230"/>
      <c r="U925" s="289"/>
      <c r="V925" s="200"/>
      <c r="W925" s="232">
        <f t="shared" si="574"/>
        <v>8.1006</v>
      </c>
      <c r="X925" s="289">
        <v>3400</v>
      </c>
      <c r="Y925" s="199">
        <f t="shared" si="571"/>
        <v>27542.04</v>
      </c>
      <c r="Z925" s="153"/>
      <c r="AA925" s="147"/>
      <c r="AB925" s="101"/>
      <c r="AC925" s="226">
        <v>0</v>
      </c>
      <c r="AD925" s="302">
        <f t="shared" si="572"/>
        <v>-1731</v>
      </c>
      <c r="AE925" s="331">
        <f t="shared" si="573"/>
        <v>-14023.04</v>
      </c>
    </row>
    <row r="926" spans="1:32" hidden="1" outlineLevel="2" x14ac:dyDescent="0.35">
      <c r="B926" s="386" t="s">
        <v>639</v>
      </c>
      <c r="C926" s="44" t="s">
        <v>17</v>
      </c>
      <c r="D926" s="234">
        <v>28.948</v>
      </c>
      <c r="E926" s="64"/>
      <c r="F926" s="265">
        <f t="shared" si="557"/>
        <v>701</v>
      </c>
      <c r="G926" s="219">
        <v>20282.13</v>
      </c>
      <c r="H926" s="274">
        <v>3.62</v>
      </c>
      <c r="I926" s="238">
        <v>28.948</v>
      </c>
      <c r="J926" s="265">
        <f t="shared" si="558"/>
        <v>2019</v>
      </c>
      <c r="K926" s="193">
        <f t="shared" si="559"/>
        <v>58459</v>
      </c>
      <c r="L926" s="272"/>
      <c r="M926" s="236"/>
      <c r="N926" s="265"/>
      <c r="O926" s="193"/>
      <c r="P926" s="274"/>
      <c r="Q926" s="236"/>
      <c r="R926" s="265"/>
      <c r="S926" s="193"/>
      <c r="T926" s="230">
        <f>I926</f>
        <v>28.948</v>
      </c>
      <c r="U926" s="289">
        <v>3400</v>
      </c>
      <c r="V926" s="199">
        <f>T926*U926</f>
        <v>98423.2</v>
      </c>
      <c r="W926" s="232"/>
      <c r="X926" s="289"/>
      <c r="Y926" s="199"/>
      <c r="Z926" s="153"/>
      <c r="AA926" s="147"/>
      <c r="AB926" s="101"/>
      <c r="AC926" s="226">
        <v>0</v>
      </c>
      <c r="AD926" s="302">
        <f>J926-U926</f>
        <v>-1381</v>
      </c>
      <c r="AE926" s="331">
        <f>K926-V926</f>
        <v>-39964.199999999997</v>
      </c>
    </row>
    <row r="927" spans="1:32" hidden="1" outlineLevel="2" x14ac:dyDescent="0.35">
      <c r="B927" s="386" t="s">
        <v>547</v>
      </c>
      <c r="C927" s="44" t="s">
        <v>17</v>
      </c>
      <c r="D927" s="234">
        <v>10.384</v>
      </c>
      <c r="E927" s="64"/>
      <c r="F927" s="265">
        <f t="shared" si="557"/>
        <v>508</v>
      </c>
      <c r="G927" s="219">
        <v>5271.54</v>
      </c>
      <c r="H927" s="274">
        <v>3.62</v>
      </c>
      <c r="I927" s="238">
        <v>10.384</v>
      </c>
      <c r="J927" s="265">
        <f t="shared" si="558"/>
        <v>1463</v>
      </c>
      <c r="K927" s="193">
        <f t="shared" si="559"/>
        <v>15196</v>
      </c>
      <c r="L927" s="272"/>
      <c r="M927" s="236"/>
      <c r="N927" s="265"/>
      <c r="O927" s="193"/>
      <c r="P927" s="274"/>
      <c r="Q927" s="236"/>
      <c r="R927" s="265"/>
      <c r="S927" s="193"/>
      <c r="T927" s="230">
        <f t="shared" ref="T927:T933" si="575">I927</f>
        <v>10.384</v>
      </c>
      <c r="U927" s="289">
        <v>2667</v>
      </c>
      <c r="V927" s="199">
        <f t="shared" ref="V927:V933" si="576">T927*U927</f>
        <v>27694.128000000001</v>
      </c>
      <c r="W927" s="232"/>
      <c r="X927" s="289"/>
      <c r="Y927" s="199"/>
      <c r="Z927" s="153"/>
      <c r="AA927" s="147"/>
      <c r="AB927" s="101"/>
      <c r="AC927" s="226">
        <v>0</v>
      </c>
      <c r="AD927" s="302">
        <f>J927-U927</f>
        <v>-1204</v>
      </c>
      <c r="AE927" s="331">
        <f>K927-V927</f>
        <v>-12498.128000000001</v>
      </c>
    </row>
    <row r="928" spans="1:32" hidden="1" outlineLevel="2" x14ac:dyDescent="0.35">
      <c r="B928" s="386" t="s">
        <v>883</v>
      </c>
      <c r="C928" s="44" t="s">
        <v>17</v>
      </c>
      <c r="D928" s="234">
        <v>0.93959999999999999</v>
      </c>
      <c r="E928" s="64"/>
      <c r="F928" s="265">
        <f>ROUND(G928/D928,0)</f>
        <v>464</v>
      </c>
      <c r="G928" s="219">
        <v>436.38</v>
      </c>
      <c r="H928" s="272"/>
      <c r="I928" s="236"/>
      <c r="J928" s="265"/>
      <c r="K928" s="193"/>
      <c r="L928" s="272"/>
      <c r="M928" s="236"/>
      <c r="N928" s="265"/>
      <c r="O928" s="193"/>
      <c r="P928" s="274">
        <v>3.66</v>
      </c>
      <c r="Q928" s="236">
        <f>D928-I928-M928</f>
        <v>0.93959999999999999</v>
      </c>
      <c r="R928" s="265">
        <f>ROUND(F928*P928*0.7958,0)</f>
        <v>1351</v>
      </c>
      <c r="S928" s="193">
        <f>ROUND(Q928*P928*F928*0.7958,0)</f>
        <v>1270</v>
      </c>
      <c r="T928" s="230"/>
      <c r="U928" s="289"/>
      <c r="V928" s="199"/>
      <c r="W928" s="232">
        <f t="shared" ref="W928:W934" si="577">Q928</f>
        <v>0.93959999999999999</v>
      </c>
      <c r="X928" s="289">
        <v>2500</v>
      </c>
      <c r="Y928" s="199">
        <f t="shared" si="571"/>
        <v>2349</v>
      </c>
      <c r="Z928" s="153"/>
      <c r="AA928" s="147"/>
      <c r="AB928" s="101"/>
      <c r="AC928" s="226">
        <v>0</v>
      </c>
      <c r="AD928" s="302">
        <f>R928-X928</f>
        <v>-1149</v>
      </c>
      <c r="AE928" s="331">
        <f>S928-Y928</f>
        <v>-1079</v>
      </c>
    </row>
    <row r="929" spans="1:31" hidden="1" outlineLevel="2" x14ac:dyDescent="0.35">
      <c r="B929" s="386" t="s">
        <v>552</v>
      </c>
      <c r="C929" s="44" t="s">
        <v>28</v>
      </c>
      <c r="D929" s="234">
        <v>0.11</v>
      </c>
      <c r="E929" s="64"/>
      <c r="F929" s="265">
        <f t="shared" si="557"/>
        <v>1809</v>
      </c>
      <c r="G929" s="219">
        <v>199</v>
      </c>
      <c r="H929" s="274">
        <v>3.62</v>
      </c>
      <c r="I929" s="238">
        <v>4.99E-2</v>
      </c>
      <c r="J929" s="265">
        <f t="shared" si="558"/>
        <v>5211</v>
      </c>
      <c r="K929" s="193">
        <f t="shared" si="559"/>
        <v>260</v>
      </c>
      <c r="L929" s="272"/>
      <c r="M929" s="236"/>
      <c r="N929" s="265"/>
      <c r="O929" s="193"/>
      <c r="P929" s="274">
        <v>3.66</v>
      </c>
      <c r="Q929" s="236">
        <f t="shared" si="565"/>
        <v>6.0100000000000001E-2</v>
      </c>
      <c r="R929" s="265">
        <f t="shared" si="566"/>
        <v>5269</v>
      </c>
      <c r="S929" s="193">
        <f t="shared" si="567"/>
        <v>317</v>
      </c>
      <c r="T929" s="230">
        <f t="shared" si="575"/>
        <v>4.99E-2</v>
      </c>
      <c r="U929" s="289">
        <v>46993</v>
      </c>
      <c r="V929" s="199">
        <f t="shared" si="576"/>
        <v>2344.9506999999999</v>
      </c>
      <c r="W929" s="232">
        <f t="shared" si="577"/>
        <v>6.0100000000000001E-2</v>
      </c>
      <c r="X929" s="289">
        <v>46993</v>
      </c>
      <c r="Y929" s="199">
        <f t="shared" si="571"/>
        <v>2824.2793000000001</v>
      </c>
      <c r="Z929" s="153"/>
      <c r="AA929" s="147"/>
      <c r="AB929" s="101"/>
      <c r="AC929" s="226">
        <v>0</v>
      </c>
      <c r="AD929" s="302">
        <f>R929-X929</f>
        <v>-41724</v>
      </c>
      <c r="AE929" s="331">
        <f>K929+S929-Y929-V929</f>
        <v>-4592.2299999999996</v>
      </c>
    </row>
    <row r="930" spans="1:31" hidden="1" outlineLevel="2" x14ac:dyDescent="0.35">
      <c r="A930" s="142"/>
      <c r="B930" s="386" t="s">
        <v>646</v>
      </c>
      <c r="C930" s="44" t="s">
        <v>17</v>
      </c>
      <c r="D930" s="234">
        <v>13.101800000000001</v>
      </c>
      <c r="E930" s="64"/>
      <c r="F930" s="265">
        <f t="shared" si="557"/>
        <v>607</v>
      </c>
      <c r="G930" s="219">
        <v>7949.1</v>
      </c>
      <c r="H930" s="274"/>
      <c r="I930" s="238"/>
      <c r="J930" s="265"/>
      <c r="K930" s="193"/>
      <c r="L930" s="272"/>
      <c r="M930" s="236"/>
      <c r="N930" s="265"/>
      <c r="O930" s="193"/>
      <c r="P930" s="274">
        <v>3.66</v>
      </c>
      <c r="Q930" s="236">
        <f t="shared" si="565"/>
        <v>13.101800000000001</v>
      </c>
      <c r="R930" s="265">
        <f t="shared" si="566"/>
        <v>1768</v>
      </c>
      <c r="S930" s="193">
        <f t="shared" si="567"/>
        <v>23164</v>
      </c>
      <c r="T930" s="230"/>
      <c r="U930" s="289"/>
      <c r="V930" s="199"/>
      <c r="W930" s="232">
        <f t="shared" si="577"/>
        <v>13.101800000000001</v>
      </c>
      <c r="X930" s="289">
        <v>11500</v>
      </c>
      <c r="Y930" s="199">
        <f t="shared" si="571"/>
        <v>150670.70000000001</v>
      </c>
      <c r="Z930" s="153"/>
      <c r="AA930" s="147"/>
      <c r="AB930" s="101"/>
      <c r="AC930" s="226"/>
      <c r="AD930" s="302">
        <f>R930-X930</f>
        <v>-9732</v>
      </c>
      <c r="AE930" s="331">
        <f>S930-Y930</f>
        <v>-127506.70000000001</v>
      </c>
    </row>
    <row r="931" spans="1:31" hidden="1" outlineLevel="2" x14ac:dyDescent="0.35">
      <c r="B931" s="386" t="s">
        <v>650</v>
      </c>
      <c r="C931" s="44" t="s">
        <v>28</v>
      </c>
      <c r="D931" s="234">
        <v>1.3528</v>
      </c>
      <c r="E931" s="64"/>
      <c r="F931" s="265">
        <f>ROUND(G931/D931,0)</f>
        <v>2669</v>
      </c>
      <c r="G931" s="219">
        <v>3611</v>
      </c>
      <c r="H931" s="274">
        <v>3.62</v>
      </c>
      <c r="I931" s="238">
        <v>0.749</v>
      </c>
      <c r="J931" s="265">
        <f>ROUND(F931*H931*0.7958,0)</f>
        <v>7689</v>
      </c>
      <c r="K931" s="193">
        <f>ROUND(I931*H931*F931*0.7958,0)</f>
        <v>5759</v>
      </c>
      <c r="L931" s="272"/>
      <c r="M931" s="236"/>
      <c r="N931" s="265"/>
      <c r="O931" s="193"/>
      <c r="P931" s="274">
        <v>3.66</v>
      </c>
      <c r="Q931" s="236">
        <f>D931-I931-M931</f>
        <v>0.6038</v>
      </c>
      <c r="R931" s="265">
        <f>ROUND(F931*P931*0.7958,0)</f>
        <v>7774</v>
      </c>
      <c r="S931" s="193">
        <f>ROUND(Q931*P931*F931*0.7958,0)</f>
        <v>4694</v>
      </c>
      <c r="T931" s="230">
        <f t="shared" si="575"/>
        <v>0.749</v>
      </c>
      <c r="U931" s="289">
        <v>46993</v>
      </c>
      <c r="V931" s="199">
        <f t="shared" si="576"/>
        <v>35197.756999999998</v>
      </c>
      <c r="W931" s="232">
        <f t="shared" si="577"/>
        <v>0.6038</v>
      </c>
      <c r="X931" s="289">
        <v>46993</v>
      </c>
      <c r="Y931" s="199">
        <f t="shared" si="571"/>
        <v>28374.3734</v>
      </c>
      <c r="Z931" s="153"/>
      <c r="AA931" s="147"/>
      <c r="AB931" s="101"/>
      <c r="AC931" s="226"/>
      <c r="AD931" s="302">
        <f>J931-X931</f>
        <v>-39304</v>
      </c>
      <c r="AE931" s="331">
        <f>K931+S931-Y931-V931</f>
        <v>-53119.130399999995</v>
      </c>
    </row>
    <row r="932" spans="1:31" hidden="1" outlineLevel="2" x14ac:dyDescent="0.35">
      <c r="B932" s="386" t="s">
        <v>647</v>
      </c>
      <c r="C932" s="44" t="s">
        <v>28</v>
      </c>
      <c r="D932" s="234">
        <v>7.5999999999999998E-2</v>
      </c>
      <c r="E932" s="64"/>
      <c r="F932" s="265">
        <f t="shared" si="557"/>
        <v>5492</v>
      </c>
      <c r="G932" s="219">
        <v>417.38</v>
      </c>
      <c r="H932" s="274">
        <v>3.62</v>
      </c>
      <c r="I932" s="238">
        <v>7.5999999999999998E-2</v>
      </c>
      <c r="J932" s="265">
        <f t="shared" si="558"/>
        <v>15821</v>
      </c>
      <c r="K932" s="193">
        <f t="shared" si="559"/>
        <v>1202</v>
      </c>
      <c r="L932" s="272"/>
      <c r="M932" s="236"/>
      <c r="N932" s="265"/>
      <c r="O932" s="193"/>
      <c r="P932" s="274"/>
      <c r="Q932" s="236"/>
      <c r="R932" s="265"/>
      <c r="S932" s="193"/>
      <c r="T932" s="230">
        <f t="shared" si="575"/>
        <v>7.5999999999999998E-2</v>
      </c>
      <c r="U932" s="161">
        <v>37000</v>
      </c>
      <c r="V932" s="199">
        <f t="shared" si="576"/>
        <v>2812</v>
      </c>
      <c r="W932" s="232"/>
      <c r="X932" s="289"/>
      <c r="Y932" s="199"/>
      <c r="Z932" s="153"/>
      <c r="AA932" s="147"/>
      <c r="AB932" s="101"/>
      <c r="AC932" s="226"/>
      <c r="AD932" s="302">
        <f>J932-U932</f>
        <v>-21179</v>
      </c>
      <c r="AE932" s="331">
        <f>K932-V932</f>
        <v>-1610</v>
      </c>
    </row>
    <row r="933" spans="1:31" hidden="1" outlineLevel="2" x14ac:dyDescent="0.35">
      <c r="B933" s="386" t="s">
        <v>648</v>
      </c>
      <c r="C933" s="44" t="s">
        <v>28</v>
      </c>
      <c r="D933" s="234">
        <v>1.796</v>
      </c>
      <c r="E933" s="64"/>
      <c r="F933" s="265">
        <f t="shared" si="557"/>
        <v>8453</v>
      </c>
      <c r="G933" s="219">
        <v>15181.17</v>
      </c>
      <c r="H933" s="274">
        <v>3.62</v>
      </c>
      <c r="I933" s="238">
        <v>1.796</v>
      </c>
      <c r="J933" s="265">
        <f t="shared" si="558"/>
        <v>24351</v>
      </c>
      <c r="K933" s="193">
        <f t="shared" si="559"/>
        <v>43735</v>
      </c>
      <c r="L933" s="272"/>
      <c r="M933" s="236"/>
      <c r="N933" s="265"/>
      <c r="O933" s="193"/>
      <c r="P933" s="274"/>
      <c r="Q933" s="236"/>
      <c r="R933" s="265"/>
      <c r="S933" s="193"/>
      <c r="T933" s="230">
        <f t="shared" si="575"/>
        <v>1.796</v>
      </c>
      <c r="U933" s="161">
        <v>39700</v>
      </c>
      <c r="V933" s="199">
        <f t="shared" si="576"/>
        <v>71301.2</v>
      </c>
      <c r="W933" s="232"/>
      <c r="X933" s="289"/>
      <c r="Y933" s="199"/>
      <c r="Z933" s="153"/>
      <c r="AA933" s="147"/>
      <c r="AB933" s="101"/>
      <c r="AC933" s="226"/>
      <c r="AD933" s="302">
        <f>J933-U933</f>
        <v>-15349</v>
      </c>
      <c r="AE933" s="331">
        <f>K933-V933</f>
        <v>-27566.199999999997</v>
      </c>
    </row>
    <row r="934" spans="1:31" hidden="1" outlineLevel="2" x14ac:dyDescent="0.35">
      <c r="A934" s="142"/>
      <c r="B934" s="386" t="s">
        <v>569</v>
      </c>
      <c r="C934" s="44" t="s">
        <v>28</v>
      </c>
      <c r="D934" s="234">
        <v>1.012</v>
      </c>
      <c r="E934" s="64"/>
      <c r="F934" s="265">
        <f t="shared" ref="F934" si="578">ROUND(G934/D934,0)</f>
        <v>7480</v>
      </c>
      <c r="G934" s="219">
        <v>7569.75</v>
      </c>
      <c r="H934" s="274"/>
      <c r="I934" s="238"/>
      <c r="J934" s="265"/>
      <c r="K934" s="193"/>
      <c r="L934" s="272"/>
      <c r="M934" s="236"/>
      <c r="N934" s="265"/>
      <c r="O934" s="193"/>
      <c r="P934" s="274">
        <v>3.66</v>
      </c>
      <c r="Q934" s="236">
        <f t="shared" ref="Q934" si="579">D934-I934-M934</f>
        <v>1.012</v>
      </c>
      <c r="R934" s="265">
        <f t="shared" ref="R934" si="580">ROUND(F934*P934*0.7958,0)</f>
        <v>21786</v>
      </c>
      <c r="S934" s="193">
        <f t="shared" ref="S934" si="581">ROUND(Q934*P934*F934*0.7958,0)</f>
        <v>22048</v>
      </c>
      <c r="T934" s="230"/>
      <c r="U934" s="289"/>
      <c r="V934" s="200"/>
      <c r="W934" s="232">
        <f t="shared" si="577"/>
        <v>1.012</v>
      </c>
      <c r="X934" s="289">
        <v>125525</v>
      </c>
      <c r="Y934" s="199">
        <f t="shared" si="571"/>
        <v>127031.3</v>
      </c>
      <c r="Z934" s="153"/>
      <c r="AA934" s="147"/>
      <c r="AB934" s="101"/>
      <c r="AC934" s="226"/>
      <c r="AD934" s="302">
        <f>R934-X934</f>
        <v>-103739</v>
      </c>
      <c r="AE934" s="331">
        <f>S934-Y934</f>
        <v>-104983.3</v>
      </c>
    </row>
    <row r="935" spans="1:31" hidden="1" outlineLevel="2" x14ac:dyDescent="0.35">
      <c r="B935" s="386" t="s">
        <v>880</v>
      </c>
      <c r="C935" s="44" t="s">
        <v>40</v>
      </c>
      <c r="D935" s="234">
        <v>16</v>
      </c>
      <c r="E935" s="64" t="s">
        <v>877</v>
      </c>
      <c r="F935" s="265"/>
      <c r="G935" s="219"/>
      <c r="H935" s="274"/>
      <c r="I935" s="238"/>
      <c r="J935" s="265"/>
      <c r="K935" s="193"/>
      <c r="L935" s="272"/>
      <c r="M935" s="236"/>
      <c r="N935" s="265"/>
      <c r="O935" s="193"/>
      <c r="P935" s="274"/>
      <c r="Q935" s="236"/>
      <c r="R935" s="265"/>
      <c r="S935" s="193"/>
      <c r="T935" s="230"/>
      <c r="U935" s="289"/>
      <c r="V935" s="200"/>
      <c r="W935" s="232">
        <f>D935</f>
        <v>16</v>
      </c>
      <c r="X935" s="290">
        <v>291.67</v>
      </c>
      <c r="Y935" s="199">
        <f t="shared" si="571"/>
        <v>4666.72</v>
      </c>
      <c r="Z935" s="153"/>
      <c r="AA935" s="147"/>
      <c r="AB935" s="101"/>
      <c r="AC935" s="226"/>
      <c r="AD935" s="302">
        <f>R935-X935</f>
        <v>-291.67</v>
      </c>
      <c r="AE935" s="331">
        <f>S935-Y935</f>
        <v>-4666.72</v>
      </c>
    </row>
    <row r="936" spans="1:31" hidden="1" outlineLevel="2" x14ac:dyDescent="0.35">
      <c r="B936" s="386" t="s">
        <v>881</v>
      </c>
      <c r="C936" s="44" t="s">
        <v>40</v>
      </c>
      <c r="D936" s="234">
        <f>36+16</f>
        <v>52</v>
      </c>
      <c r="E936" s="64" t="s">
        <v>878</v>
      </c>
      <c r="F936" s="265"/>
      <c r="G936" s="219"/>
      <c r="H936" s="274"/>
      <c r="I936" s="238"/>
      <c r="J936" s="265"/>
      <c r="K936" s="193"/>
      <c r="L936" s="272"/>
      <c r="M936" s="236"/>
      <c r="N936" s="265"/>
      <c r="O936" s="193"/>
      <c r="P936" s="274"/>
      <c r="Q936" s="236"/>
      <c r="R936" s="265"/>
      <c r="S936" s="193"/>
      <c r="T936" s="230"/>
      <c r="U936" s="289"/>
      <c r="V936" s="200"/>
      <c r="W936" s="232">
        <f t="shared" ref="W936:W962" si="582">D936</f>
        <v>52</v>
      </c>
      <c r="X936" s="289">
        <v>250</v>
      </c>
      <c r="Y936" s="199">
        <f t="shared" si="571"/>
        <v>13000</v>
      </c>
      <c r="Z936" s="153"/>
      <c r="AA936" s="147"/>
      <c r="AB936" s="101"/>
      <c r="AC936" s="226"/>
      <c r="AD936" s="302">
        <f>R936-X936</f>
        <v>-250</v>
      </c>
      <c r="AE936" s="331">
        <f t="shared" ref="AE936:AE937" si="583">S936-Y936</f>
        <v>-13000</v>
      </c>
    </row>
    <row r="937" spans="1:31" hidden="1" outlineLevel="2" x14ac:dyDescent="0.35">
      <c r="B937" s="386" t="s">
        <v>882</v>
      </c>
      <c r="C937" s="44" t="s">
        <v>40</v>
      </c>
      <c r="D937" s="234">
        <f>144+32</f>
        <v>176</v>
      </c>
      <c r="E937" s="64" t="s">
        <v>879</v>
      </c>
      <c r="F937" s="265"/>
      <c r="G937" s="219"/>
      <c r="H937" s="274"/>
      <c r="I937" s="238"/>
      <c r="J937" s="265"/>
      <c r="K937" s="193"/>
      <c r="L937" s="272"/>
      <c r="M937" s="236"/>
      <c r="N937" s="265"/>
      <c r="O937" s="193"/>
      <c r="P937" s="274"/>
      <c r="Q937" s="236"/>
      <c r="R937" s="265"/>
      <c r="S937" s="193"/>
      <c r="T937" s="230"/>
      <c r="U937" s="289"/>
      <c r="V937" s="200"/>
      <c r="W937" s="232">
        <f t="shared" si="582"/>
        <v>176</v>
      </c>
      <c r="X937" s="289">
        <v>250</v>
      </c>
      <c r="Y937" s="199">
        <f t="shared" si="571"/>
        <v>44000</v>
      </c>
      <c r="Z937" s="153"/>
      <c r="AA937" s="147"/>
      <c r="AB937" s="101"/>
      <c r="AC937" s="226"/>
      <c r="AD937" s="302">
        <f>R937-X937</f>
        <v>-250</v>
      </c>
      <c r="AE937" s="331">
        <f t="shared" si="583"/>
        <v>-44000</v>
      </c>
    </row>
    <row r="938" spans="1:31" ht="25.5" hidden="1" customHeight="1" outlineLevel="2" x14ac:dyDescent="0.35">
      <c r="B938" s="386" t="s">
        <v>649</v>
      </c>
      <c r="C938" s="44" t="s">
        <v>77</v>
      </c>
      <c r="D938" s="234">
        <v>16</v>
      </c>
      <c r="E938" s="64"/>
      <c r="F938" s="265">
        <f t="shared" si="557"/>
        <v>1</v>
      </c>
      <c r="G938" s="219">
        <v>22.71</v>
      </c>
      <c r="H938" s="274"/>
      <c r="I938" s="238"/>
      <c r="J938" s="265"/>
      <c r="K938" s="193"/>
      <c r="L938" s="272"/>
      <c r="M938" s="236"/>
      <c r="N938" s="265"/>
      <c r="O938" s="193"/>
      <c r="P938" s="274">
        <v>3.66</v>
      </c>
      <c r="Q938" s="236">
        <f t="shared" si="565"/>
        <v>16</v>
      </c>
      <c r="R938" s="265">
        <f t="shared" si="566"/>
        <v>3</v>
      </c>
      <c r="S938" s="193">
        <f t="shared" si="567"/>
        <v>47</v>
      </c>
      <c r="T938" s="230"/>
      <c r="U938" s="289"/>
      <c r="V938" s="200"/>
      <c r="W938" s="232">
        <f t="shared" si="582"/>
        <v>16</v>
      </c>
      <c r="X938" s="289">
        <v>8</v>
      </c>
      <c r="Y938" s="199">
        <f t="shared" si="571"/>
        <v>128</v>
      </c>
      <c r="Z938" s="153"/>
      <c r="AA938" s="147"/>
      <c r="AB938" s="101"/>
      <c r="AC938" s="226"/>
      <c r="AD938" s="302">
        <f t="shared" ref="AD938" si="584">R938-X938</f>
        <v>-5</v>
      </c>
      <c r="AE938" s="331">
        <f>S938-Y938</f>
        <v>-81</v>
      </c>
    </row>
    <row r="939" spans="1:31" ht="25.5" hidden="1" customHeight="1" outlineLevel="2" x14ac:dyDescent="0.35">
      <c r="A939" s="141"/>
      <c r="B939" s="386" t="s">
        <v>849</v>
      </c>
      <c r="C939" s="44" t="s">
        <v>848</v>
      </c>
      <c r="D939" s="234">
        <v>14</v>
      </c>
      <c r="E939" s="1132" t="s">
        <v>871</v>
      </c>
      <c r="F939" s="1026">
        <f>ROUND(G939/9.886,0)</f>
        <v>493</v>
      </c>
      <c r="G939" s="1129">
        <v>4878</v>
      </c>
      <c r="H939" s="1075"/>
      <c r="I939" s="1111"/>
      <c r="J939" s="1075"/>
      <c r="K939" s="1008"/>
      <c r="L939" s="1075"/>
      <c r="M939" s="1111"/>
      <c r="N939" s="1075"/>
      <c r="O939" s="1008"/>
      <c r="P939" s="1075">
        <v>3.66</v>
      </c>
      <c r="Q939" s="1111">
        <v>9.8859999999999992</v>
      </c>
      <c r="R939" s="1075">
        <f t="shared" si="566"/>
        <v>1436</v>
      </c>
      <c r="S939" s="1008">
        <f>ROUND(Q939*P939*F939*0.7958,0)</f>
        <v>14196</v>
      </c>
      <c r="T939" s="230"/>
      <c r="U939" s="289"/>
      <c r="V939" s="200"/>
      <c r="W939" s="232">
        <f t="shared" si="582"/>
        <v>14</v>
      </c>
      <c r="X939" s="289">
        <v>374.5</v>
      </c>
      <c r="Y939" s="199">
        <f t="shared" si="571"/>
        <v>5243</v>
      </c>
      <c r="Z939" s="153"/>
      <c r="AA939" s="147"/>
      <c r="AB939" s="101"/>
      <c r="AC939" s="226"/>
      <c r="AD939" s="1036"/>
      <c r="AE939" s="1069">
        <f>S939-(Y939+Y940+Y941+Y942+Y943+Y944)</f>
        <v>-33082</v>
      </c>
    </row>
    <row r="940" spans="1:31" ht="25.5" hidden="1" customHeight="1" outlineLevel="2" x14ac:dyDescent="0.35">
      <c r="A940" s="141"/>
      <c r="B940" s="386" t="s">
        <v>850</v>
      </c>
      <c r="C940" s="44" t="s">
        <v>848</v>
      </c>
      <c r="D940" s="234">
        <v>20</v>
      </c>
      <c r="E940" s="1133"/>
      <c r="F940" s="1100"/>
      <c r="G940" s="1130"/>
      <c r="H940" s="1081"/>
      <c r="I940" s="1112"/>
      <c r="J940" s="1081"/>
      <c r="K940" s="1077"/>
      <c r="L940" s="1081"/>
      <c r="M940" s="1112"/>
      <c r="N940" s="1081"/>
      <c r="O940" s="1077"/>
      <c r="P940" s="1081">
        <v>3.66</v>
      </c>
      <c r="Q940" s="1112"/>
      <c r="R940" s="1081">
        <f t="shared" ref="R940" si="585">ROUND(F940*P940*0.7958,0)</f>
        <v>0</v>
      </c>
      <c r="S940" s="1077"/>
      <c r="T940" s="230"/>
      <c r="U940" s="289"/>
      <c r="V940" s="200"/>
      <c r="W940" s="232">
        <f t="shared" si="582"/>
        <v>20</v>
      </c>
      <c r="X940" s="289">
        <v>470</v>
      </c>
      <c r="Y940" s="199">
        <f t="shared" si="571"/>
        <v>9400</v>
      </c>
      <c r="Z940" s="153"/>
      <c r="AA940" s="147"/>
      <c r="AB940" s="101"/>
      <c r="AC940" s="226"/>
      <c r="AD940" s="1037"/>
      <c r="AE940" s="1070"/>
    </row>
    <row r="941" spans="1:31" ht="25.5" hidden="1" customHeight="1" outlineLevel="2" x14ac:dyDescent="0.35">
      <c r="A941" s="141"/>
      <c r="B941" s="386" t="s">
        <v>851</v>
      </c>
      <c r="C941" s="44" t="s">
        <v>848</v>
      </c>
      <c r="D941" s="234">
        <f>2+7</f>
        <v>9</v>
      </c>
      <c r="E941" s="1133"/>
      <c r="F941" s="1100"/>
      <c r="G941" s="1130"/>
      <c r="H941" s="1081"/>
      <c r="I941" s="1112"/>
      <c r="J941" s="1081"/>
      <c r="K941" s="1077"/>
      <c r="L941" s="1081"/>
      <c r="M941" s="1112"/>
      <c r="N941" s="1081"/>
      <c r="O941" s="1077"/>
      <c r="P941" s="1081">
        <v>3.66</v>
      </c>
      <c r="Q941" s="1112"/>
      <c r="R941" s="1081">
        <f t="shared" ref="R941" si="586">ROUND(F941*P941*0.7958,0)</f>
        <v>0</v>
      </c>
      <c r="S941" s="1077"/>
      <c r="T941" s="230"/>
      <c r="U941" s="289"/>
      <c r="V941" s="200"/>
      <c r="W941" s="232">
        <f t="shared" si="582"/>
        <v>9</v>
      </c>
      <c r="X941" s="289">
        <v>642</v>
      </c>
      <c r="Y941" s="199">
        <f t="shared" si="571"/>
        <v>5778</v>
      </c>
      <c r="Z941" s="153"/>
      <c r="AA941" s="147"/>
      <c r="AB941" s="101"/>
      <c r="AC941" s="226"/>
      <c r="AD941" s="1037"/>
      <c r="AE941" s="1070"/>
    </row>
    <row r="942" spans="1:31" ht="25.5" hidden="1" customHeight="1" outlineLevel="2" x14ac:dyDescent="0.35">
      <c r="A942" s="141"/>
      <c r="B942" s="386" t="s">
        <v>852</v>
      </c>
      <c r="C942" s="44" t="s">
        <v>848</v>
      </c>
      <c r="D942" s="234">
        <f>2+1</f>
        <v>3</v>
      </c>
      <c r="E942" s="1133"/>
      <c r="F942" s="1100"/>
      <c r="G942" s="1130"/>
      <c r="H942" s="1081"/>
      <c r="I942" s="1112"/>
      <c r="J942" s="1081"/>
      <c r="K942" s="1077"/>
      <c r="L942" s="1081"/>
      <c r="M942" s="1112"/>
      <c r="N942" s="1081"/>
      <c r="O942" s="1077"/>
      <c r="P942" s="1081">
        <v>3.66</v>
      </c>
      <c r="Q942" s="1112"/>
      <c r="R942" s="1081">
        <f t="shared" si="566"/>
        <v>0</v>
      </c>
      <c r="S942" s="1077"/>
      <c r="T942" s="230"/>
      <c r="U942" s="290"/>
      <c r="V942" s="200"/>
      <c r="W942" s="232">
        <f t="shared" si="582"/>
        <v>3</v>
      </c>
      <c r="X942" s="289">
        <v>1498</v>
      </c>
      <c r="Y942" s="199">
        <f t="shared" si="571"/>
        <v>4494</v>
      </c>
      <c r="Z942" s="153"/>
      <c r="AA942" s="147"/>
      <c r="AB942" s="101"/>
      <c r="AC942" s="226"/>
      <c r="AD942" s="1037"/>
      <c r="AE942" s="1070"/>
    </row>
    <row r="943" spans="1:31" ht="25.5" hidden="1" customHeight="1" outlineLevel="2" x14ac:dyDescent="0.35">
      <c r="A943" s="141"/>
      <c r="B943" s="386" t="s">
        <v>853</v>
      </c>
      <c r="C943" s="44" t="s">
        <v>848</v>
      </c>
      <c r="D943" s="234">
        <v>4</v>
      </c>
      <c r="E943" s="1133"/>
      <c r="F943" s="1100"/>
      <c r="G943" s="1130"/>
      <c r="H943" s="1081"/>
      <c r="I943" s="1112"/>
      <c r="J943" s="1081"/>
      <c r="K943" s="1077"/>
      <c r="L943" s="1081"/>
      <c r="M943" s="1112"/>
      <c r="N943" s="1081"/>
      <c r="O943" s="1077"/>
      <c r="P943" s="1081"/>
      <c r="Q943" s="1112"/>
      <c r="R943" s="1081"/>
      <c r="S943" s="1077"/>
      <c r="T943" s="230"/>
      <c r="U943" s="290"/>
      <c r="V943" s="200"/>
      <c r="W943" s="232">
        <f t="shared" si="582"/>
        <v>4</v>
      </c>
      <c r="X943" s="289">
        <v>1498</v>
      </c>
      <c r="Y943" s="199">
        <f t="shared" si="571"/>
        <v>5992</v>
      </c>
      <c r="Z943" s="153"/>
      <c r="AA943" s="147"/>
      <c r="AB943" s="101"/>
      <c r="AC943" s="226"/>
      <c r="AD943" s="1037"/>
      <c r="AE943" s="1070"/>
    </row>
    <row r="944" spans="1:31" ht="25.5" hidden="1" customHeight="1" outlineLevel="2" x14ac:dyDescent="0.35">
      <c r="A944" s="141"/>
      <c r="B944" s="386" t="s">
        <v>854</v>
      </c>
      <c r="C944" s="44" t="s">
        <v>848</v>
      </c>
      <c r="D944" s="234">
        <v>9</v>
      </c>
      <c r="E944" s="1133"/>
      <c r="F944" s="1027"/>
      <c r="G944" s="1131"/>
      <c r="H944" s="1076"/>
      <c r="I944" s="1113"/>
      <c r="J944" s="1076"/>
      <c r="K944" s="1009"/>
      <c r="L944" s="1076"/>
      <c r="M944" s="1113"/>
      <c r="N944" s="1076"/>
      <c r="O944" s="1009"/>
      <c r="P944" s="1076"/>
      <c r="Q944" s="1113"/>
      <c r="R944" s="1076"/>
      <c r="S944" s="1009"/>
      <c r="T944" s="230"/>
      <c r="U944" s="290"/>
      <c r="V944" s="200"/>
      <c r="W944" s="232">
        <f t="shared" si="582"/>
        <v>9</v>
      </c>
      <c r="X944" s="289">
        <v>1819</v>
      </c>
      <c r="Y944" s="199">
        <f t="shared" si="571"/>
        <v>16371</v>
      </c>
      <c r="Z944" s="153"/>
      <c r="AA944" s="147"/>
      <c r="AB944" s="101"/>
      <c r="AC944" s="226"/>
      <c r="AD944" s="1038"/>
      <c r="AE944" s="1071"/>
    </row>
    <row r="945" spans="1:31" ht="25.5" hidden="1" customHeight="1" outlineLevel="2" x14ac:dyDescent="0.35">
      <c r="A945" s="141"/>
      <c r="B945" s="386" t="s">
        <v>855</v>
      </c>
      <c r="C945" s="44" t="s">
        <v>848</v>
      </c>
      <c r="D945" s="234">
        <v>4</v>
      </c>
      <c r="E945" s="1133"/>
      <c r="F945" s="269">
        <f>ROUND(G945/1.615,0)</f>
        <v>820</v>
      </c>
      <c r="G945" s="219">
        <v>1324</v>
      </c>
      <c r="H945" s="274"/>
      <c r="I945" s="238"/>
      <c r="J945" s="274"/>
      <c r="K945" s="197"/>
      <c r="L945" s="274"/>
      <c r="M945" s="238"/>
      <c r="N945" s="274"/>
      <c r="O945" s="197"/>
      <c r="P945" s="274">
        <v>3.66</v>
      </c>
      <c r="Q945" s="238">
        <f>1.615-I945-M945</f>
        <v>1.615</v>
      </c>
      <c r="R945" s="274">
        <f t="shared" si="566"/>
        <v>2388</v>
      </c>
      <c r="S945" s="197">
        <f>ROUND(Q945*P945*F945*0.7958,0)</f>
        <v>3857</v>
      </c>
      <c r="T945" s="230"/>
      <c r="U945" s="290"/>
      <c r="V945" s="200"/>
      <c r="W945" s="232">
        <f t="shared" si="582"/>
        <v>4</v>
      </c>
      <c r="X945" s="289">
        <v>4815</v>
      </c>
      <c r="Y945" s="199">
        <f t="shared" si="571"/>
        <v>19260</v>
      </c>
      <c r="Z945" s="153"/>
      <c r="AA945" s="147"/>
      <c r="AB945" s="101"/>
      <c r="AC945" s="226"/>
      <c r="AD945" s="304"/>
      <c r="AE945" s="331">
        <f>S945-Y945</f>
        <v>-15403</v>
      </c>
    </row>
    <row r="946" spans="1:31" ht="25.5" hidden="1" customHeight="1" outlineLevel="2" x14ac:dyDescent="0.35">
      <c r="A946" s="141"/>
      <c r="B946" s="386" t="s">
        <v>856</v>
      </c>
      <c r="C946" s="44" t="s">
        <v>848</v>
      </c>
      <c r="D946" s="234">
        <v>6</v>
      </c>
      <c r="E946" s="1133"/>
      <c r="F946" s="269">
        <f>ROUND(G946/8.147,0)</f>
        <v>314</v>
      </c>
      <c r="G946" s="223">
        <v>2561</v>
      </c>
      <c r="H946" s="279"/>
      <c r="I946" s="246"/>
      <c r="J946" s="279"/>
      <c r="K946" s="197"/>
      <c r="L946" s="274"/>
      <c r="M946" s="238"/>
      <c r="N946" s="274"/>
      <c r="O946" s="193"/>
      <c r="P946" s="274">
        <v>3.66</v>
      </c>
      <c r="Q946" s="238">
        <f>8.147-I946-M946</f>
        <v>8.1470000000000002</v>
      </c>
      <c r="R946" s="274">
        <f>ROUND(F946*P946*0.7958,0)</f>
        <v>915</v>
      </c>
      <c r="S946" s="197">
        <f>ROUND(Q946*P946*F946*0.7958,0)</f>
        <v>7451</v>
      </c>
      <c r="T946" s="230"/>
      <c r="U946" s="290"/>
      <c r="V946" s="200"/>
      <c r="W946" s="232">
        <f t="shared" si="582"/>
        <v>6</v>
      </c>
      <c r="X946" s="289">
        <v>5534</v>
      </c>
      <c r="Y946" s="199">
        <f t="shared" si="571"/>
        <v>33204</v>
      </c>
      <c r="Z946" s="153"/>
      <c r="AA946" s="147"/>
      <c r="AB946" s="101"/>
      <c r="AC946" s="226"/>
      <c r="AD946" s="304"/>
      <c r="AE946" s="331">
        <f>S946-Y946</f>
        <v>-25753</v>
      </c>
    </row>
    <row r="947" spans="1:31" ht="25.5" hidden="1" customHeight="1" outlineLevel="2" x14ac:dyDescent="0.35">
      <c r="A947" s="141"/>
      <c r="B947" s="386" t="s">
        <v>864</v>
      </c>
      <c r="C947" s="44" t="s">
        <v>848</v>
      </c>
      <c r="D947" s="234">
        <v>11</v>
      </c>
      <c r="E947" s="1133"/>
      <c r="F947" s="1026">
        <f>ROUND(G947/2.6378,0)</f>
        <v>1306</v>
      </c>
      <c r="G947" s="1129">
        <v>3444</v>
      </c>
      <c r="H947" s="1075"/>
      <c r="I947" s="1111"/>
      <c r="J947" s="1075"/>
      <c r="K947" s="1008"/>
      <c r="L947" s="1075"/>
      <c r="M947" s="1111"/>
      <c r="N947" s="1075"/>
      <c r="O947" s="1008"/>
      <c r="P947" s="1075">
        <v>3.66</v>
      </c>
      <c r="Q947" s="1111">
        <f>2.6378-I946-M946</f>
        <v>2.6377999999999999</v>
      </c>
      <c r="R947" s="1075">
        <f>ROUND(F946*P946*0.7958,0)</f>
        <v>915</v>
      </c>
      <c r="S947" s="1008">
        <f>ROUND(Q947*P947*F947*0.7958,0)</f>
        <v>10034</v>
      </c>
      <c r="T947" s="235"/>
      <c r="U947" s="291"/>
      <c r="V947" s="200"/>
      <c r="W947" s="232">
        <f t="shared" si="582"/>
        <v>11</v>
      </c>
      <c r="X947" s="289">
        <v>1430</v>
      </c>
      <c r="Y947" s="199">
        <f t="shared" si="571"/>
        <v>15730</v>
      </c>
      <c r="Z947" s="153"/>
      <c r="AA947" s="147"/>
      <c r="AB947" s="101"/>
      <c r="AC947" s="226"/>
      <c r="AD947" s="1036"/>
      <c r="AE947" s="1069">
        <f>S947-Y947-Y948-Y949-Y950-Y951-Y952</f>
        <v>-39916</v>
      </c>
    </row>
    <row r="948" spans="1:31" ht="25.5" hidden="1" customHeight="1" outlineLevel="2" x14ac:dyDescent="0.35">
      <c r="A948" s="141"/>
      <c r="B948" s="386" t="s">
        <v>863</v>
      </c>
      <c r="C948" s="44" t="s">
        <v>848</v>
      </c>
      <c r="D948" s="234">
        <v>1</v>
      </c>
      <c r="E948" s="1133"/>
      <c r="F948" s="1100"/>
      <c r="G948" s="1130"/>
      <c r="H948" s="1081"/>
      <c r="I948" s="1112"/>
      <c r="J948" s="1081"/>
      <c r="K948" s="1077"/>
      <c r="L948" s="1081"/>
      <c r="M948" s="1112"/>
      <c r="N948" s="1081"/>
      <c r="O948" s="1077"/>
      <c r="P948" s="1081"/>
      <c r="Q948" s="1112"/>
      <c r="R948" s="1081"/>
      <c r="S948" s="1077"/>
      <c r="T948" s="230"/>
      <c r="U948" s="290"/>
      <c r="V948" s="200"/>
      <c r="W948" s="232">
        <f t="shared" si="582"/>
        <v>1</v>
      </c>
      <c r="X948" s="289">
        <v>5850</v>
      </c>
      <c r="Y948" s="199">
        <f t="shared" si="571"/>
        <v>5850</v>
      </c>
      <c r="Z948" s="153"/>
      <c r="AA948" s="147"/>
      <c r="AB948" s="101"/>
      <c r="AC948" s="226"/>
      <c r="AD948" s="1037"/>
      <c r="AE948" s="1070"/>
    </row>
    <row r="949" spans="1:31" ht="25.5" hidden="1" customHeight="1" outlineLevel="2" x14ac:dyDescent="0.35">
      <c r="A949" s="141"/>
      <c r="B949" s="386" t="s">
        <v>862</v>
      </c>
      <c r="C949" s="44" t="s">
        <v>848</v>
      </c>
      <c r="D949" s="234">
        <v>1</v>
      </c>
      <c r="E949" s="1133"/>
      <c r="F949" s="1100"/>
      <c r="G949" s="1130"/>
      <c r="H949" s="1081"/>
      <c r="I949" s="1112"/>
      <c r="J949" s="1081"/>
      <c r="K949" s="1077"/>
      <c r="L949" s="1081"/>
      <c r="M949" s="1112"/>
      <c r="N949" s="1081"/>
      <c r="O949" s="1077"/>
      <c r="P949" s="1081"/>
      <c r="Q949" s="1112"/>
      <c r="R949" s="1081"/>
      <c r="S949" s="1077"/>
      <c r="T949" s="230"/>
      <c r="U949" s="290"/>
      <c r="V949" s="200"/>
      <c r="W949" s="232">
        <f t="shared" si="582"/>
        <v>1</v>
      </c>
      <c r="X949" s="289">
        <v>6350</v>
      </c>
      <c r="Y949" s="199">
        <f t="shared" si="571"/>
        <v>6350</v>
      </c>
      <c r="Z949" s="153"/>
      <c r="AA949" s="147"/>
      <c r="AB949" s="101"/>
      <c r="AC949" s="226"/>
      <c r="AD949" s="1037"/>
      <c r="AE949" s="1070"/>
    </row>
    <row r="950" spans="1:31" ht="25.5" hidden="1" customHeight="1" outlineLevel="2" x14ac:dyDescent="0.35">
      <c r="A950" s="141"/>
      <c r="B950" s="386" t="s">
        <v>861</v>
      </c>
      <c r="C950" s="44" t="s">
        <v>848</v>
      </c>
      <c r="D950" s="234">
        <v>6</v>
      </c>
      <c r="E950" s="1133"/>
      <c r="F950" s="1100"/>
      <c r="G950" s="1130"/>
      <c r="H950" s="1081"/>
      <c r="I950" s="1112"/>
      <c r="J950" s="1081"/>
      <c r="K950" s="1077"/>
      <c r="L950" s="1081"/>
      <c r="M950" s="1112"/>
      <c r="N950" s="1081"/>
      <c r="O950" s="1077"/>
      <c r="P950" s="1081"/>
      <c r="Q950" s="1112"/>
      <c r="R950" s="1081"/>
      <c r="S950" s="1077"/>
      <c r="T950" s="230"/>
      <c r="U950" s="290"/>
      <c r="V950" s="200"/>
      <c r="W950" s="232">
        <f t="shared" si="582"/>
        <v>6</v>
      </c>
      <c r="X950" s="289">
        <v>1340</v>
      </c>
      <c r="Y950" s="199">
        <f t="shared" si="571"/>
        <v>8040</v>
      </c>
      <c r="Z950" s="153"/>
      <c r="AA950" s="147"/>
      <c r="AB950" s="101"/>
      <c r="AC950" s="226"/>
      <c r="AD950" s="1037"/>
      <c r="AE950" s="1070"/>
    </row>
    <row r="951" spans="1:31" ht="25.5" hidden="1" customHeight="1" outlineLevel="2" x14ac:dyDescent="0.35">
      <c r="A951" s="141"/>
      <c r="B951" s="386" t="s">
        <v>857</v>
      </c>
      <c r="C951" s="44" t="s">
        <v>848</v>
      </c>
      <c r="D951" s="234">
        <v>6</v>
      </c>
      <c r="E951" s="1133"/>
      <c r="F951" s="1100"/>
      <c r="G951" s="1130"/>
      <c r="H951" s="1081"/>
      <c r="I951" s="1112"/>
      <c r="J951" s="1081"/>
      <c r="K951" s="1077"/>
      <c r="L951" s="1081"/>
      <c r="M951" s="1112"/>
      <c r="N951" s="1081"/>
      <c r="O951" s="1077"/>
      <c r="P951" s="1081">
        <v>3.66</v>
      </c>
      <c r="Q951" s="1112">
        <f>D951-I951-M951</f>
        <v>6</v>
      </c>
      <c r="R951" s="1081">
        <f>ROUND(F947*P951*0.7958,0)</f>
        <v>3804</v>
      </c>
      <c r="S951" s="1077"/>
      <c r="T951" s="230"/>
      <c r="U951" s="290"/>
      <c r="V951" s="200"/>
      <c r="W951" s="232">
        <f t="shared" si="582"/>
        <v>6</v>
      </c>
      <c r="X951" s="289">
        <v>1350</v>
      </c>
      <c r="Y951" s="199">
        <f t="shared" si="571"/>
        <v>8100</v>
      </c>
      <c r="Z951" s="153"/>
      <c r="AA951" s="147"/>
      <c r="AB951" s="101"/>
      <c r="AC951" s="226"/>
      <c r="AD951" s="1037"/>
      <c r="AE951" s="1070"/>
    </row>
    <row r="952" spans="1:31" ht="25.5" hidden="1" customHeight="1" outlineLevel="2" x14ac:dyDescent="0.35">
      <c r="A952" s="141"/>
      <c r="B952" s="386" t="s">
        <v>860</v>
      </c>
      <c r="C952" s="44" t="s">
        <v>848</v>
      </c>
      <c r="D952" s="234">
        <v>4</v>
      </c>
      <c r="E952" s="1134"/>
      <c r="F952" s="1027"/>
      <c r="G952" s="1131"/>
      <c r="H952" s="1076"/>
      <c r="I952" s="1113"/>
      <c r="J952" s="1076"/>
      <c r="K952" s="1009"/>
      <c r="L952" s="1076"/>
      <c r="M952" s="1113"/>
      <c r="N952" s="1076"/>
      <c r="O952" s="1009"/>
      <c r="P952" s="1076"/>
      <c r="Q952" s="1113"/>
      <c r="R952" s="1076"/>
      <c r="S952" s="1009"/>
      <c r="T952" s="230"/>
      <c r="U952" s="290"/>
      <c r="V952" s="200"/>
      <c r="W952" s="232">
        <f t="shared" si="582"/>
        <v>4</v>
      </c>
      <c r="X952" s="289">
        <v>1470</v>
      </c>
      <c r="Y952" s="199">
        <f t="shared" si="571"/>
        <v>5880</v>
      </c>
      <c r="Z952" s="153"/>
      <c r="AA952" s="147"/>
      <c r="AB952" s="101"/>
      <c r="AC952" s="226"/>
      <c r="AD952" s="1038"/>
      <c r="AE952" s="1071"/>
    </row>
    <row r="953" spans="1:31" ht="25.5" hidden="1" customHeight="1" outlineLevel="2" x14ac:dyDescent="0.35">
      <c r="A953" s="141"/>
      <c r="B953" s="386" t="s">
        <v>875</v>
      </c>
      <c r="C953" s="44" t="s">
        <v>40</v>
      </c>
      <c r="D953" s="234">
        <v>12</v>
      </c>
      <c r="E953" s="64"/>
      <c r="F953" s="265">
        <f t="shared" si="557"/>
        <v>626</v>
      </c>
      <c r="G953" s="219">
        <v>7517.52</v>
      </c>
      <c r="H953" s="274"/>
      <c r="I953" s="238"/>
      <c r="J953" s="265"/>
      <c r="K953" s="193"/>
      <c r="L953" s="272"/>
      <c r="M953" s="236"/>
      <c r="N953" s="265"/>
      <c r="O953" s="193"/>
      <c r="P953" s="274">
        <v>3.66</v>
      </c>
      <c r="Q953" s="236">
        <f t="shared" si="565"/>
        <v>12</v>
      </c>
      <c r="R953" s="265">
        <f t="shared" si="566"/>
        <v>1823</v>
      </c>
      <c r="S953" s="193">
        <f t="shared" si="567"/>
        <v>21880</v>
      </c>
      <c r="T953" s="230"/>
      <c r="U953" s="290"/>
      <c r="V953" s="200"/>
      <c r="W953" s="232">
        <f t="shared" si="582"/>
        <v>12</v>
      </c>
      <c r="X953" s="289">
        <v>7020</v>
      </c>
      <c r="Y953" s="199">
        <f t="shared" si="571"/>
        <v>84240</v>
      </c>
      <c r="Z953" s="153"/>
      <c r="AA953" s="147"/>
      <c r="AB953" s="101"/>
      <c r="AC953" s="226"/>
      <c r="AD953" s="302">
        <f>R953-X953</f>
        <v>-5197</v>
      </c>
      <c r="AE953" s="331">
        <f>S953-Y953</f>
        <v>-62360</v>
      </c>
    </row>
    <row r="954" spans="1:31" hidden="1" outlineLevel="2" x14ac:dyDescent="0.35">
      <c r="A954" s="141"/>
      <c r="B954" s="386" t="s">
        <v>874</v>
      </c>
      <c r="C954" s="44" t="s">
        <v>40</v>
      </c>
      <c r="D954" s="234">
        <v>6</v>
      </c>
      <c r="E954" s="64"/>
      <c r="F954" s="265">
        <f t="shared" si="557"/>
        <v>651</v>
      </c>
      <c r="G954" s="219">
        <v>3908.46</v>
      </c>
      <c r="H954" s="274"/>
      <c r="I954" s="238"/>
      <c r="J954" s="265"/>
      <c r="K954" s="193"/>
      <c r="L954" s="272"/>
      <c r="M954" s="236"/>
      <c r="N954" s="265"/>
      <c r="O954" s="193"/>
      <c r="P954" s="274">
        <v>3.66</v>
      </c>
      <c r="Q954" s="236">
        <f t="shared" si="565"/>
        <v>6</v>
      </c>
      <c r="R954" s="265">
        <f t="shared" si="566"/>
        <v>1896</v>
      </c>
      <c r="S954" s="193">
        <f t="shared" si="567"/>
        <v>11377</v>
      </c>
      <c r="T954" s="230"/>
      <c r="U954" s="290"/>
      <c r="V954" s="200"/>
      <c r="W954" s="232">
        <f>Q954</f>
        <v>6</v>
      </c>
      <c r="X954" s="289">
        <v>8865</v>
      </c>
      <c r="Y954" s="199">
        <f t="shared" si="571"/>
        <v>53190</v>
      </c>
      <c r="Z954" s="153"/>
      <c r="AA954" s="147"/>
      <c r="AB954" s="101"/>
      <c r="AC954" s="226"/>
      <c r="AD954" s="302">
        <f t="shared" ref="AD954:AD961" si="587">R954-X954</f>
        <v>-6969</v>
      </c>
      <c r="AE954" s="331">
        <f t="shared" ref="AE954:AE961" si="588">S954-Y954</f>
        <v>-41813</v>
      </c>
    </row>
    <row r="955" spans="1:31" ht="24.75" hidden="1" customHeight="1" outlineLevel="2" x14ac:dyDescent="0.35">
      <c r="A955" s="141"/>
      <c r="B955" s="386" t="s">
        <v>865</v>
      </c>
      <c r="C955" s="44" t="s">
        <v>40</v>
      </c>
      <c r="D955" s="234">
        <v>2</v>
      </c>
      <c r="E955" s="1132" t="s">
        <v>873</v>
      </c>
      <c r="F955" s="1026">
        <f>ROUND(G955/0.254,0)</f>
        <v>8866</v>
      </c>
      <c r="G955" s="1129">
        <v>2251.96</v>
      </c>
      <c r="H955" s="1078"/>
      <c r="I955" s="1030"/>
      <c r="J955" s="1078"/>
      <c r="K955" s="1008"/>
      <c r="L955" s="1078"/>
      <c r="M955" s="1030"/>
      <c r="N955" s="1078"/>
      <c r="O955" s="1008"/>
      <c r="P955" s="1078">
        <v>3.66</v>
      </c>
      <c r="Q955" s="1030">
        <f>0.254-I955-M955</f>
        <v>0.254</v>
      </c>
      <c r="R955" s="1078">
        <f>ROUND(F955*P955*0.7958,0)</f>
        <v>25823</v>
      </c>
      <c r="S955" s="1008">
        <f>ROUND(Q955*P955*F955*0.7958,0)</f>
        <v>6559</v>
      </c>
      <c r="T955" s="230"/>
      <c r="U955" s="290"/>
      <c r="V955" s="200"/>
      <c r="W955" s="232">
        <f t="shared" si="582"/>
        <v>2</v>
      </c>
      <c r="X955" s="289">
        <v>800</v>
      </c>
      <c r="Y955" s="199">
        <f t="shared" si="571"/>
        <v>1600</v>
      </c>
      <c r="Z955" s="153"/>
      <c r="AA955" s="147"/>
      <c r="AB955" s="101"/>
      <c r="AC955" s="226"/>
      <c r="AD955" s="1072"/>
      <c r="AE955" s="1069">
        <f>S955-Y955-Y956-Y957-Y958</f>
        <v>-12001</v>
      </c>
    </row>
    <row r="956" spans="1:31" ht="24.75" hidden="1" customHeight="1" outlineLevel="2" x14ac:dyDescent="0.35">
      <c r="A956" s="141"/>
      <c r="B956" s="386" t="s">
        <v>872</v>
      </c>
      <c r="C956" s="44" t="s">
        <v>40</v>
      </c>
      <c r="D956" s="234">
        <v>2</v>
      </c>
      <c r="E956" s="1133"/>
      <c r="F956" s="1100"/>
      <c r="G956" s="1130"/>
      <c r="H956" s="1079"/>
      <c r="I956" s="1031"/>
      <c r="J956" s="1079"/>
      <c r="K956" s="1077"/>
      <c r="L956" s="1079"/>
      <c r="M956" s="1031"/>
      <c r="N956" s="1079"/>
      <c r="O956" s="1077"/>
      <c r="P956" s="1079"/>
      <c r="Q956" s="1031"/>
      <c r="R956" s="1079"/>
      <c r="S956" s="1077"/>
      <c r="T956" s="230"/>
      <c r="U956" s="290"/>
      <c r="V956" s="200"/>
      <c r="W956" s="232">
        <f t="shared" si="582"/>
        <v>2</v>
      </c>
      <c r="X956" s="289">
        <v>2350</v>
      </c>
      <c r="Y956" s="199">
        <f t="shared" si="571"/>
        <v>4700</v>
      </c>
      <c r="Z956" s="153"/>
      <c r="AA956" s="147"/>
      <c r="AB956" s="101"/>
      <c r="AC956" s="226"/>
      <c r="AD956" s="1073"/>
      <c r="AE956" s="1070"/>
    </row>
    <row r="957" spans="1:31" ht="24.75" hidden="1" customHeight="1" outlineLevel="2" x14ac:dyDescent="0.35">
      <c r="A957" s="141"/>
      <c r="B957" s="386" t="s">
        <v>870</v>
      </c>
      <c r="C957" s="44" t="s">
        <v>40</v>
      </c>
      <c r="D957" s="234">
        <v>7</v>
      </c>
      <c r="E957" s="1133"/>
      <c r="F957" s="1100"/>
      <c r="G957" s="1130"/>
      <c r="H957" s="1079"/>
      <c r="I957" s="1031"/>
      <c r="J957" s="1079"/>
      <c r="K957" s="1077"/>
      <c r="L957" s="1079"/>
      <c r="M957" s="1031"/>
      <c r="N957" s="1079"/>
      <c r="O957" s="1077"/>
      <c r="P957" s="1079">
        <v>3.66</v>
      </c>
      <c r="Q957" s="1031">
        <f>D957-I957-M957</f>
        <v>7</v>
      </c>
      <c r="R957" s="1079">
        <f>ROUND(F957*P957*0.7958,0)</f>
        <v>0</v>
      </c>
      <c r="S957" s="1077">
        <f>ROUND(Q957*P957*F957*0.7958,0)</f>
        <v>0</v>
      </c>
      <c r="T957" s="230"/>
      <c r="U957" s="290"/>
      <c r="V957" s="200"/>
      <c r="W957" s="232">
        <f t="shared" si="582"/>
        <v>7</v>
      </c>
      <c r="X957" s="289">
        <v>1180</v>
      </c>
      <c r="Y957" s="199">
        <f t="shared" si="571"/>
        <v>8260</v>
      </c>
      <c r="Z957" s="153"/>
      <c r="AA957" s="147"/>
      <c r="AB957" s="101"/>
      <c r="AC957" s="226"/>
      <c r="AD957" s="1073"/>
      <c r="AE957" s="1070"/>
    </row>
    <row r="958" spans="1:31" ht="24.75" hidden="1" customHeight="1" outlineLevel="2" x14ac:dyDescent="0.35">
      <c r="A958" s="141"/>
      <c r="B958" s="386" t="s">
        <v>866</v>
      </c>
      <c r="C958" s="44" t="s">
        <v>40</v>
      </c>
      <c r="D958" s="234">
        <v>2</v>
      </c>
      <c r="E958" s="1134"/>
      <c r="F958" s="1027"/>
      <c r="G958" s="1131"/>
      <c r="H958" s="1080"/>
      <c r="I958" s="1032"/>
      <c r="J958" s="1080"/>
      <c r="K958" s="1009"/>
      <c r="L958" s="1080"/>
      <c r="M958" s="1032"/>
      <c r="N958" s="1080"/>
      <c r="O958" s="1009"/>
      <c r="P958" s="1080">
        <v>3.66</v>
      </c>
      <c r="Q958" s="1032">
        <f>D958-I958-M958</f>
        <v>2</v>
      </c>
      <c r="R958" s="1080">
        <f>ROUND(F958*P958*0.7958,0)</f>
        <v>0</v>
      </c>
      <c r="S958" s="1009">
        <f>ROUND(Q958*P958*F958*0.7958,0)</f>
        <v>0</v>
      </c>
      <c r="T958" s="230"/>
      <c r="U958" s="290"/>
      <c r="V958" s="200"/>
      <c r="W958" s="232">
        <f t="shared" si="582"/>
        <v>2</v>
      </c>
      <c r="X958" s="289">
        <v>2000</v>
      </c>
      <c r="Y958" s="199">
        <f t="shared" si="571"/>
        <v>4000</v>
      </c>
      <c r="Z958" s="153"/>
      <c r="AA958" s="147"/>
      <c r="AB958" s="101"/>
      <c r="AC958" s="226"/>
      <c r="AD958" s="1074"/>
      <c r="AE958" s="1071"/>
    </row>
    <row r="959" spans="1:31" hidden="1" outlineLevel="2" x14ac:dyDescent="0.35">
      <c r="A959" s="141"/>
      <c r="B959" s="386" t="s">
        <v>867</v>
      </c>
      <c r="C959" s="44" t="s">
        <v>5</v>
      </c>
      <c r="D959" s="234">
        <v>8.08</v>
      </c>
      <c r="E959" s="64"/>
      <c r="F959" s="265">
        <f t="shared" si="557"/>
        <v>39</v>
      </c>
      <c r="G959" s="219">
        <v>318.27</v>
      </c>
      <c r="H959" s="272"/>
      <c r="I959" s="236"/>
      <c r="J959" s="265"/>
      <c r="K959" s="193"/>
      <c r="L959" s="272"/>
      <c r="M959" s="236"/>
      <c r="N959" s="265"/>
      <c r="O959" s="193"/>
      <c r="P959" s="274">
        <v>3.66</v>
      </c>
      <c r="Q959" s="236">
        <f t="shared" si="565"/>
        <v>8.08</v>
      </c>
      <c r="R959" s="265">
        <f t="shared" si="566"/>
        <v>114</v>
      </c>
      <c r="S959" s="193">
        <f t="shared" si="567"/>
        <v>918</v>
      </c>
      <c r="T959" s="230"/>
      <c r="U959" s="290"/>
      <c r="V959" s="200"/>
      <c r="W959" s="232">
        <f t="shared" si="582"/>
        <v>8.08</v>
      </c>
      <c r="X959" s="289">
        <v>263</v>
      </c>
      <c r="Y959" s="199">
        <f t="shared" si="571"/>
        <v>2125.04</v>
      </c>
      <c r="Z959" s="153"/>
      <c r="AA959" s="147"/>
      <c r="AB959" s="101"/>
      <c r="AC959" s="226"/>
      <c r="AD959" s="302">
        <f t="shared" si="587"/>
        <v>-149</v>
      </c>
      <c r="AE959" s="332">
        <f t="shared" si="588"/>
        <v>-1207.04</v>
      </c>
    </row>
    <row r="960" spans="1:31" ht="35.25" hidden="1" customHeight="1" outlineLevel="2" x14ac:dyDescent="0.35">
      <c r="A960" s="141"/>
      <c r="B960" s="386" t="s">
        <v>868</v>
      </c>
      <c r="C960" s="44" t="s">
        <v>5</v>
      </c>
      <c r="D960" s="234">
        <v>116.15</v>
      </c>
      <c r="E960" s="64"/>
      <c r="F960" s="265">
        <f t="shared" si="557"/>
        <v>147</v>
      </c>
      <c r="G960" s="219">
        <v>17103.09</v>
      </c>
      <c r="H960" s="272"/>
      <c r="I960" s="236"/>
      <c r="J960" s="265"/>
      <c r="K960" s="193"/>
      <c r="L960" s="272"/>
      <c r="M960" s="236"/>
      <c r="N960" s="265"/>
      <c r="O960" s="193"/>
      <c r="P960" s="274">
        <v>3.66</v>
      </c>
      <c r="Q960" s="236">
        <f t="shared" si="565"/>
        <v>116.15</v>
      </c>
      <c r="R960" s="265">
        <f t="shared" si="566"/>
        <v>428</v>
      </c>
      <c r="S960" s="193">
        <f t="shared" si="567"/>
        <v>49730</v>
      </c>
      <c r="T960" s="230"/>
      <c r="U960" s="290"/>
      <c r="V960" s="200"/>
      <c r="W960" s="232">
        <f t="shared" si="582"/>
        <v>116.15</v>
      </c>
      <c r="X960" s="289">
        <v>1117</v>
      </c>
      <c r="Y960" s="199">
        <f t="shared" si="571"/>
        <v>129739.55</v>
      </c>
      <c r="Z960" s="153"/>
      <c r="AA960" s="147"/>
      <c r="AB960" s="101"/>
      <c r="AC960" s="226"/>
      <c r="AD960" s="302">
        <f t="shared" si="587"/>
        <v>-689</v>
      </c>
      <c r="AE960" s="332">
        <f t="shared" si="588"/>
        <v>-80009.55</v>
      </c>
    </row>
    <row r="961" spans="1:32" ht="35.25" hidden="1" customHeight="1" outlineLevel="2" x14ac:dyDescent="0.35">
      <c r="A961" s="141"/>
      <c r="B961" s="386" t="s">
        <v>869</v>
      </c>
      <c r="C961" s="44" t="s">
        <v>5</v>
      </c>
      <c r="D961" s="234">
        <v>222.2</v>
      </c>
      <c r="E961" s="64"/>
      <c r="F961" s="265">
        <f t="shared" si="557"/>
        <v>218</v>
      </c>
      <c r="G961" s="219">
        <v>48521.81</v>
      </c>
      <c r="H961" s="272"/>
      <c r="I961" s="236"/>
      <c r="J961" s="265"/>
      <c r="K961" s="193"/>
      <c r="L961" s="272"/>
      <c r="M961" s="236"/>
      <c r="N961" s="265"/>
      <c r="O961" s="193"/>
      <c r="P961" s="274">
        <v>3.66</v>
      </c>
      <c r="Q961" s="236">
        <f t="shared" si="565"/>
        <v>222.2</v>
      </c>
      <c r="R961" s="265">
        <f t="shared" si="566"/>
        <v>635</v>
      </c>
      <c r="S961" s="193">
        <f t="shared" si="567"/>
        <v>141087</v>
      </c>
      <c r="T961" s="230"/>
      <c r="U961" s="290"/>
      <c r="V961" s="200"/>
      <c r="W961" s="232">
        <f t="shared" si="582"/>
        <v>222.2</v>
      </c>
      <c r="X961" s="289">
        <v>1841</v>
      </c>
      <c r="Y961" s="199">
        <f t="shared" si="571"/>
        <v>409070.19999999995</v>
      </c>
      <c r="Z961" s="153"/>
      <c r="AA961" s="147"/>
      <c r="AB961" s="101"/>
      <c r="AC961" s="226"/>
      <c r="AD961" s="302">
        <f t="shared" si="587"/>
        <v>-1206</v>
      </c>
      <c r="AE961" s="332">
        <f t="shared" si="588"/>
        <v>-267983.19999999995</v>
      </c>
    </row>
    <row r="962" spans="1:32" hidden="1" outlineLevel="2" x14ac:dyDescent="0.35">
      <c r="A962" s="141"/>
      <c r="B962" s="386" t="s">
        <v>876</v>
      </c>
      <c r="C962" s="44" t="s">
        <v>5</v>
      </c>
      <c r="D962" s="234">
        <v>1.004</v>
      </c>
      <c r="E962" s="64"/>
      <c r="F962" s="265">
        <f t="shared" si="557"/>
        <v>814</v>
      </c>
      <c r="G962" s="219">
        <v>817.31</v>
      </c>
      <c r="H962" s="272"/>
      <c r="I962" s="236"/>
      <c r="J962" s="265"/>
      <c r="K962" s="193"/>
      <c r="L962" s="272"/>
      <c r="M962" s="236"/>
      <c r="N962" s="265"/>
      <c r="O962" s="193"/>
      <c r="P962" s="274">
        <v>3.66</v>
      </c>
      <c r="Q962" s="236">
        <f t="shared" si="565"/>
        <v>1.004</v>
      </c>
      <c r="R962" s="265">
        <f t="shared" si="566"/>
        <v>2371</v>
      </c>
      <c r="S962" s="193">
        <f t="shared" si="567"/>
        <v>2380</v>
      </c>
      <c r="T962" s="230"/>
      <c r="U962" s="290"/>
      <c r="V962" s="200"/>
      <c r="W962" s="232">
        <f t="shared" si="582"/>
        <v>1.004</v>
      </c>
      <c r="X962" s="290">
        <v>7200</v>
      </c>
      <c r="Y962" s="199">
        <f t="shared" si="571"/>
        <v>7228.8</v>
      </c>
      <c r="Z962" s="153"/>
      <c r="AA962" s="147"/>
      <c r="AB962" s="101"/>
      <c r="AC962" s="226"/>
      <c r="AD962" s="302">
        <f>R962-X962</f>
        <v>-4829</v>
      </c>
      <c r="AE962" s="332">
        <f>S962-Y962</f>
        <v>-4848.8</v>
      </c>
    </row>
    <row r="963" spans="1:32" s="95" customFormat="1" hidden="1" collapsed="1" x14ac:dyDescent="0.3">
      <c r="A963" s="98"/>
      <c r="B963" s="160"/>
      <c r="C963" s="107"/>
      <c r="D963" s="253"/>
      <c r="E963" s="98"/>
      <c r="F963" s="154"/>
      <c r="G963" s="214"/>
      <c r="H963" s="154"/>
      <c r="I963" s="231"/>
      <c r="J963" s="154"/>
      <c r="K963" s="194"/>
      <c r="L963" s="154"/>
      <c r="M963" s="231"/>
      <c r="N963" s="154"/>
      <c r="O963" s="194"/>
      <c r="P963" s="154"/>
      <c r="Q963" s="231"/>
      <c r="R963" s="286"/>
      <c r="S963" s="194"/>
      <c r="T963" s="231"/>
      <c r="U963" s="155"/>
      <c r="V963" s="194"/>
      <c r="W963" s="231"/>
      <c r="X963" s="155"/>
      <c r="Y963" s="194"/>
      <c r="Z963" s="157"/>
      <c r="AA963" s="156"/>
      <c r="AB963" s="156"/>
      <c r="AC963" s="194"/>
      <c r="AD963" s="155"/>
      <c r="AE963" s="194"/>
    </row>
    <row r="964" spans="1:32" s="142" customFormat="1" ht="47.25" hidden="1" customHeight="1" x14ac:dyDescent="0.3">
      <c r="A964" s="393"/>
      <c r="B964" s="394" t="s">
        <v>1365</v>
      </c>
      <c r="C964" s="395"/>
      <c r="D964" s="395"/>
      <c r="E964" s="395"/>
      <c r="F964" s="396"/>
      <c r="G964" s="401">
        <f>G965+G1034</f>
        <v>423628.21000000008</v>
      </c>
      <c r="H964" s="402"/>
      <c r="I964" s="402"/>
      <c r="J964" s="402"/>
      <c r="K964" s="397"/>
      <c r="L964" s="402"/>
      <c r="M964" s="402"/>
      <c r="N964" s="402"/>
      <c r="O964" s="397"/>
      <c r="P964" s="402"/>
      <c r="Q964" s="402"/>
      <c r="R964" s="402"/>
      <c r="S964" s="397"/>
      <c r="T964" s="402"/>
      <c r="U964" s="403"/>
      <c r="V964" s="401">
        <f>V965+V1034</f>
        <v>0</v>
      </c>
      <c r="W964" s="402"/>
      <c r="X964" s="403"/>
      <c r="Y964" s="401">
        <f>Y965+Y1034</f>
        <v>2730423.6084000003</v>
      </c>
      <c r="Z964" s="404"/>
      <c r="AA964" s="403"/>
      <c r="AB964" s="403"/>
      <c r="AC964" s="405"/>
      <c r="AD964" s="405"/>
      <c r="AE964" s="407">
        <f>AE965+AE1034</f>
        <v>-1151574.6084</v>
      </c>
      <c r="AF964" s="398"/>
    </row>
    <row r="965" spans="1:32" ht="25.5" hidden="1" customHeight="1" outlineLevel="1" collapsed="1" x14ac:dyDescent="0.3">
      <c r="A965" s="18"/>
      <c r="B965" s="1082" t="s">
        <v>652</v>
      </c>
      <c r="C965" s="1083"/>
      <c r="D965" s="1083"/>
      <c r="E965" s="1083"/>
      <c r="F965" s="1084"/>
      <c r="G965" s="333">
        <f>SUM(G966:G1032)</f>
        <v>370933.19000000006</v>
      </c>
      <c r="H965" s="320"/>
      <c r="I965" s="320"/>
      <c r="J965" s="320"/>
      <c r="K965" s="321">
        <f>SUM(K966:K1032)</f>
        <v>0</v>
      </c>
      <c r="L965" s="320"/>
      <c r="M965" s="320"/>
      <c r="N965" s="320"/>
      <c r="O965" s="321">
        <f>SUM(O966:O1032)</f>
        <v>0</v>
      </c>
      <c r="P965" s="320"/>
      <c r="Q965" s="320"/>
      <c r="R965" s="320"/>
      <c r="S965" s="336">
        <f>SUM(S966:S1032)</f>
        <v>1187208</v>
      </c>
      <c r="T965" s="320"/>
      <c r="U965" s="322"/>
      <c r="V965" s="321">
        <f>SUM(V966:V1032)</f>
        <v>0</v>
      </c>
      <c r="W965" s="320"/>
      <c r="X965" s="322"/>
      <c r="Y965" s="321">
        <f>SUM(Y966:Y1032)</f>
        <v>2291370.3116000001</v>
      </c>
      <c r="Z965" s="322"/>
      <c r="AA965" s="322"/>
      <c r="AB965" s="322"/>
      <c r="AC965" s="322"/>
      <c r="AD965" s="322"/>
      <c r="AE965" s="338">
        <f>S965+O965+K965-Y965-V965</f>
        <v>-1104162.3116000001</v>
      </c>
      <c r="AF965" s="324">
        <f>AE965/S965</f>
        <v>-0.93004958827770712</v>
      </c>
    </row>
    <row r="966" spans="1:32" ht="30" hidden="1" customHeight="1" outlineLevel="2" x14ac:dyDescent="0.35">
      <c r="B966" s="386" t="s">
        <v>653</v>
      </c>
      <c r="C966" s="44" t="s">
        <v>28</v>
      </c>
      <c r="D966" s="234">
        <v>3.1E-2</v>
      </c>
      <c r="E966" s="64"/>
      <c r="F966" s="265">
        <f t="shared" si="557"/>
        <v>11700</v>
      </c>
      <c r="G966" s="219">
        <v>362.71</v>
      </c>
      <c r="H966" s="272"/>
      <c r="I966" s="236"/>
      <c r="J966" s="265"/>
      <c r="K966" s="193"/>
      <c r="L966" s="272"/>
      <c r="M966" s="236"/>
      <c r="N966" s="265"/>
      <c r="O966" s="193"/>
      <c r="P966" s="274">
        <v>3.31</v>
      </c>
      <c r="Q966" s="236">
        <f t="shared" si="565"/>
        <v>3.1E-2</v>
      </c>
      <c r="R966" s="265">
        <f t="shared" si="566"/>
        <v>30819</v>
      </c>
      <c r="S966" s="193">
        <f t="shared" si="567"/>
        <v>955</v>
      </c>
      <c r="T966" s="230"/>
      <c r="U966" s="290"/>
      <c r="V966" s="200"/>
      <c r="W966" s="232">
        <f>Q966</f>
        <v>3.1E-2</v>
      </c>
      <c r="X966" s="289">
        <v>31500</v>
      </c>
      <c r="Y966" s="199">
        <f>X966*W966</f>
        <v>976.5</v>
      </c>
      <c r="Z966" s="153"/>
      <c r="AA966" s="147"/>
      <c r="AB966" s="101"/>
      <c r="AC966" s="226">
        <f t="shared" ref="AC966" si="589">W966</f>
        <v>3.1E-2</v>
      </c>
      <c r="AD966" s="302">
        <f t="shared" ref="AD966" si="590">R966-X966</f>
        <v>-681</v>
      </c>
      <c r="AE966" s="202">
        <f t="shared" ref="AE966" si="591">ROUND(AC966*AD966,0)</f>
        <v>-21</v>
      </c>
    </row>
    <row r="967" spans="1:32" ht="18.75" hidden="1" customHeight="1" outlineLevel="2" x14ac:dyDescent="0.35">
      <c r="B967" s="386" t="s">
        <v>118</v>
      </c>
      <c r="C967" s="44" t="s">
        <v>16</v>
      </c>
      <c r="D967" s="234">
        <v>89.78</v>
      </c>
      <c r="E967" s="64"/>
      <c r="F967" s="265">
        <f t="shared" si="557"/>
        <v>10</v>
      </c>
      <c r="G967" s="219">
        <v>861.89</v>
      </c>
      <c r="H967" s="272"/>
      <c r="I967" s="236"/>
      <c r="J967" s="265"/>
      <c r="K967" s="193"/>
      <c r="L967" s="272"/>
      <c r="M967" s="236"/>
      <c r="N967" s="265"/>
      <c r="O967" s="193"/>
      <c r="P967" s="274">
        <v>3.31</v>
      </c>
      <c r="Q967" s="236">
        <f t="shared" si="565"/>
        <v>89.78</v>
      </c>
      <c r="R967" s="265">
        <f t="shared" si="566"/>
        <v>26</v>
      </c>
      <c r="S967" s="193">
        <f t="shared" si="567"/>
        <v>2365</v>
      </c>
      <c r="T967" s="230"/>
      <c r="U967" s="290"/>
      <c r="V967" s="200"/>
      <c r="W967" s="232">
        <f t="shared" ref="W967:W1030" si="592">Q967</f>
        <v>89.78</v>
      </c>
      <c r="X967" s="387">
        <v>31.5</v>
      </c>
      <c r="Y967" s="199">
        <f>X967*D967</f>
        <v>2828.07</v>
      </c>
      <c r="Z967" s="153"/>
      <c r="AA967" s="147"/>
      <c r="AB967" s="101"/>
      <c r="AC967" s="226">
        <f t="shared" ref="AC967:AC1030" si="593">W967</f>
        <v>89.78</v>
      </c>
      <c r="AD967" s="302">
        <f t="shared" ref="AD967:AD1030" si="594">R967-X967</f>
        <v>-5.5</v>
      </c>
      <c r="AE967" s="202">
        <f t="shared" ref="AE967:AE1030" si="595">ROUND(AC967*AD967,0)</f>
        <v>-494</v>
      </c>
    </row>
    <row r="968" spans="1:32" ht="18.75" hidden="1" customHeight="1" outlineLevel="2" x14ac:dyDescent="0.35">
      <c r="B968" s="386" t="s">
        <v>654</v>
      </c>
      <c r="C968" s="44" t="s">
        <v>17</v>
      </c>
      <c r="D968" s="234">
        <v>1.2709999999999999</v>
      </c>
      <c r="E968" s="64"/>
      <c r="F968" s="265">
        <f t="shared" si="557"/>
        <v>1872</v>
      </c>
      <c r="G968" s="219">
        <v>2379.3200000000002</v>
      </c>
      <c r="H968" s="272"/>
      <c r="I968" s="236"/>
      <c r="J968" s="265"/>
      <c r="K968" s="193"/>
      <c r="L968" s="272"/>
      <c r="M968" s="236"/>
      <c r="N968" s="265"/>
      <c r="O968" s="193"/>
      <c r="P968" s="274">
        <v>3.31</v>
      </c>
      <c r="Q968" s="236">
        <f t="shared" si="565"/>
        <v>1.2709999999999999</v>
      </c>
      <c r="R968" s="265">
        <f t="shared" si="566"/>
        <v>4931</v>
      </c>
      <c r="S968" s="193">
        <f t="shared" si="567"/>
        <v>6267</v>
      </c>
      <c r="T968" s="230"/>
      <c r="U968" s="290"/>
      <c r="V968" s="200"/>
      <c r="W968" s="232">
        <f t="shared" si="592"/>
        <v>1.2709999999999999</v>
      </c>
      <c r="X968" s="301">
        <v>11500</v>
      </c>
      <c r="Y968" s="199">
        <f t="shared" ref="Y968:Y1031" si="596">X968*D968</f>
        <v>14616.499999999998</v>
      </c>
      <c r="Z968" s="153"/>
      <c r="AA968" s="147"/>
      <c r="AB968" s="101"/>
      <c r="AC968" s="226">
        <f t="shared" si="593"/>
        <v>1.2709999999999999</v>
      </c>
      <c r="AD968" s="302">
        <f t="shared" si="594"/>
        <v>-6569</v>
      </c>
      <c r="AE968" s="202">
        <f t="shared" si="595"/>
        <v>-8349</v>
      </c>
    </row>
    <row r="969" spans="1:32" ht="18.75" hidden="1" customHeight="1" outlineLevel="2" x14ac:dyDescent="0.35">
      <c r="B969" s="386" t="s">
        <v>655</v>
      </c>
      <c r="C969" s="44" t="s">
        <v>26</v>
      </c>
      <c r="D969" s="234">
        <v>6</v>
      </c>
      <c r="E969" s="64"/>
      <c r="F969" s="265">
        <f t="shared" si="557"/>
        <v>134</v>
      </c>
      <c r="G969" s="219">
        <v>803.1</v>
      </c>
      <c r="H969" s="272"/>
      <c r="I969" s="236"/>
      <c r="J969" s="265"/>
      <c r="K969" s="193"/>
      <c r="L969" s="272"/>
      <c r="M969" s="236"/>
      <c r="N969" s="265"/>
      <c r="O969" s="193"/>
      <c r="P969" s="274">
        <v>3.31</v>
      </c>
      <c r="Q969" s="236">
        <f t="shared" si="565"/>
        <v>6</v>
      </c>
      <c r="R969" s="265">
        <f t="shared" si="566"/>
        <v>353</v>
      </c>
      <c r="S969" s="193">
        <f t="shared" si="567"/>
        <v>2118</v>
      </c>
      <c r="T969" s="230"/>
      <c r="U969" s="290"/>
      <c r="V969" s="200"/>
      <c r="W969" s="232">
        <f t="shared" si="592"/>
        <v>6</v>
      </c>
      <c r="X969" s="301">
        <v>780</v>
      </c>
      <c r="Y969" s="199">
        <f t="shared" si="596"/>
        <v>4680</v>
      </c>
      <c r="Z969" s="153"/>
      <c r="AA969" s="147"/>
      <c r="AB969" s="101"/>
      <c r="AC969" s="226">
        <f t="shared" si="593"/>
        <v>6</v>
      </c>
      <c r="AD969" s="302">
        <f t="shared" si="594"/>
        <v>-427</v>
      </c>
      <c r="AE969" s="202">
        <f t="shared" si="595"/>
        <v>-2562</v>
      </c>
    </row>
    <row r="970" spans="1:32" ht="18.75" hidden="1" customHeight="1" outlineLevel="2" x14ac:dyDescent="0.35">
      <c r="B970" s="386" t="s">
        <v>656</v>
      </c>
      <c r="C970" s="44" t="s">
        <v>40</v>
      </c>
      <c r="D970" s="234">
        <v>18.579999999999998</v>
      </c>
      <c r="E970" s="64"/>
      <c r="F970" s="265">
        <f t="shared" si="557"/>
        <v>4</v>
      </c>
      <c r="G970" s="219">
        <v>68.56</v>
      </c>
      <c r="H970" s="272"/>
      <c r="I970" s="236"/>
      <c r="J970" s="265"/>
      <c r="K970" s="193"/>
      <c r="L970" s="272"/>
      <c r="M970" s="236"/>
      <c r="N970" s="265"/>
      <c r="O970" s="193"/>
      <c r="P970" s="274">
        <v>3.31</v>
      </c>
      <c r="Q970" s="236">
        <f t="shared" si="565"/>
        <v>18.579999999999998</v>
      </c>
      <c r="R970" s="265">
        <f t="shared" si="566"/>
        <v>11</v>
      </c>
      <c r="S970" s="193">
        <f t="shared" si="567"/>
        <v>196</v>
      </c>
      <c r="T970" s="230"/>
      <c r="U970" s="290"/>
      <c r="V970" s="200"/>
      <c r="W970" s="232">
        <f t="shared" si="592"/>
        <v>18.579999999999998</v>
      </c>
      <c r="X970" s="301">
        <v>22.51</v>
      </c>
      <c r="Y970" s="199">
        <f t="shared" si="596"/>
        <v>418.23579999999998</v>
      </c>
      <c r="Z970" s="153"/>
      <c r="AA970" s="147"/>
      <c r="AB970" s="101"/>
      <c r="AC970" s="226">
        <f t="shared" si="593"/>
        <v>18.579999999999998</v>
      </c>
      <c r="AD970" s="302">
        <f t="shared" si="594"/>
        <v>-11.510000000000002</v>
      </c>
      <c r="AE970" s="202">
        <f t="shared" si="595"/>
        <v>-214</v>
      </c>
    </row>
    <row r="971" spans="1:32" ht="18.75" hidden="1" customHeight="1" outlineLevel="2" x14ac:dyDescent="0.35">
      <c r="B971" s="386" t="s">
        <v>656</v>
      </c>
      <c r="C971" s="44" t="s">
        <v>40</v>
      </c>
      <c r="D971" s="234">
        <v>6</v>
      </c>
      <c r="E971" s="64"/>
      <c r="F971" s="265">
        <f t="shared" si="557"/>
        <v>4</v>
      </c>
      <c r="G971" s="219">
        <v>22.14</v>
      </c>
      <c r="H971" s="272"/>
      <c r="I971" s="236"/>
      <c r="J971" s="265"/>
      <c r="K971" s="193"/>
      <c r="L971" s="272"/>
      <c r="M971" s="236"/>
      <c r="N971" s="265"/>
      <c r="O971" s="193"/>
      <c r="P971" s="274">
        <v>3.31</v>
      </c>
      <c r="Q971" s="236">
        <f t="shared" si="565"/>
        <v>6</v>
      </c>
      <c r="R971" s="265">
        <f t="shared" si="566"/>
        <v>11</v>
      </c>
      <c r="S971" s="193">
        <f t="shared" si="567"/>
        <v>63</v>
      </c>
      <c r="T971" s="230"/>
      <c r="U971" s="290"/>
      <c r="V971" s="200"/>
      <c r="W971" s="232">
        <f t="shared" si="592"/>
        <v>6</v>
      </c>
      <c r="X971" s="301">
        <v>22.51</v>
      </c>
      <c r="Y971" s="199">
        <f t="shared" si="596"/>
        <v>135.06</v>
      </c>
      <c r="Z971" s="153"/>
      <c r="AA971" s="147"/>
      <c r="AB971" s="101"/>
      <c r="AC971" s="226">
        <f t="shared" si="593"/>
        <v>6</v>
      </c>
      <c r="AD971" s="302">
        <f t="shared" si="594"/>
        <v>-11.510000000000002</v>
      </c>
      <c r="AE971" s="202">
        <f t="shared" si="595"/>
        <v>-69</v>
      </c>
    </row>
    <row r="972" spans="1:32" ht="18.75" hidden="1" customHeight="1" outlineLevel="2" x14ac:dyDescent="0.35">
      <c r="B972" s="386" t="s">
        <v>657</v>
      </c>
      <c r="C972" s="44" t="s">
        <v>40</v>
      </c>
      <c r="D972" s="234">
        <v>6.18</v>
      </c>
      <c r="E972" s="64"/>
      <c r="F972" s="265">
        <f t="shared" si="557"/>
        <v>4</v>
      </c>
      <c r="G972" s="219">
        <v>22.87</v>
      </c>
      <c r="H972" s="272"/>
      <c r="I972" s="236"/>
      <c r="J972" s="265"/>
      <c r="K972" s="193"/>
      <c r="L972" s="272"/>
      <c r="M972" s="236"/>
      <c r="N972" s="265"/>
      <c r="O972" s="193"/>
      <c r="P972" s="274">
        <v>3.31</v>
      </c>
      <c r="Q972" s="236">
        <f t="shared" si="565"/>
        <v>6.18</v>
      </c>
      <c r="R972" s="265">
        <f t="shared" si="566"/>
        <v>11</v>
      </c>
      <c r="S972" s="193">
        <f t="shared" si="567"/>
        <v>65</v>
      </c>
      <c r="T972" s="230"/>
      <c r="U972" s="290"/>
      <c r="V972" s="200"/>
      <c r="W972" s="232">
        <f t="shared" si="592"/>
        <v>6.18</v>
      </c>
      <c r="X972" s="301">
        <v>103.5</v>
      </c>
      <c r="Y972" s="199">
        <f t="shared" si="596"/>
        <v>639.63</v>
      </c>
      <c r="Z972" s="153"/>
      <c r="AA972" s="147"/>
      <c r="AB972" s="101"/>
      <c r="AC972" s="226">
        <f t="shared" si="593"/>
        <v>6.18</v>
      </c>
      <c r="AD972" s="302">
        <f t="shared" si="594"/>
        <v>-92.5</v>
      </c>
      <c r="AE972" s="202">
        <f t="shared" si="595"/>
        <v>-572</v>
      </c>
    </row>
    <row r="973" spans="1:32" ht="18.75" hidden="1" customHeight="1" outlineLevel="2" x14ac:dyDescent="0.35">
      <c r="B973" s="386" t="s">
        <v>658</v>
      </c>
      <c r="C973" s="44" t="s">
        <v>40</v>
      </c>
      <c r="D973" s="234">
        <v>74.099999999999994</v>
      </c>
      <c r="E973" s="64"/>
      <c r="F973" s="265">
        <f t="shared" si="557"/>
        <v>8</v>
      </c>
      <c r="G973" s="219">
        <v>593.54</v>
      </c>
      <c r="H973" s="272"/>
      <c r="I973" s="236"/>
      <c r="J973" s="265"/>
      <c r="K973" s="193"/>
      <c r="L973" s="272"/>
      <c r="M973" s="236"/>
      <c r="N973" s="265"/>
      <c r="O973" s="193"/>
      <c r="P973" s="274">
        <v>3.31</v>
      </c>
      <c r="Q973" s="236">
        <f t="shared" si="565"/>
        <v>74.099999999999994</v>
      </c>
      <c r="R973" s="265">
        <f t="shared" si="566"/>
        <v>21</v>
      </c>
      <c r="S973" s="193">
        <f t="shared" si="567"/>
        <v>1561</v>
      </c>
      <c r="T973" s="230"/>
      <c r="U973" s="290"/>
      <c r="V973" s="200"/>
      <c r="W973" s="232">
        <f t="shared" si="592"/>
        <v>74.099999999999994</v>
      </c>
      <c r="X973" s="301">
        <v>154.6</v>
      </c>
      <c r="Y973" s="199">
        <f t="shared" si="596"/>
        <v>11455.859999999999</v>
      </c>
      <c r="Z973" s="153"/>
      <c r="AA973" s="147"/>
      <c r="AB973" s="101"/>
      <c r="AC973" s="226">
        <f t="shared" si="593"/>
        <v>74.099999999999994</v>
      </c>
      <c r="AD973" s="304">
        <f t="shared" si="594"/>
        <v>-133.6</v>
      </c>
      <c r="AE973" s="202">
        <f t="shared" si="595"/>
        <v>-9900</v>
      </c>
    </row>
    <row r="974" spans="1:32" ht="30" hidden="1" customHeight="1" outlineLevel="2" x14ac:dyDescent="0.35">
      <c r="B974" s="386" t="s">
        <v>659</v>
      </c>
      <c r="C974" s="44" t="s">
        <v>40</v>
      </c>
      <c r="D974" s="234">
        <v>74</v>
      </c>
      <c r="E974" s="64"/>
      <c r="F974" s="265">
        <f t="shared" si="557"/>
        <v>46</v>
      </c>
      <c r="G974" s="219">
        <v>3376.62</v>
      </c>
      <c r="H974" s="272"/>
      <c r="I974" s="236"/>
      <c r="J974" s="265"/>
      <c r="K974" s="193"/>
      <c r="L974" s="272"/>
      <c r="M974" s="236"/>
      <c r="N974" s="265"/>
      <c r="O974" s="193"/>
      <c r="P974" s="274">
        <v>3.31</v>
      </c>
      <c r="Q974" s="236">
        <f t="shared" si="565"/>
        <v>74</v>
      </c>
      <c r="R974" s="265">
        <f t="shared" si="566"/>
        <v>121</v>
      </c>
      <c r="S974" s="193">
        <f t="shared" si="567"/>
        <v>8966</v>
      </c>
      <c r="T974" s="230"/>
      <c r="U974" s="290"/>
      <c r="V974" s="200"/>
      <c r="W974" s="232">
        <f t="shared" si="592"/>
        <v>74</v>
      </c>
      <c r="X974" s="301">
        <v>60</v>
      </c>
      <c r="Y974" s="199">
        <f t="shared" si="596"/>
        <v>4440</v>
      </c>
      <c r="Z974" s="153"/>
      <c r="AA974" s="147"/>
      <c r="AB974" s="101"/>
      <c r="AC974" s="226">
        <f t="shared" si="593"/>
        <v>74</v>
      </c>
      <c r="AD974" s="304">
        <f t="shared" si="594"/>
        <v>61</v>
      </c>
      <c r="AE974" s="305">
        <f t="shared" si="595"/>
        <v>4514</v>
      </c>
    </row>
    <row r="975" spans="1:32" ht="18.75" hidden="1" customHeight="1" outlineLevel="2" x14ac:dyDescent="0.35">
      <c r="B975" s="386" t="s">
        <v>660</v>
      </c>
      <c r="C975" s="44" t="s">
        <v>40</v>
      </c>
      <c r="D975" s="234">
        <v>9.3000000000000007</v>
      </c>
      <c r="E975" s="64"/>
      <c r="F975" s="265">
        <f t="shared" si="557"/>
        <v>19</v>
      </c>
      <c r="G975" s="219">
        <v>180.51</v>
      </c>
      <c r="H975" s="272"/>
      <c r="I975" s="236"/>
      <c r="J975" s="265"/>
      <c r="K975" s="193"/>
      <c r="L975" s="272"/>
      <c r="M975" s="236"/>
      <c r="N975" s="265"/>
      <c r="O975" s="193"/>
      <c r="P975" s="274">
        <v>3.31</v>
      </c>
      <c r="Q975" s="236">
        <f t="shared" si="565"/>
        <v>9.3000000000000007</v>
      </c>
      <c r="R975" s="265">
        <f t="shared" si="566"/>
        <v>50</v>
      </c>
      <c r="S975" s="193">
        <f t="shared" si="567"/>
        <v>465</v>
      </c>
      <c r="T975" s="230"/>
      <c r="U975" s="290"/>
      <c r="V975" s="200"/>
      <c r="W975" s="232">
        <f t="shared" si="592"/>
        <v>9.3000000000000007</v>
      </c>
      <c r="X975" s="301">
        <v>147.6</v>
      </c>
      <c r="Y975" s="199">
        <f t="shared" si="596"/>
        <v>1372.68</v>
      </c>
      <c r="Z975" s="153"/>
      <c r="AA975" s="147"/>
      <c r="AB975" s="101"/>
      <c r="AC975" s="226">
        <f t="shared" si="593"/>
        <v>9.3000000000000007</v>
      </c>
      <c r="AD975" s="302">
        <f t="shared" si="594"/>
        <v>-97.6</v>
      </c>
      <c r="AE975" s="202">
        <f t="shared" si="595"/>
        <v>-908</v>
      </c>
    </row>
    <row r="976" spans="1:32" ht="18.75" hidden="1" customHeight="1" outlineLevel="2" x14ac:dyDescent="0.35">
      <c r="B976" s="386" t="s">
        <v>661</v>
      </c>
      <c r="C976" s="44" t="s">
        <v>40</v>
      </c>
      <c r="D976" s="234">
        <v>9.3000000000000007</v>
      </c>
      <c r="E976" s="64"/>
      <c r="F976" s="265">
        <f t="shared" si="557"/>
        <v>5</v>
      </c>
      <c r="G976" s="219">
        <v>45.94</v>
      </c>
      <c r="H976" s="272"/>
      <c r="I976" s="236"/>
      <c r="J976" s="265"/>
      <c r="K976" s="193"/>
      <c r="L976" s="272"/>
      <c r="M976" s="236"/>
      <c r="N976" s="265"/>
      <c r="O976" s="193"/>
      <c r="P976" s="274">
        <v>3.31</v>
      </c>
      <c r="Q976" s="236">
        <f t="shared" si="565"/>
        <v>9.3000000000000007</v>
      </c>
      <c r="R976" s="265">
        <f t="shared" si="566"/>
        <v>13</v>
      </c>
      <c r="S976" s="193">
        <f t="shared" si="567"/>
        <v>122</v>
      </c>
      <c r="T976" s="230"/>
      <c r="U976" s="290"/>
      <c r="V976" s="200"/>
      <c r="W976" s="232">
        <f t="shared" si="592"/>
        <v>9.3000000000000007</v>
      </c>
      <c r="X976" s="301">
        <v>34.4</v>
      </c>
      <c r="Y976" s="199">
        <f t="shared" si="596"/>
        <v>319.92</v>
      </c>
      <c r="Z976" s="153"/>
      <c r="AA976" s="147"/>
      <c r="AB976" s="101"/>
      <c r="AC976" s="226">
        <f t="shared" si="593"/>
        <v>9.3000000000000007</v>
      </c>
      <c r="AD976" s="302">
        <f t="shared" si="594"/>
        <v>-21.4</v>
      </c>
      <c r="AE976" s="202">
        <f t="shared" si="595"/>
        <v>-199</v>
      </c>
    </row>
    <row r="977" spans="2:31" ht="18.75" hidden="1" customHeight="1" outlineLevel="2" x14ac:dyDescent="0.35">
      <c r="B977" s="386" t="s">
        <v>662</v>
      </c>
      <c r="C977" s="44" t="s">
        <v>40</v>
      </c>
      <c r="D977" s="234">
        <v>18</v>
      </c>
      <c r="E977" s="64"/>
      <c r="F977" s="265">
        <f t="shared" si="557"/>
        <v>67</v>
      </c>
      <c r="G977" s="219">
        <v>1207.98</v>
      </c>
      <c r="H977" s="272"/>
      <c r="I977" s="236"/>
      <c r="J977" s="265"/>
      <c r="K977" s="193"/>
      <c r="L977" s="272"/>
      <c r="M977" s="236"/>
      <c r="N977" s="265"/>
      <c r="O977" s="193"/>
      <c r="P977" s="274">
        <v>3.31</v>
      </c>
      <c r="Q977" s="236">
        <f t="shared" si="565"/>
        <v>18</v>
      </c>
      <c r="R977" s="265">
        <f t="shared" si="566"/>
        <v>176</v>
      </c>
      <c r="S977" s="193">
        <f t="shared" si="567"/>
        <v>3177</v>
      </c>
      <c r="T977" s="230"/>
      <c r="U977" s="290"/>
      <c r="V977" s="200"/>
      <c r="W977" s="232">
        <f t="shared" si="592"/>
        <v>18</v>
      </c>
      <c r="X977" s="301">
        <v>90</v>
      </c>
      <c r="Y977" s="199">
        <f t="shared" si="596"/>
        <v>1620</v>
      </c>
      <c r="Z977" s="153"/>
      <c r="AA977" s="147"/>
      <c r="AB977" s="101"/>
      <c r="AC977" s="226">
        <f t="shared" si="593"/>
        <v>18</v>
      </c>
      <c r="AD977" s="304">
        <f t="shared" si="594"/>
        <v>86</v>
      </c>
      <c r="AE977" s="305">
        <f t="shared" si="595"/>
        <v>1548</v>
      </c>
    </row>
    <row r="978" spans="2:31" ht="18.75" hidden="1" customHeight="1" outlineLevel="2" x14ac:dyDescent="0.35">
      <c r="B978" s="386" t="s">
        <v>663</v>
      </c>
      <c r="C978" s="44" t="s">
        <v>40</v>
      </c>
      <c r="D978" s="234">
        <v>6</v>
      </c>
      <c r="E978" s="64"/>
      <c r="F978" s="265">
        <f t="shared" si="557"/>
        <v>90</v>
      </c>
      <c r="G978" s="219">
        <v>537.9</v>
      </c>
      <c r="H978" s="272"/>
      <c r="I978" s="236"/>
      <c r="J978" s="265"/>
      <c r="K978" s="193"/>
      <c r="L978" s="272"/>
      <c r="M978" s="236"/>
      <c r="N978" s="265"/>
      <c r="O978" s="193"/>
      <c r="P978" s="274">
        <v>3.31</v>
      </c>
      <c r="Q978" s="236">
        <f t="shared" si="565"/>
        <v>6</v>
      </c>
      <c r="R978" s="265">
        <f t="shared" si="566"/>
        <v>237</v>
      </c>
      <c r="S978" s="193">
        <f t="shared" si="567"/>
        <v>1422</v>
      </c>
      <c r="T978" s="230"/>
      <c r="U978" s="290"/>
      <c r="V978" s="200"/>
      <c r="W978" s="232">
        <f t="shared" si="592"/>
        <v>6</v>
      </c>
      <c r="X978" s="301">
        <v>390</v>
      </c>
      <c r="Y978" s="199">
        <f t="shared" si="596"/>
        <v>2340</v>
      </c>
      <c r="Z978" s="153"/>
      <c r="AA978" s="147"/>
      <c r="AB978" s="101"/>
      <c r="AC978" s="226">
        <f t="shared" si="593"/>
        <v>6</v>
      </c>
      <c r="AD978" s="302">
        <f t="shared" si="594"/>
        <v>-153</v>
      </c>
      <c r="AE978" s="202">
        <f t="shared" si="595"/>
        <v>-918</v>
      </c>
    </row>
    <row r="979" spans="2:31" ht="18.75" hidden="1" customHeight="1" outlineLevel="2" x14ac:dyDescent="0.35">
      <c r="B979" s="386" t="s">
        <v>664</v>
      </c>
      <c r="C979" s="44" t="s">
        <v>40</v>
      </c>
      <c r="D979" s="234">
        <v>30</v>
      </c>
      <c r="E979" s="64"/>
      <c r="F979" s="265">
        <f t="shared" si="557"/>
        <v>153</v>
      </c>
      <c r="G979" s="219">
        <v>4597.2</v>
      </c>
      <c r="H979" s="272"/>
      <c r="I979" s="236"/>
      <c r="J979" s="265"/>
      <c r="K979" s="193"/>
      <c r="L979" s="272"/>
      <c r="M979" s="236"/>
      <c r="N979" s="265"/>
      <c r="O979" s="193"/>
      <c r="P979" s="274">
        <v>3.31</v>
      </c>
      <c r="Q979" s="236">
        <f t="shared" si="565"/>
        <v>30</v>
      </c>
      <c r="R979" s="265">
        <f t="shared" si="566"/>
        <v>403</v>
      </c>
      <c r="S979" s="193">
        <f t="shared" si="567"/>
        <v>12091</v>
      </c>
      <c r="T979" s="230"/>
      <c r="U979" s="290"/>
      <c r="V979" s="200"/>
      <c r="W979" s="232">
        <f t="shared" si="592"/>
        <v>30</v>
      </c>
      <c r="X979" s="301">
        <v>420</v>
      </c>
      <c r="Y979" s="199">
        <f t="shared" si="596"/>
        <v>12600</v>
      </c>
      <c r="Z979" s="153"/>
      <c r="AA979" s="147"/>
      <c r="AB979" s="101"/>
      <c r="AC979" s="226">
        <f t="shared" si="593"/>
        <v>30</v>
      </c>
      <c r="AD979" s="302">
        <f t="shared" si="594"/>
        <v>-17</v>
      </c>
      <c r="AE979" s="202">
        <f t="shared" si="595"/>
        <v>-510</v>
      </c>
    </row>
    <row r="980" spans="2:31" ht="18.75" hidden="1" customHeight="1" outlineLevel="2" x14ac:dyDescent="0.35">
      <c r="B980" s="386" t="s">
        <v>665</v>
      </c>
      <c r="C980" s="44" t="s">
        <v>40</v>
      </c>
      <c r="D980" s="234">
        <v>24</v>
      </c>
      <c r="E980" s="64"/>
      <c r="F980" s="265">
        <f t="shared" si="557"/>
        <v>13</v>
      </c>
      <c r="G980" s="219">
        <v>300.95999999999998</v>
      </c>
      <c r="H980" s="272"/>
      <c r="I980" s="236"/>
      <c r="J980" s="265"/>
      <c r="K980" s="193"/>
      <c r="L980" s="272"/>
      <c r="M980" s="236"/>
      <c r="N980" s="265"/>
      <c r="O980" s="193"/>
      <c r="P980" s="274">
        <v>3.31</v>
      </c>
      <c r="Q980" s="236">
        <f t="shared" si="565"/>
        <v>24</v>
      </c>
      <c r="R980" s="265">
        <f t="shared" si="566"/>
        <v>34</v>
      </c>
      <c r="S980" s="193">
        <f t="shared" si="567"/>
        <v>822</v>
      </c>
      <c r="T980" s="230"/>
      <c r="U980" s="290"/>
      <c r="V980" s="200"/>
      <c r="W980" s="232">
        <f t="shared" si="592"/>
        <v>24</v>
      </c>
      <c r="X980" s="301">
        <v>28</v>
      </c>
      <c r="Y980" s="199">
        <f t="shared" si="596"/>
        <v>672</v>
      </c>
      <c r="Z980" s="153"/>
      <c r="AA980" s="147"/>
      <c r="AB980" s="101"/>
      <c r="AC980" s="226">
        <f t="shared" si="593"/>
        <v>24</v>
      </c>
      <c r="AD980" s="304">
        <f t="shared" si="594"/>
        <v>6</v>
      </c>
      <c r="AE980" s="305">
        <f t="shared" si="595"/>
        <v>144</v>
      </c>
    </row>
    <row r="981" spans="2:31" ht="18.75" hidden="1" customHeight="1" outlineLevel="2" x14ac:dyDescent="0.35">
      <c r="B981" s="386" t="s">
        <v>666</v>
      </c>
      <c r="C981" s="44" t="s">
        <v>40</v>
      </c>
      <c r="D981" s="234">
        <v>55.6</v>
      </c>
      <c r="E981" s="64"/>
      <c r="F981" s="265">
        <f t="shared" si="557"/>
        <v>43</v>
      </c>
      <c r="G981" s="219">
        <v>2394.14</v>
      </c>
      <c r="H981" s="272"/>
      <c r="I981" s="236"/>
      <c r="J981" s="265"/>
      <c r="K981" s="193"/>
      <c r="L981" s="272"/>
      <c r="M981" s="236"/>
      <c r="N981" s="265"/>
      <c r="O981" s="193"/>
      <c r="P981" s="274">
        <v>3.31</v>
      </c>
      <c r="Q981" s="236">
        <f t="shared" si="565"/>
        <v>55.6</v>
      </c>
      <c r="R981" s="265">
        <f t="shared" si="566"/>
        <v>113</v>
      </c>
      <c r="S981" s="193">
        <f t="shared" si="567"/>
        <v>6298</v>
      </c>
      <c r="T981" s="230"/>
      <c r="U981" s="290"/>
      <c r="V981" s="200"/>
      <c r="W981" s="232">
        <f t="shared" si="592"/>
        <v>55.6</v>
      </c>
      <c r="X981" s="301">
        <v>340</v>
      </c>
      <c r="Y981" s="199">
        <f t="shared" si="596"/>
        <v>18904</v>
      </c>
      <c r="Z981" s="153"/>
      <c r="AA981" s="147"/>
      <c r="AB981" s="101"/>
      <c r="AC981" s="226">
        <f t="shared" si="593"/>
        <v>55.6</v>
      </c>
      <c r="AD981" s="302">
        <f t="shared" si="594"/>
        <v>-227</v>
      </c>
      <c r="AE981" s="202">
        <f t="shared" si="595"/>
        <v>-12621</v>
      </c>
    </row>
    <row r="982" spans="2:31" ht="18.75" hidden="1" customHeight="1" outlineLevel="2" x14ac:dyDescent="0.35">
      <c r="B982" s="386" t="s">
        <v>667</v>
      </c>
      <c r="C982" s="44" t="s">
        <v>40</v>
      </c>
      <c r="D982" s="234">
        <v>14</v>
      </c>
      <c r="E982" s="64"/>
      <c r="F982" s="265">
        <f t="shared" si="557"/>
        <v>19</v>
      </c>
      <c r="G982" s="219">
        <v>272.58</v>
      </c>
      <c r="H982" s="272"/>
      <c r="I982" s="236"/>
      <c r="J982" s="265"/>
      <c r="K982" s="193"/>
      <c r="L982" s="272"/>
      <c r="M982" s="236"/>
      <c r="N982" s="265"/>
      <c r="O982" s="193"/>
      <c r="P982" s="274">
        <v>3.31</v>
      </c>
      <c r="Q982" s="236">
        <f t="shared" si="565"/>
        <v>14</v>
      </c>
      <c r="R982" s="265">
        <f t="shared" si="566"/>
        <v>50</v>
      </c>
      <c r="S982" s="193">
        <f t="shared" si="567"/>
        <v>701</v>
      </c>
      <c r="T982" s="230"/>
      <c r="U982" s="290"/>
      <c r="V982" s="200"/>
      <c r="W982" s="232">
        <f t="shared" si="592"/>
        <v>14</v>
      </c>
      <c r="X982" s="301">
        <v>43.4</v>
      </c>
      <c r="Y982" s="199">
        <f t="shared" si="596"/>
        <v>607.6</v>
      </c>
      <c r="Z982" s="153"/>
      <c r="AA982" s="147"/>
      <c r="AB982" s="101"/>
      <c r="AC982" s="226">
        <f t="shared" si="593"/>
        <v>14</v>
      </c>
      <c r="AD982" s="304">
        <f t="shared" si="594"/>
        <v>6.6000000000000014</v>
      </c>
      <c r="AE982" s="305">
        <f t="shared" si="595"/>
        <v>92</v>
      </c>
    </row>
    <row r="983" spans="2:31" ht="18.75" hidden="1" customHeight="1" outlineLevel="2" x14ac:dyDescent="0.35">
      <c r="B983" s="386" t="s">
        <v>668</v>
      </c>
      <c r="C983" s="44" t="s">
        <v>40</v>
      </c>
      <c r="D983" s="234">
        <v>18.579999999999998</v>
      </c>
      <c r="E983" s="64"/>
      <c r="F983" s="265">
        <f t="shared" si="557"/>
        <v>376</v>
      </c>
      <c r="G983" s="219">
        <v>6992.58</v>
      </c>
      <c r="H983" s="272"/>
      <c r="I983" s="236"/>
      <c r="J983" s="265"/>
      <c r="K983" s="193"/>
      <c r="L983" s="272"/>
      <c r="M983" s="236"/>
      <c r="N983" s="265"/>
      <c r="O983" s="193"/>
      <c r="P983" s="274">
        <v>3.31</v>
      </c>
      <c r="Q983" s="236">
        <f t="shared" si="565"/>
        <v>18.579999999999998</v>
      </c>
      <c r="R983" s="265">
        <f t="shared" si="566"/>
        <v>990</v>
      </c>
      <c r="S983" s="193">
        <f t="shared" si="567"/>
        <v>18402</v>
      </c>
      <c r="T983" s="230"/>
      <c r="U983" s="290"/>
      <c r="V983" s="200"/>
      <c r="W983" s="232">
        <f t="shared" si="592"/>
        <v>18.579999999999998</v>
      </c>
      <c r="X983" s="301">
        <v>3402</v>
      </c>
      <c r="Y983" s="199">
        <f t="shared" si="596"/>
        <v>63209.159999999996</v>
      </c>
      <c r="Z983" s="153"/>
      <c r="AA983" s="147"/>
      <c r="AB983" s="101"/>
      <c r="AC983" s="226">
        <f t="shared" si="593"/>
        <v>18.579999999999998</v>
      </c>
      <c r="AD983" s="302">
        <f t="shared" si="594"/>
        <v>-2412</v>
      </c>
      <c r="AE983" s="202">
        <f t="shared" si="595"/>
        <v>-44815</v>
      </c>
    </row>
    <row r="984" spans="2:31" ht="18.75" hidden="1" customHeight="1" outlineLevel="2" x14ac:dyDescent="0.35">
      <c r="B984" s="386" t="s">
        <v>669</v>
      </c>
      <c r="C984" s="44" t="s">
        <v>40</v>
      </c>
      <c r="D984" s="234">
        <v>18.579999999999998</v>
      </c>
      <c r="E984" s="64"/>
      <c r="F984" s="265">
        <f t="shared" si="557"/>
        <v>8</v>
      </c>
      <c r="G984" s="219">
        <v>146.96</v>
      </c>
      <c r="H984" s="272"/>
      <c r="I984" s="236"/>
      <c r="J984" s="265"/>
      <c r="K984" s="193"/>
      <c r="L984" s="272"/>
      <c r="M984" s="236"/>
      <c r="N984" s="265"/>
      <c r="O984" s="193"/>
      <c r="P984" s="274">
        <v>3.31</v>
      </c>
      <c r="Q984" s="236">
        <f t="shared" si="565"/>
        <v>18.579999999999998</v>
      </c>
      <c r="R984" s="265">
        <f t="shared" si="566"/>
        <v>21</v>
      </c>
      <c r="S984" s="193">
        <f t="shared" si="567"/>
        <v>392</v>
      </c>
      <c r="T984" s="230"/>
      <c r="U984" s="290"/>
      <c r="V984" s="200"/>
      <c r="W984" s="232">
        <f t="shared" si="592"/>
        <v>18.579999999999998</v>
      </c>
      <c r="X984" s="301">
        <v>19</v>
      </c>
      <c r="Y984" s="199">
        <f t="shared" si="596"/>
        <v>353.02</v>
      </c>
      <c r="Z984" s="153"/>
      <c r="AA984" s="147"/>
      <c r="AB984" s="101"/>
      <c r="AC984" s="226">
        <f t="shared" si="593"/>
        <v>18.579999999999998</v>
      </c>
      <c r="AD984" s="304">
        <f t="shared" si="594"/>
        <v>2</v>
      </c>
      <c r="AE984" s="305">
        <f t="shared" si="595"/>
        <v>37</v>
      </c>
    </row>
    <row r="985" spans="2:31" ht="18.75" hidden="1" customHeight="1" outlineLevel="2" x14ac:dyDescent="0.35">
      <c r="B985" s="386" t="s">
        <v>670</v>
      </c>
      <c r="C985" s="44" t="s">
        <v>40</v>
      </c>
      <c r="D985" s="234">
        <v>6</v>
      </c>
      <c r="E985" s="64"/>
      <c r="F985" s="265">
        <f t="shared" ref="F985:F1050" si="597">ROUND(G985/D985,0)</f>
        <v>18</v>
      </c>
      <c r="G985" s="219">
        <v>107.16</v>
      </c>
      <c r="H985" s="272"/>
      <c r="I985" s="236"/>
      <c r="J985" s="265"/>
      <c r="K985" s="193"/>
      <c r="L985" s="272"/>
      <c r="M985" s="236"/>
      <c r="N985" s="265"/>
      <c r="O985" s="193"/>
      <c r="P985" s="274">
        <v>3.31</v>
      </c>
      <c r="Q985" s="236">
        <f t="shared" ref="Q985:Q1050" si="598">D985-I985-M985</f>
        <v>6</v>
      </c>
      <c r="R985" s="265">
        <f t="shared" ref="R985:R1050" si="599">ROUND(F985*P985*0.7958,0)</f>
        <v>47</v>
      </c>
      <c r="S985" s="193">
        <f t="shared" ref="S985:S1050" si="600">ROUND(Q985*P985*F985*0.7958,0)</f>
        <v>284</v>
      </c>
      <c r="T985" s="230"/>
      <c r="U985" s="290"/>
      <c r="V985" s="200"/>
      <c r="W985" s="232">
        <f t="shared" si="592"/>
        <v>6</v>
      </c>
      <c r="X985" s="301">
        <v>65</v>
      </c>
      <c r="Y985" s="199">
        <f t="shared" si="596"/>
        <v>390</v>
      </c>
      <c r="Z985" s="153"/>
      <c r="AA985" s="147"/>
      <c r="AB985" s="101"/>
      <c r="AC985" s="226">
        <f t="shared" si="593"/>
        <v>6</v>
      </c>
      <c r="AD985" s="302">
        <f t="shared" si="594"/>
        <v>-18</v>
      </c>
      <c r="AE985" s="202">
        <f t="shared" si="595"/>
        <v>-108</v>
      </c>
    </row>
    <row r="986" spans="2:31" ht="18.75" hidden="1" customHeight="1" outlineLevel="2" x14ac:dyDescent="0.35">
      <c r="B986" s="386" t="s">
        <v>671</v>
      </c>
      <c r="C986" s="44" t="s">
        <v>364</v>
      </c>
      <c r="D986" s="234">
        <v>36</v>
      </c>
      <c r="E986" s="64"/>
      <c r="F986" s="265">
        <f t="shared" si="597"/>
        <v>83</v>
      </c>
      <c r="G986" s="219">
        <v>2988</v>
      </c>
      <c r="H986" s="272"/>
      <c r="I986" s="236"/>
      <c r="J986" s="265"/>
      <c r="K986" s="193"/>
      <c r="L986" s="272"/>
      <c r="M986" s="236"/>
      <c r="N986" s="265"/>
      <c r="O986" s="193"/>
      <c r="P986" s="274">
        <v>3.31</v>
      </c>
      <c r="Q986" s="236">
        <f t="shared" si="598"/>
        <v>36</v>
      </c>
      <c r="R986" s="265">
        <f t="shared" si="599"/>
        <v>219</v>
      </c>
      <c r="S986" s="193">
        <f t="shared" si="600"/>
        <v>7871</v>
      </c>
      <c r="T986" s="230"/>
      <c r="U986" s="290"/>
      <c r="V986" s="200"/>
      <c r="W986" s="232">
        <f t="shared" si="592"/>
        <v>36</v>
      </c>
      <c r="X986" s="301">
        <v>180</v>
      </c>
      <c r="Y986" s="199">
        <f t="shared" si="596"/>
        <v>6480</v>
      </c>
      <c r="Z986" s="153"/>
      <c r="AA986" s="147"/>
      <c r="AB986" s="101"/>
      <c r="AC986" s="226">
        <f t="shared" si="593"/>
        <v>36</v>
      </c>
      <c r="AD986" s="304">
        <f t="shared" si="594"/>
        <v>39</v>
      </c>
      <c r="AE986" s="305">
        <f t="shared" si="595"/>
        <v>1404</v>
      </c>
    </row>
    <row r="987" spans="2:31" ht="18.75" hidden="1" customHeight="1" outlineLevel="2" x14ac:dyDescent="0.35">
      <c r="B987" s="386" t="s">
        <v>672</v>
      </c>
      <c r="C987" s="44" t="s">
        <v>364</v>
      </c>
      <c r="D987" s="234">
        <v>18</v>
      </c>
      <c r="E987" s="64"/>
      <c r="F987" s="265">
        <f t="shared" si="597"/>
        <v>102</v>
      </c>
      <c r="G987" s="219">
        <v>1836</v>
      </c>
      <c r="H987" s="272"/>
      <c r="I987" s="236"/>
      <c r="J987" s="265"/>
      <c r="K987" s="193"/>
      <c r="L987" s="272"/>
      <c r="M987" s="236"/>
      <c r="N987" s="265"/>
      <c r="O987" s="193"/>
      <c r="P987" s="274">
        <v>3.31</v>
      </c>
      <c r="Q987" s="236">
        <f t="shared" si="598"/>
        <v>18</v>
      </c>
      <c r="R987" s="265">
        <f t="shared" si="599"/>
        <v>269</v>
      </c>
      <c r="S987" s="193">
        <f t="shared" si="600"/>
        <v>4836</v>
      </c>
      <c r="T987" s="230"/>
      <c r="U987" s="290"/>
      <c r="V987" s="200"/>
      <c r="W987" s="232">
        <f t="shared" si="592"/>
        <v>18</v>
      </c>
      <c r="X987" s="301">
        <v>210</v>
      </c>
      <c r="Y987" s="199">
        <f t="shared" si="596"/>
        <v>3780</v>
      </c>
      <c r="Z987" s="153"/>
      <c r="AA987" s="147"/>
      <c r="AB987" s="101"/>
      <c r="AC987" s="226">
        <f t="shared" si="593"/>
        <v>18</v>
      </c>
      <c r="AD987" s="304">
        <f t="shared" si="594"/>
        <v>59</v>
      </c>
      <c r="AE987" s="305">
        <f t="shared" si="595"/>
        <v>1062</v>
      </c>
    </row>
    <row r="988" spans="2:31" ht="34.5" hidden="1" customHeight="1" outlineLevel="2" x14ac:dyDescent="0.35">
      <c r="B988" s="386" t="s">
        <v>673</v>
      </c>
      <c r="C988" s="44" t="s">
        <v>674</v>
      </c>
      <c r="D988" s="234">
        <v>0.18</v>
      </c>
      <c r="E988" s="64" t="s">
        <v>1056</v>
      </c>
      <c r="F988" s="265">
        <f t="shared" si="597"/>
        <v>214667</v>
      </c>
      <c r="G988" s="219">
        <v>38640</v>
      </c>
      <c r="H988" s="272"/>
      <c r="I988" s="236"/>
      <c r="J988" s="265"/>
      <c r="K988" s="193"/>
      <c r="L988" s="272"/>
      <c r="M988" s="236"/>
      <c r="N988" s="265"/>
      <c r="O988" s="193"/>
      <c r="P988" s="274">
        <v>4.5</v>
      </c>
      <c r="Q988" s="236">
        <f t="shared" si="598"/>
        <v>0.18</v>
      </c>
      <c r="R988" s="265">
        <f t="shared" si="599"/>
        <v>768744</v>
      </c>
      <c r="S988" s="193">
        <f t="shared" si="600"/>
        <v>138374</v>
      </c>
      <c r="T988" s="230"/>
      <c r="U988" s="290"/>
      <c r="V988" s="200"/>
      <c r="W988" s="232">
        <f t="shared" si="592"/>
        <v>0.18</v>
      </c>
      <c r="X988" s="289">
        <v>1042050</v>
      </c>
      <c r="Y988" s="199">
        <f t="shared" si="596"/>
        <v>187569</v>
      </c>
      <c r="Z988" s="153"/>
      <c r="AA988" s="147"/>
      <c r="AB988" s="101"/>
      <c r="AC988" s="226">
        <f t="shared" si="593"/>
        <v>0.18</v>
      </c>
      <c r="AD988" s="302">
        <f t="shared" si="594"/>
        <v>-273306</v>
      </c>
      <c r="AE988" s="202">
        <f t="shared" si="595"/>
        <v>-49195</v>
      </c>
    </row>
    <row r="989" spans="2:31" ht="35.25" hidden="1" customHeight="1" outlineLevel="2" x14ac:dyDescent="0.35">
      <c r="B989" s="386" t="s">
        <v>675</v>
      </c>
      <c r="C989" s="44" t="s">
        <v>674</v>
      </c>
      <c r="D989" s="234">
        <v>0.06</v>
      </c>
      <c r="E989" s="64" t="s">
        <v>1057</v>
      </c>
      <c r="F989" s="265">
        <f t="shared" si="597"/>
        <v>162433</v>
      </c>
      <c r="G989" s="219">
        <v>9746</v>
      </c>
      <c r="H989" s="272"/>
      <c r="I989" s="236"/>
      <c r="J989" s="265"/>
      <c r="K989" s="193"/>
      <c r="L989" s="272"/>
      <c r="M989" s="236"/>
      <c r="N989" s="265"/>
      <c r="O989" s="193"/>
      <c r="P989" s="274">
        <v>4.5</v>
      </c>
      <c r="Q989" s="236">
        <f t="shared" si="598"/>
        <v>0.06</v>
      </c>
      <c r="R989" s="265">
        <f t="shared" si="599"/>
        <v>581689</v>
      </c>
      <c r="S989" s="193">
        <f t="shared" si="600"/>
        <v>34901</v>
      </c>
      <c r="T989" s="230"/>
      <c r="U989" s="290"/>
      <c r="V989" s="200"/>
      <c r="W989" s="232">
        <f t="shared" si="592"/>
        <v>0.06</v>
      </c>
      <c r="X989" s="289">
        <v>732820</v>
      </c>
      <c r="Y989" s="199">
        <f t="shared" si="596"/>
        <v>43969.2</v>
      </c>
      <c r="Z989" s="153"/>
      <c r="AA989" s="147"/>
      <c r="AB989" s="101"/>
      <c r="AC989" s="226">
        <f t="shared" si="593"/>
        <v>0.06</v>
      </c>
      <c r="AD989" s="302">
        <f t="shared" si="594"/>
        <v>-151131</v>
      </c>
      <c r="AE989" s="202">
        <f t="shared" si="595"/>
        <v>-9068</v>
      </c>
    </row>
    <row r="990" spans="2:31" ht="34.5" hidden="1" customHeight="1" outlineLevel="2" x14ac:dyDescent="0.35">
      <c r="B990" s="386" t="s">
        <v>676</v>
      </c>
      <c r="C990" s="44" t="s">
        <v>674</v>
      </c>
      <c r="D990" s="234">
        <v>0.41</v>
      </c>
      <c r="E990" s="64"/>
      <c r="F990" s="265">
        <f t="shared" si="597"/>
        <v>182451</v>
      </c>
      <c r="G990" s="219">
        <v>74805</v>
      </c>
      <c r="H990" s="272"/>
      <c r="I990" s="236"/>
      <c r="J990" s="265"/>
      <c r="K990" s="193"/>
      <c r="L990" s="272"/>
      <c r="M990" s="236"/>
      <c r="N990" s="265"/>
      <c r="O990" s="193"/>
      <c r="P990" s="274">
        <v>4.5</v>
      </c>
      <c r="Q990" s="236">
        <f t="shared" si="598"/>
        <v>0.41</v>
      </c>
      <c r="R990" s="265">
        <f t="shared" si="599"/>
        <v>653375</v>
      </c>
      <c r="S990" s="193">
        <f t="shared" si="600"/>
        <v>267884</v>
      </c>
      <c r="T990" s="230"/>
      <c r="U990" s="290"/>
      <c r="V990" s="200"/>
      <c r="W990" s="232">
        <f t="shared" si="592"/>
        <v>0.41</v>
      </c>
      <c r="X990" s="289">
        <v>1042050</v>
      </c>
      <c r="Y990" s="199">
        <f t="shared" si="596"/>
        <v>427240.5</v>
      </c>
      <c r="Z990" s="153"/>
      <c r="AA990" s="147"/>
      <c r="AB990" s="101"/>
      <c r="AC990" s="226">
        <f t="shared" si="593"/>
        <v>0.41</v>
      </c>
      <c r="AD990" s="302">
        <f t="shared" si="594"/>
        <v>-388675</v>
      </c>
      <c r="AE990" s="202">
        <f t="shared" si="595"/>
        <v>-159357</v>
      </c>
    </row>
    <row r="991" spans="2:31" ht="34.5" hidden="1" customHeight="1" outlineLevel="2" x14ac:dyDescent="0.35">
      <c r="B991" s="386" t="s">
        <v>677</v>
      </c>
      <c r="C991" s="44" t="s">
        <v>674</v>
      </c>
      <c r="D991" s="234">
        <v>0.48</v>
      </c>
      <c r="E991" s="64"/>
      <c r="F991" s="265">
        <f t="shared" si="597"/>
        <v>119688</v>
      </c>
      <c r="G991" s="219">
        <v>57450</v>
      </c>
      <c r="H991" s="272"/>
      <c r="I991" s="236"/>
      <c r="J991" s="265"/>
      <c r="K991" s="193"/>
      <c r="L991" s="272"/>
      <c r="M991" s="236"/>
      <c r="N991" s="265"/>
      <c r="O991" s="193"/>
      <c r="P991" s="274">
        <v>4.5</v>
      </c>
      <c r="Q991" s="236">
        <f t="shared" si="598"/>
        <v>0.48</v>
      </c>
      <c r="R991" s="265">
        <f t="shared" si="599"/>
        <v>428615</v>
      </c>
      <c r="S991" s="193">
        <f t="shared" si="600"/>
        <v>205735</v>
      </c>
      <c r="T991" s="230"/>
      <c r="U991" s="290"/>
      <c r="V991" s="200"/>
      <c r="W991" s="232">
        <f t="shared" si="592"/>
        <v>0.48</v>
      </c>
      <c r="X991" s="289">
        <v>732820</v>
      </c>
      <c r="Y991" s="199">
        <f t="shared" si="596"/>
        <v>351753.6</v>
      </c>
      <c r="Z991" s="153"/>
      <c r="AA991" s="147"/>
      <c r="AB991" s="101"/>
      <c r="AC991" s="226">
        <f t="shared" si="593"/>
        <v>0.48</v>
      </c>
      <c r="AD991" s="302">
        <f t="shared" si="594"/>
        <v>-304205</v>
      </c>
      <c r="AE991" s="202">
        <f t="shared" si="595"/>
        <v>-146018</v>
      </c>
    </row>
    <row r="992" spans="2:31" ht="18.75" hidden="1" customHeight="1" outlineLevel="2" x14ac:dyDescent="0.35">
      <c r="B992" s="386" t="s">
        <v>678</v>
      </c>
      <c r="C992" s="44" t="s">
        <v>40</v>
      </c>
      <c r="D992" s="234">
        <v>30</v>
      </c>
      <c r="E992" s="64"/>
      <c r="F992" s="265">
        <f t="shared" si="597"/>
        <v>40</v>
      </c>
      <c r="G992" s="219">
        <v>1199.4000000000001</v>
      </c>
      <c r="H992" s="272"/>
      <c r="I992" s="236"/>
      <c r="J992" s="265"/>
      <c r="K992" s="193"/>
      <c r="L992" s="272"/>
      <c r="M992" s="236"/>
      <c r="N992" s="265"/>
      <c r="O992" s="193"/>
      <c r="P992" s="274">
        <v>3.31</v>
      </c>
      <c r="Q992" s="236">
        <f t="shared" si="598"/>
        <v>30</v>
      </c>
      <c r="R992" s="265">
        <f t="shared" si="599"/>
        <v>105</v>
      </c>
      <c r="S992" s="193">
        <f t="shared" si="600"/>
        <v>3161</v>
      </c>
      <c r="T992" s="230"/>
      <c r="U992" s="290"/>
      <c r="V992" s="200"/>
      <c r="W992" s="232">
        <f t="shared" si="592"/>
        <v>30</v>
      </c>
      <c r="X992" s="301">
        <v>110</v>
      </c>
      <c r="Y992" s="199">
        <f t="shared" si="596"/>
        <v>3300</v>
      </c>
      <c r="Z992" s="153"/>
      <c r="AA992" s="147"/>
      <c r="AB992" s="101"/>
      <c r="AC992" s="226">
        <f t="shared" si="593"/>
        <v>30</v>
      </c>
      <c r="AD992" s="302">
        <f t="shared" si="594"/>
        <v>-5</v>
      </c>
      <c r="AE992" s="202">
        <f t="shared" si="595"/>
        <v>-150</v>
      </c>
    </row>
    <row r="993" spans="2:31" ht="18.75" hidden="1" customHeight="1" outlineLevel="2" x14ac:dyDescent="0.35">
      <c r="B993" s="386" t="s">
        <v>679</v>
      </c>
      <c r="C993" s="44" t="s">
        <v>40</v>
      </c>
      <c r="D993" s="234">
        <v>16.07</v>
      </c>
      <c r="E993" s="64"/>
      <c r="F993" s="265">
        <f t="shared" si="597"/>
        <v>7</v>
      </c>
      <c r="G993" s="219">
        <v>111.84</v>
      </c>
      <c r="H993" s="272"/>
      <c r="I993" s="236"/>
      <c r="J993" s="265"/>
      <c r="K993" s="193"/>
      <c r="L993" s="272"/>
      <c r="M993" s="236"/>
      <c r="N993" s="265"/>
      <c r="O993" s="193"/>
      <c r="P993" s="274">
        <v>3.31</v>
      </c>
      <c r="Q993" s="236">
        <f t="shared" si="598"/>
        <v>16.07</v>
      </c>
      <c r="R993" s="265">
        <f t="shared" si="599"/>
        <v>18</v>
      </c>
      <c r="S993" s="193">
        <f t="shared" si="600"/>
        <v>296</v>
      </c>
      <c r="T993" s="230"/>
      <c r="U993" s="290"/>
      <c r="V993" s="200"/>
      <c r="W993" s="232">
        <f t="shared" si="592"/>
        <v>16.07</v>
      </c>
      <c r="X993" s="301">
        <v>6</v>
      </c>
      <c r="Y993" s="199">
        <f t="shared" si="596"/>
        <v>96.42</v>
      </c>
      <c r="Z993" s="153"/>
      <c r="AA993" s="147"/>
      <c r="AB993" s="101"/>
      <c r="AC993" s="226">
        <f t="shared" si="593"/>
        <v>16.07</v>
      </c>
      <c r="AD993" s="304">
        <f t="shared" si="594"/>
        <v>12</v>
      </c>
      <c r="AE993" s="305">
        <f t="shared" si="595"/>
        <v>193</v>
      </c>
    </row>
    <row r="994" spans="2:31" ht="18.75" hidden="1" customHeight="1" outlineLevel="2" x14ac:dyDescent="0.35">
      <c r="B994" s="386" t="s">
        <v>680</v>
      </c>
      <c r="C994" s="44" t="s">
        <v>40</v>
      </c>
      <c r="D994" s="234">
        <v>36</v>
      </c>
      <c r="E994" s="64"/>
      <c r="F994" s="265">
        <f t="shared" si="597"/>
        <v>1</v>
      </c>
      <c r="G994" s="219">
        <v>37.08</v>
      </c>
      <c r="H994" s="272"/>
      <c r="I994" s="236"/>
      <c r="J994" s="265"/>
      <c r="K994" s="193"/>
      <c r="L994" s="272"/>
      <c r="M994" s="236"/>
      <c r="N994" s="265"/>
      <c r="O994" s="193"/>
      <c r="P994" s="274">
        <v>3.31</v>
      </c>
      <c r="Q994" s="236">
        <f t="shared" si="598"/>
        <v>36</v>
      </c>
      <c r="R994" s="265">
        <f t="shared" si="599"/>
        <v>3</v>
      </c>
      <c r="S994" s="193">
        <f t="shared" si="600"/>
        <v>95</v>
      </c>
      <c r="T994" s="230"/>
      <c r="U994" s="290"/>
      <c r="V994" s="200"/>
      <c r="W994" s="232">
        <f t="shared" si="592"/>
        <v>36</v>
      </c>
      <c r="X994" s="301">
        <v>6</v>
      </c>
      <c r="Y994" s="199">
        <f t="shared" si="596"/>
        <v>216</v>
      </c>
      <c r="Z994" s="153"/>
      <c r="AA994" s="147"/>
      <c r="AB994" s="101"/>
      <c r="AC994" s="226">
        <f t="shared" si="593"/>
        <v>36</v>
      </c>
      <c r="AD994" s="302">
        <f t="shared" si="594"/>
        <v>-3</v>
      </c>
      <c r="AE994" s="202">
        <f t="shared" si="595"/>
        <v>-108</v>
      </c>
    </row>
    <row r="995" spans="2:31" ht="18.75" hidden="1" customHeight="1" outlineLevel="2" x14ac:dyDescent="0.35">
      <c r="B995" s="386" t="s">
        <v>681</v>
      </c>
      <c r="C995" s="44" t="s">
        <v>40</v>
      </c>
      <c r="D995" s="234">
        <v>20</v>
      </c>
      <c r="E995" s="64"/>
      <c r="F995" s="265">
        <f t="shared" si="597"/>
        <v>1</v>
      </c>
      <c r="G995" s="219">
        <v>18.600000000000001</v>
      </c>
      <c r="H995" s="272"/>
      <c r="I995" s="236"/>
      <c r="J995" s="265"/>
      <c r="K995" s="193"/>
      <c r="L995" s="272"/>
      <c r="M995" s="236"/>
      <c r="N995" s="265"/>
      <c r="O995" s="193"/>
      <c r="P995" s="274">
        <v>3.31</v>
      </c>
      <c r="Q995" s="236">
        <f t="shared" si="598"/>
        <v>20</v>
      </c>
      <c r="R995" s="265">
        <f t="shared" si="599"/>
        <v>3</v>
      </c>
      <c r="S995" s="193">
        <f t="shared" si="600"/>
        <v>53</v>
      </c>
      <c r="T995" s="230"/>
      <c r="U995" s="290"/>
      <c r="V995" s="200"/>
      <c r="W995" s="232">
        <f t="shared" si="592"/>
        <v>20</v>
      </c>
      <c r="X995" s="301">
        <v>6</v>
      </c>
      <c r="Y995" s="199">
        <f t="shared" si="596"/>
        <v>120</v>
      </c>
      <c r="Z995" s="153"/>
      <c r="AA995" s="147"/>
      <c r="AB995" s="101"/>
      <c r="AC995" s="226">
        <f t="shared" si="593"/>
        <v>20</v>
      </c>
      <c r="AD995" s="302">
        <f t="shared" si="594"/>
        <v>-3</v>
      </c>
      <c r="AE995" s="202">
        <f t="shared" si="595"/>
        <v>-60</v>
      </c>
    </row>
    <row r="996" spans="2:31" ht="18.75" hidden="1" customHeight="1" outlineLevel="2" x14ac:dyDescent="0.35">
      <c r="B996" s="386" t="s">
        <v>682</v>
      </c>
      <c r="C996" s="44" t="s">
        <v>40</v>
      </c>
      <c r="D996" s="234">
        <v>12.4</v>
      </c>
      <c r="E996" s="64"/>
      <c r="F996" s="265">
        <f t="shared" si="597"/>
        <v>154</v>
      </c>
      <c r="G996" s="219">
        <v>1912.95</v>
      </c>
      <c r="H996" s="272"/>
      <c r="I996" s="236"/>
      <c r="J996" s="265"/>
      <c r="K996" s="193"/>
      <c r="L996" s="272"/>
      <c r="M996" s="236"/>
      <c r="N996" s="265"/>
      <c r="O996" s="193"/>
      <c r="P996" s="274">
        <v>3.31</v>
      </c>
      <c r="Q996" s="236">
        <f t="shared" si="598"/>
        <v>12.4</v>
      </c>
      <c r="R996" s="265">
        <f t="shared" si="599"/>
        <v>406</v>
      </c>
      <c r="S996" s="193">
        <f t="shared" si="600"/>
        <v>5030</v>
      </c>
      <c r="T996" s="230"/>
      <c r="U996" s="290"/>
      <c r="V996" s="200"/>
      <c r="W996" s="232">
        <f t="shared" si="592"/>
        <v>12.4</v>
      </c>
      <c r="X996" s="301">
        <v>1047</v>
      </c>
      <c r="Y996" s="199">
        <f t="shared" si="596"/>
        <v>12982.800000000001</v>
      </c>
      <c r="Z996" s="153"/>
      <c r="AA996" s="147"/>
      <c r="AB996" s="101"/>
      <c r="AC996" s="226">
        <f t="shared" si="593"/>
        <v>12.4</v>
      </c>
      <c r="AD996" s="302">
        <f t="shared" si="594"/>
        <v>-641</v>
      </c>
      <c r="AE996" s="202">
        <f t="shared" si="595"/>
        <v>-7948</v>
      </c>
    </row>
    <row r="997" spans="2:31" ht="18.75" hidden="1" customHeight="1" outlineLevel="2" x14ac:dyDescent="0.35">
      <c r="B997" s="386" t="s">
        <v>683</v>
      </c>
      <c r="C997" s="44" t="s">
        <v>40</v>
      </c>
      <c r="D997" s="234">
        <v>18.579999999999998</v>
      </c>
      <c r="E997" s="64"/>
      <c r="F997" s="265">
        <f t="shared" si="597"/>
        <v>57</v>
      </c>
      <c r="G997" s="219">
        <v>1055.53</v>
      </c>
      <c r="H997" s="272"/>
      <c r="I997" s="236"/>
      <c r="J997" s="265"/>
      <c r="K997" s="193"/>
      <c r="L997" s="272"/>
      <c r="M997" s="236"/>
      <c r="N997" s="265"/>
      <c r="O997" s="193"/>
      <c r="P997" s="274">
        <v>3.31</v>
      </c>
      <c r="Q997" s="236">
        <f t="shared" si="598"/>
        <v>18.579999999999998</v>
      </c>
      <c r="R997" s="265">
        <f t="shared" si="599"/>
        <v>150</v>
      </c>
      <c r="S997" s="193">
        <f t="shared" si="600"/>
        <v>2790</v>
      </c>
      <c r="T997" s="230"/>
      <c r="U997" s="290"/>
      <c r="V997" s="200"/>
      <c r="W997" s="232">
        <f t="shared" si="592"/>
        <v>18.579999999999998</v>
      </c>
      <c r="X997" s="301">
        <v>481</v>
      </c>
      <c r="Y997" s="199">
        <f t="shared" si="596"/>
        <v>8936.98</v>
      </c>
      <c r="Z997" s="153"/>
      <c r="AA997" s="147"/>
      <c r="AB997" s="101"/>
      <c r="AC997" s="226">
        <f t="shared" si="593"/>
        <v>18.579999999999998</v>
      </c>
      <c r="AD997" s="302">
        <f t="shared" si="594"/>
        <v>-331</v>
      </c>
      <c r="AE997" s="202">
        <f t="shared" si="595"/>
        <v>-6150</v>
      </c>
    </row>
    <row r="998" spans="2:31" ht="18.75" hidden="1" customHeight="1" outlineLevel="2" x14ac:dyDescent="0.35">
      <c r="B998" s="386" t="s">
        <v>683</v>
      </c>
      <c r="C998" s="44" t="s">
        <v>40</v>
      </c>
      <c r="D998" s="234">
        <v>12</v>
      </c>
      <c r="E998" s="64"/>
      <c r="F998" s="265">
        <f t="shared" si="597"/>
        <v>57</v>
      </c>
      <c r="G998" s="219">
        <v>681.72</v>
      </c>
      <c r="H998" s="272"/>
      <c r="I998" s="236"/>
      <c r="J998" s="265"/>
      <c r="K998" s="193"/>
      <c r="L998" s="272"/>
      <c r="M998" s="236"/>
      <c r="N998" s="265"/>
      <c r="O998" s="193"/>
      <c r="P998" s="274">
        <v>3.31</v>
      </c>
      <c r="Q998" s="236">
        <f t="shared" si="598"/>
        <v>12</v>
      </c>
      <c r="R998" s="265">
        <f t="shared" si="599"/>
        <v>150</v>
      </c>
      <c r="S998" s="193">
        <f t="shared" si="600"/>
        <v>1802</v>
      </c>
      <c r="T998" s="230"/>
      <c r="U998" s="290"/>
      <c r="V998" s="200"/>
      <c r="W998" s="232">
        <f t="shared" si="592"/>
        <v>12</v>
      </c>
      <c r="X998" s="301">
        <v>481</v>
      </c>
      <c r="Y998" s="199">
        <f t="shared" si="596"/>
        <v>5772</v>
      </c>
      <c r="Z998" s="153"/>
      <c r="AA998" s="147"/>
      <c r="AB998" s="101"/>
      <c r="AC998" s="226">
        <f t="shared" si="593"/>
        <v>12</v>
      </c>
      <c r="AD998" s="302">
        <f t="shared" si="594"/>
        <v>-331</v>
      </c>
      <c r="AE998" s="202">
        <f t="shared" si="595"/>
        <v>-3972</v>
      </c>
    </row>
    <row r="999" spans="2:31" ht="18.75" hidden="1" customHeight="1" outlineLevel="2" x14ac:dyDescent="0.35">
      <c r="B999" s="386" t="s">
        <v>684</v>
      </c>
      <c r="C999" s="44" t="s">
        <v>5</v>
      </c>
      <c r="D999" s="234">
        <v>770</v>
      </c>
      <c r="E999" s="64"/>
      <c r="F999" s="265">
        <f t="shared" si="597"/>
        <v>2</v>
      </c>
      <c r="G999" s="219">
        <v>1532.3</v>
      </c>
      <c r="H999" s="272"/>
      <c r="I999" s="236"/>
      <c r="J999" s="265"/>
      <c r="K999" s="193"/>
      <c r="L999" s="272"/>
      <c r="M999" s="236"/>
      <c r="N999" s="265"/>
      <c r="O999" s="193"/>
      <c r="P999" s="274">
        <v>3.31</v>
      </c>
      <c r="Q999" s="236">
        <f t="shared" si="598"/>
        <v>770</v>
      </c>
      <c r="R999" s="265">
        <f t="shared" si="599"/>
        <v>5</v>
      </c>
      <c r="S999" s="193">
        <f t="shared" si="600"/>
        <v>4057</v>
      </c>
      <c r="T999" s="230"/>
      <c r="U999" s="290"/>
      <c r="V999" s="200"/>
      <c r="W999" s="232">
        <f t="shared" si="592"/>
        <v>770</v>
      </c>
      <c r="X999" s="301">
        <v>4</v>
      </c>
      <c r="Y999" s="199">
        <f t="shared" si="596"/>
        <v>3080</v>
      </c>
      <c r="Z999" s="153"/>
      <c r="AA999" s="147"/>
      <c r="AB999" s="101"/>
      <c r="AC999" s="226">
        <f t="shared" si="593"/>
        <v>770</v>
      </c>
      <c r="AD999" s="304">
        <f t="shared" si="594"/>
        <v>1</v>
      </c>
      <c r="AE999" s="305">
        <f t="shared" si="595"/>
        <v>770</v>
      </c>
    </row>
    <row r="1000" spans="2:31" ht="18.75" hidden="1" customHeight="1" outlineLevel="2" x14ac:dyDescent="0.35">
      <c r="B1000" s="386" t="s">
        <v>685</v>
      </c>
      <c r="C1000" s="44" t="s">
        <v>26</v>
      </c>
      <c r="D1000" s="234">
        <v>5</v>
      </c>
      <c r="E1000" s="64"/>
      <c r="F1000" s="265">
        <f t="shared" si="597"/>
        <v>305</v>
      </c>
      <c r="G1000" s="219">
        <v>1523.2</v>
      </c>
      <c r="H1000" s="272"/>
      <c r="I1000" s="236"/>
      <c r="J1000" s="265"/>
      <c r="K1000" s="193"/>
      <c r="L1000" s="272"/>
      <c r="M1000" s="236"/>
      <c r="N1000" s="265"/>
      <c r="O1000" s="193"/>
      <c r="P1000" s="274">
        <v>3.31</v>
      </c>
      <c r="Q1000" s="236">
        <f t="shared" si="598"/>
        <v>5</v>
      </c>
      <c r="R1000" s="265">
        <f t="shared" si="599"/>
        <v>803</v>
      </c>
      <c r="S1000" s="193">
        <f t="shared" si="600"/>
        <v>4017</v>
      </c>
      <c r="T1000" s="230"/>
      <c r="U1000" s="290"/>
      <c r="V1000" s="200"/>
      <c r="W1000" s="232">
        <f t="shared" si="592"/>
        <v>5</v>
      </c>
      <c r="X1000" s="301">
        <v>1339.16</v>
      </c>
      <c r="Y1000" s="199">
        <f t="shared" si="596"/>
        <v>6695.8</v>
      </c>
      <c r="Z1000" s="153"/>
      <c r="AA1000" s="147"/>
      <c r="AB1000" s="101"/>
      <c r="AC1000" s="226">
        <f t="shared" si="593"/>
        <v>5</v>
      </c>
      <c r="AD1000" s="302">
        <f t="shared" si="594"/>
        <v>-536.16000000000008</v>
      </c>
      <c r="AE1000" s="202">
        <f t="shared" si="595"/>
        <v>-2681</v>
      </c>
    </row>
    <row r="1001" spans="2:31" ht="18.75" hidden="1" customHeight="1" outlineLevel="2" x14ac:dyDescent="0.35">
      <c r="B1001" s="386" t="s">
        <v>686</v>
      </c>
      <c r="C1001" s="44" t="s">
        <v>26</v>
      </c>
      <c r="D1001" s="234">
        <v>3</v>
      </c>
      <c r="E1001" s="64"/>
      <c r="F1001" s="265">
        <f t="shared" si="597"/>
        <v>285</v>
      </c>
      <c r="G1001" s="219">
        <v>854.43</v>
      </c>
      <c r="H1001" s="272"/>
      <c r="I1001" s="236"/>
      <c r="J1001" s="265"/>
      <c r="K1001" s="193"/>
      <c r="L1001" s="272"/>
      <c r="M1001" s="236"/>
      <c r="N1001" s="265"/>
      <c r="O1001" s="193"/>
      <c r="P1001" s="274">
        <v>3.31</v>
      </c>
      <c r="Q1001" s="236">
        <f t="shared" si="598"/>
        <v>3</v>
      </c>
      <c r="R1001" s="265">
        <f t="shared" si="599"/>
        <v>751</v>
      </c>
      <c r="S1001" s="193">
        <f t="shared" si="600"/>
        <v>2252</v>
      </c>
      <c r="T1001" s="230"/>
      <c r="U1001" s="290"/>
      <c r="V1001" s="200"/>
      <c r="W1001" s="232">
        <f t="shared" si="592"/>
        <v>3</v>
      </c>
      <c r="X1001" s="301">
        <v>1227.5</v>
      </c>
      <c r="Y1001" s="199">
        <f t="shared" si="596"/>
        <v>3682.5</v>
      </c>
      <c r="Z1001" s="153"/>
      <c r="AA1001" s="147"/>
      <c r="AB1001" s="101"/>
      <c r="AC1001" s="226">
        <f t="shared" si="593"/>
        <v>3</v>
      </c>
      <c r="AD1001" s="302">
        <f t="shared" si="594"/>
        <v>-476.5</v>
      </c>
      <c r="AE1001" s="202">
        <f t="shared" si="595"/>
        <v>-1430</v>
      </c>
    </row>
    <row r="1002" spans="2:31" ht="18.75" hidden="1" customHeight="1" outlineLevel="2" x14ac:dyDescent="0.35">
      <c r="B1002" s="386" t="s">
        <v>687</v>
      </c>
      <c r="C1002" s="44" t="s">
        <v>26</v>
      </c>
      <c r="D1002" s="234">
        <v>3</v>
      </c>
      <c r="E1002" s="64"/>
      <c r="F1002" s="265">
        <f t="shared" si="597"/>
        <v>324</v>
      </c>
      <c r="G1002" s="219">
        <v>971.16</v>
      </c>
      <c r="H1002" s="272"/>
      <c r="I1002" s="236"/>
      <c r="J1002" s="265"/>
      <c r="K1002" s="193"/>
      <c r="L1002" s="272"/>
      <c r="M1002" s="236"/>
      <c r="N1002" s="265"/>
      <c r="O1002" s="193"/>
      <c r="P1002" s="274">
        <v>3.31</v>
      </c>
      <c r="Q1002" s="236">
        <f t="shared" si="598"/>
        <v>3</v>
      </c>
      <c r="R1002" s="265">
        <f t="shared" si="599"/>
        <v>853</v>
      </c>
      <c r="S1002" s="193">
        <f t="shared" si="600"/>
        <v>2560</v>
      </c>
      <c r="T1002" s="230"/>
      <c r="U1002" s="290"/>
      <c r="V1002" s="200"/>
      <c r="W1002" s="232">
        <f t="shared" si="592"/>
        <v>3</v>
      </c>
      <c r="X1002" s="301">
        <v>1115.83</v>
      </c>
      <c r="Y1002" s="199">
        <f t="shared" si="596"/>
        <v>3347.49</v>
      </c>
      <c r="Z1002" s="153"/>
      <c r="AA1002" s="147"/>
      <c r="AB1002" s="101"/>
      <c r="AC1002" s="226">
        <f t="shared" si="593"/>
        <v>3</v>
      </c>
      <c r="AD1002" s="302">
        <f t="shared" si="594"/>
        <v>-262.82999999999993</v>
      </c>
      <c r="AE1002" s="202">
        <f t="shared" si="595"/>
        <v>-788</v>
      </c>
    </row>
    <row r="1003" spans="2:31" ht="18.75" hidden="1" customHeight="1" outlineLevel="2" x14ac:dyDescent="0.35">
      <c r="B1003" s="386" t="s">
        <v>688</v>
      </c>
      <c r="C1003" s="44" t="s">
        <v>26</v>
      </c>
      <c r="D1003" s="234">
        <v>3</v>
      </c>
      <c r="E1003" s="64"/>
      <c r="F1003" s="265">
        <f t="shared" si="597"/>
        <v>303</v>
      </c>
      <c r="G1003" s="219">
        <v>910.2</v>
      </c>
      <c r="H1003" s="272"/>
      <c r="I1003" s="236"/>
      <c r="J1003" s="265"/>
      <c r="K1003" s="193"/>
      <c r="L1003" s="272"/>
      <c r="M1003" s="236"/>
      <c r="N1003" s="265"/>
      <c r="O1003" s="193"/>
      <c r="P1003" s="274">
        <v>3.31</v>
      </c>
      <c r="Q1003" s="236">
        <f t="shared" si="598"/>
        <v>3</v>
      </c>
      <c r="R1003" s="265">
        <f t="shared" si="599"/>
        <v>798</v>
      </c>
      <c r="S1003" s="193">
        <f t="shared" si="600"/>
        <v>2394</v>
      </c>
      <c r="T1003" s="230"/>
      <c r="U1003" s="290"/>
      <c r="V1003" s="200"/>
      <c r="W1003" s="232">
        <f t="shared" si="592"/>
        <v>3</v>
      </c>
      <c r="X1003" s="301">
        <v>1488.33</v>
      </c>
      <c r="Y1003" s="199">
        <f t="shared" si="596"/>
        <v>4464.99</v>
      </c>
      <c r="Z1003" s="153"/>
      <c r="AA1003" s="147"/>
      <c r="AB1003" s="101"/>
      <c r="AC1003" s="226">
        <f t="shared" si="593"/>
        <v>3</v>
      </c>
      <c r="AD1003" s="302">
        <f t="shared" si="594"/>
        <v>-690.32999999999993</v>
      </c>
      <c r="AE1003" s="202">
        <f t="shared" si="595"/>
        <v>-2071</v>
      </c>
    </row>
    <row r="1004" spans="2:31" ht="30" hidden="1" customHeight="1" outlineLevel="2" x14ac:dyDescent="0.35">
      <c r="B1004" s="386" t="s">
        <v>1339</v>
      </c>
      <c r="C1004" s="44" t="s">
        <v>26</v>
      </c>
      <c r="D1004" s="234">
        <v>3</v>
      </c>
      <c r="E1004" s="64"/>
      <c r="F1004" s="265">
        <f t="shared" si="597"/>
        <v>1272</v>
      </c>
      <c r="G1004" s="219">
        <v>3814.89</v>
      </c>
      <c r="H1004" s="272"/>
      <c r="I1004" s="236"/>
      <c r="J1004" s="265"/>
      <c r="K1004" s="193"/>
      <c r="L1004" s="272"/>
      <c r="M1004" s="236"/>
      <c r="N1004" s="265"/>
      <c r="O1004" s="193"/>
      <c r="P1004" s="274">
        <v>3.31</v>
      </c>
      <c r="Q1004" s="236">
        <f t="shared" si="598"/>
        <v>3</v>
      </c>
      <c r="R1004" s="265">
        <f t="shared" si="599"/>
        <v>3351</v>
      </c>
      <c r="S1004" s="193">
        <f t="shared" si="600"/>
        <v>10052</v>
      </c>
      <c r="T1004" s="230"/>
      <c r="U1004" s="290"/>
      <c r="V1004" s="200"/>
      <c r="W1004" s="232">
        <f t="shared" si="592"/>
        <v>3</v>
      </c>
      <c r="X1004" s="301">
        <v>4286.66</v>
      </c>
      <c r="Y1004" s="199">
        <f t="shared" si="596"/>
        <v>12859.98</v>
      </c>
      <c r="Z1004" s="153"/>
      <c r="AA1004" s="147"/>
      <c r="AB1004" s="101"/>
      <c r="AC1004" s="226">
        <f t="shared" si="593"/>
        <v>3</v>
      </c>
      <c r="AD1004" s="302">
        <f t="shared" si="594"/>
        <v>-935.65999999999985</v>
      </c>
      <c r="AE1004" s="202">
        <f t="shared" si="595"/>
        <v>-2807</v>
      </c>
    </row>
    <row r="1005" spans="2:31" ht="33.75" hidden="1" customHeight="1" outlineLevel="2" x14ac:dyDescent="0.35">
      <c r="B1005" s="386" t="s">
        <v>689</v>
      </c>
      <c r="C1005" s="44" t="s">
        <v>26</v>
      </c>
      <c r="D1005" s="234">
        <v>3</v>
      </c>
      <c r="E1005" s="64"/>
      <c r="F1005" s="265">
        <f t="shared" si="597"/>
        <v>1164</v>
      </c>
      <c r="G1005" s="219">
        <v>3491.58</v>
      </c>
      <c r="H1005" s="272"/>
      <c r="I1005" s="236"/>
      <c r="J1005" s="265"/>
      <c r="K1005" s="193"/>
      <c r="L1005" s="272"/>
      <c r="M1005" s="236"/>
      <c r="N1005" s="265"/>
      <c r="O1005" s="193"/>
      <c r="P1005" s="274">
        <v>3.31</v>
      </c>
      <c r="Q1005" s="236">
        <f t="shared" si="598"/>
        <v>3</v>
      </c>
      <c r="R1005" s="265">
        <f t="shared" si="599"/>
        <v>3066</v>
      </c>
      <c r="S1005" s="193">
        <f t="shared" si="600"/>
        <v>9198</v>
      </c>
      <c r="T1005" s="230"/>
      <c r="U1005" s="290"/>
      <c r="V1005" s="200"/>
      <c r="W1005" s="232">
        <f t="shared" si="592"/>
        <v>3</v>
      </c>
      <c r="X1005" s="301">
        <v>3727.5</v>
      </c>
      <c r="Y1005" s="199">
        <f t="shared" si="596"/>
        <v>11182.5</v>
      </c>
      <c r="Z1005" s="153"/>
      <c r="AA1005" s="147"/>
      <c r="AB1005" s="101"/>
      <c r="AC1005" s="226">
        <f t="shared" si="593"/>
        <v>3</v>
      </c>
      <c r="AD1005" s="302">
        <f t="shared" si="594"/>
        <v>-661.5</v>
      </c>
      <c r="AE1005" s="202">
        <f t="shared" si="595"/>
        <v>-1985</v>
      </c>
    </row>
    <row r="1006" spans="2:31" ht="18.75" hidden="1" customHeight="1" outlineLevel="2" x14ac:dyDescent="0.35">
      <c r="B1006" s="386" t="s">
        <v>690</v>
      </c>
      <c r="C1006" s="44" t="s">
        <v>40</v>
      </c>
      <c r="D1006" s="234">
        <v>10</v>
      </c>
      <c r="E1006" s="64"/>
      <c r="F1006" s="265">
        <f t="shared" si="597"/>
        <v>194</v>
      </c>
      <c r="G1006" s="219">
        <v>1940.5</v>
      </c>
      <c r="H1006" s="272"/>
      <c r="I1006" s="236"/>
      <c r="J1006" s="265"/>
      <c r="K1006" s="193"/>
      <c r="L1006" s="272"/>
      <c r="M1006" s="236"/>
      <c r="N1006" s="265"/>
      <c r="O1006" s="193"/>
      <c r="P1006" s="274">
        <v>3.31</v>
      </c>
      <c r="Q1006" s="236">
        <f t="shared" si="598"/>
        <v>10</v>
      </c>
      <c r="R1006" s="265">
        <f t="shared" si="599"/>
        <v>511</v>
      </c>
      <c r="S1006" s="193">
        <f t="shared" si="600"/>
        <v>5110</v>
      </c>
      <c r="T1006" s="230"/>
      <c r="U1006" s="290"/>
      <c r="V1006" s="200"/>
      <c r="W1006" s="232">
        <f t="shared" si="592"/>
        <v>10</v>
      </c>
      <c r="X1006" s="301">
        <v>800</v>
      </c>
      <c r="Y1006" s="199">
        <f t="shared" si="596"/>
        <v>8000</v>
      </c>
      <c r="Z1006" s="153"/>
      <c r="AA1006" s="147"/>
      <c r="AB1006" s="101"/>
      <c r="AC1006" s="226">
        <f t="shared" si="593"/>
        <v>10</v>
      </c>
      <c r="AD1006" s="302">
        <f t="shared" si="594"/>
        <v>-289</v>
      </c>
      <c r="AE1006" s="305">
        <f t="shared" si="595"/>
        <v>-2890</v>
      </c>
    </row>
    <row r="1007" spans="2:31" ht="53.25" hidden="1" customHeight="1" outlineLevel="2" x14ac:dyDescent="0.35">
      <c r="B1007" s="386" t="s">
        <v>691</v>
      </c>
      <c r="C1007" s="44" t="s">
        <v>534</v>
      </c>
      <c r="D1007" s="234">
        <v>120</v>
      </c>
      <c r="E1007" s="64"/>
      <c r="F1007" s="265">
        <f t="shared" si="597"/>
        <v>26</v>
      </c>
      <c r="G1007" s="219">
        <v>3085.32</v>
      </c>
      <c r="H1007" s="272"/>
      <c r="I1007" s="236"/>
      <c r="J1007" s="265"/>
      <c r="K1007" s="193"/>
      <c r="L1007" s="272"/>
      <c r="M1007" s="236"/>
      <c r="N1007" s="265"/>
      <c r="O1007" s="193"/>
      <c r="P1007" s="274">
        <v>3.31</v>
      </c>
      <c r="Q1007" s="236">
        <f t="shared" si="598"/>
        <v>120</v>
      </c>
      <c r="R1007" s="265">
        <f t="shared" si="599"/>
        <v>68</v>
      </c>
      <c r="S1007" s="193">
        <f t="shared" si="600"/>
        <v>8218</v>
      </c>
      <c r="T1007" s="230"/>
      <c r="U1007" s="290"/>
      <c r="V1007" s="200"/>
      <c r="W1007" s="232">
        <f>Q1007</f>
        <v>120</v>
      </c>
      <c r="X1007" s="289">
        <v>45.75</v>
      </c>
      <c r="Y1007" s="199">
        <f t="shared" si="596"/>
        <v>5490</v>
      </c>
      <c r="Z1007" s="153"/>
      <c r="AA1007" s="147"/>
      <c r="AB1007" s="101"/>
      <c r="AC1007" s="226">
        <f t="shared" si="593"/>
        <v>120</v>
      </c>
      <c r="AD1007" s="304">
        <f t="shared" si="594"/>
        <v>22.25</v>
      </c>
      <c r="AE1007" s="305">
        <f t="shared" si="595"/>
        <v>2670</v>
      </c>
    </row>
    <row r="1008" spans="2:31" ht="33.75" hidden="1" customHeight="1" outlineLevel="2" x14ac:dyDescent="0.35">
      <c r="B1008" s="386" t="s">
        <v>692</v>
      </c>
      <c r="C1008" s="44" t="s">
        <v>5</v>
      </c>
      <c r="D1008" s="234">
        <v>27</v>
      </c>
      <c r="E1008" s="64" t="s">
        <v>1055</v>
      </c>
      <c r="F1008" s="265">
        <f t="shared" si="597"/>
        <v>53</v>
      </c>
      <c r="G1008" s="219">
        <v>1418.35</v>
      </c>
      <c r="H1008" s="272"/>
      <c r="I1008" s="236"/>
      <c r="J1008" s="265"/>
      <c r="K1008" s="193"/>
      <c r="L1008" s="272"/>
      <c r="M1008" s="236"/>
      <c r="N1008" s="265"/>
      <c r="O1008" s="193"/>
      <c r="P1008" s="274">
        <v>3.31</v>
      </c>
      <c r="Q1008" s="236">
        <f t="shared" si="598"/>
        <v>27</v>
      </c>
      <c r="R1008" s="265">
        <f t="shared" si="599"/>
        <v>140</v>
      </c>
      <c r="S1008" s="193">
        <f t="shared" si="600"/>
        <v>3769</v>
      </c>
      <c r="T1008" s="230"/>
      <c r="U1008" s="290"/>
      <c r="V1008" s="200"/>
      <c r="W1008" s="232">
        <f t="shared" si="592"/>
        <v>27</v>
      </c>
      <c r="X1008" s="289">
        <v>55.56</v>
      </c>
      <c r="Y1008" s="199">
        <f t="shared" si="596"/>
        <v>1500.1200000000001</v>
      </c>
      <c r="Z1008" s="153"/>
      <c r="AA1008" s="147"/>
      <c r="AB1008" s="101"/>
      <c r="AC1008" s="226">
        <f t="shared" si="593"/>
        <v>27</v>
      </c>
      <c r="AD1008" s="304">
        <f t="shared" si="594"/>
        <v>84.44</v>
      </c>
      <c r="AE1008" s="305">
        <f t="shared" si="595"/>
        <v>2280</v>
      </c>
    </row>
    <row r="1009" spans="2:31" ht="18.75" hidden="1" customHeight="1" outlineLevel="2" x14ac:dyDescent="0.35">
      <c r="B1009" s="386" t="s">
        <v>693</v>
      </c>
      <c r="C1009" s="44" t="s">
        <v>28</v>
      </c>
      <c r="D1009" s="234">
        <v>0.8</v>
      </c>
      <c r="E1009" s="64"/>
      <c r="F1009" s="265">
        <f t="shared" si="597"/>
        <v>9654</v>
      </c>
      <c r="G1009" s="219">
        <v>7723.52</v>
      </c>
      <c r="H1009" s="272"/>
      <c r="I1009" s="236"/>
      <c r="J1009" s="265"/>
      <c r="K1009" s="193"/>
      <c r="L1009" s="272"/>
      <c r="M1009" s="236"/>
      <c r="N1009" s="265"/>
      <c r="O1009" s="193"/>
      <c r="P1009" s="274">
        <v>3.31</v>
      </c>
      <c r="Q1009" s="236">
        <f t="shared" si="598"/>
        <v>0.8</v>
      </c>
      <c r="R1009" s="265">
        <f t="shared" si="599"/>
        <v>25430</v>
      </c>
      <c r="S1009" s="193">
        <f t="shared" si="600"/>
        <v>20344</v>
      </c>
      <c r="T1009" s="230"/>
      <c r="U1009" s="290"/>
      <c r="V1009" s="200"/>
      <c r="W1009" s="232">
        <f t="shared" si="592"/>
        <v>0.8</v>
      </c>
      <c r="X1009" s="301">
        <v>135525</v>
      </c>
      <c r="Y1009" s="199">
        <f t="shared" si="596"/>
        <v>108420</v>
      </c>
      <c r="Z1009" s="153"/>
      <c r="AA1009" s="147"/>
      <c r="AB1009" s="101"/>
      <c r="AC1009" s="226">
        <f t="shared" si="593"/>
        <v>0.8</v>
      </c>
      <c r="AD1009" s="302">
        <f t="shared" si="594"/>
        <v>-110095</v>
      </c>
      <c r="AE1009" s="202">
        <f t="shared" si="595"/>
        <v>-88076</v>
      </c>
    </row>
    <row r="1010" spans="2:31" ht="18.75" hidden="1" customHeight="1" outlineLevel="2" x14ac:dyDescent="0.35">
      <c r="B1010" s="386" t="s">
        <v>694</v>
      </c>
      <c r="C1010" s="44" t="s">
        <v>28</v>
      </c>
      <c r="D1010" s="234">
        <v>7.48</v>
      </c>
      <c r="E1010" s="64"/>
      <c r="F1010" s="265">
        <f t="shared" si="597"/>
        <v>2213</v>
      </c>
      <c r="G1010" s="219">
        <v>16551.97</v>
      </c>
      <c r="H1010" s="272"/>
      <c r="I1010" s="236"/>
      <c r="J1010" s="265"/>
      <c r="K1010" s="193"/>
      <c r="L1010" s="272"/>
      <c r="M1010" s="236"/>
      <c r="N1010" s="265"/>
      <c r="O1010" s="193"/>
      <c r="P1010" s="274">
        <v>3.31</v>
      </c>
      <c r="Q1010" s="236">
        <f t="shared" si="598"/>
        <v>7.48</v>
      </c>
      <c r="R1010" s="265">
        <f t="shared" si="599"/>
        <v>5829</v>
      </c>
      <c r="S1010" s="193">
        <f t="shared" si="600"/>
        <v>43603</v>
      </c>
      <c r="T1010" s="230"/>
      <c r="U1010" s="290"/>
      <c r="V1010" s="200"/>
      <c r="W1010" s="232">
        <f t="shared" si="592"/>
        <v>7.48</v>
      </c>
      <c r="X1010" s="301">
        <v>35636</v>
      </c>
      <c r="Y1010" s="199">
        <f t="shared" si="596"/>
        <v>266557.28000000003</v>
      </c>
      <c r="Z1010" s="153"/>
      <c r="AA1010" s="147"/>
      <c r="AB1010" s="101"/>
      <c r="AC1010" s="226">
        <f t="shared" si="593"/>
        <v>7.48</v>
      </c>
      <c r="AD1010" s="302">
        <f t="shared" si="594"/>
        <v>-29807</v>
      </c>
      <c r="AE1010" s="202">
        <f t="shared" si="595"/>
        <v>-222956</v>
      </c>
    </row>
    <row r="1011" spans="2:31" ht="18.75" hidden="1" customHeight="1" outlineLevel="2" x14ac:dyDescent="0.35">
      <c r="B1011" s="386" t="s">
        <v>695</v>
      </c>
      <c r="C1011" s="44" t="s">
        <v>40</v>
      </c>
      <c r="D1011" s="234">
        <v>30.88</v>
      </c>
      <c r="E1011" s="64"/>
      <c r="F1011" s="265">
        <f t="shared" si="597"/>
        <v>91</v>
      </c>
      <c r="G1011" s="219">
        <v>2806.38</v>
      </c>
      <c r="H1011" s="272"/>
      <c r="I1011" s="236"/>
      <c r="J1011" s="265"/>
      <c r="K1011" s="193"/>
      <c r="L1011" s="272"/>
      <c r="M1011" s="236"/>
      <c r="N1011" s="265"/>
      <c r="O1011" s="193"/>
      <c r="P1011" s="274">
        <v>3.31</v>
      </c>
      <c r="Q1011" s="236">
        <f t="shared" si="598"/>
        <v>30.88</v>
      </c>
      <c r="R1011" s="265">
        <f t="shared" si="599"/>
        <v>240</v>
      </c>
      <c r="S1011" s="193">
        <f t="shared" si="600"/>
        <v>7402</v>
      </c>
      <c r="T1011" s="230"/>
      <c r="U1011" s="290"/>
      <c r="V1011" s="200"/>
      <c r="W1011" s="232">
        <f t="shared" si="592"/>
        <v>30.88</v>
      </c>
      <c r="X1011" s="301">
        <v>248</v>
      </c>
      <c r="Y1011" s="199">
        <f t="shared" si="596"/>
        <v>7658.24</v>
      </c>
      <c r="Z1011" s="153"/>
      <c r="AA1011" s="147"/>
      <c r="AB1011" s="101"/>
      <c r="AC1011" s="226">
        <f t="shared" si="593"/>
        <v>30.88</v>
      </c>
      <c r="AD1011" s="302">
        <f t="shared" si="594"/>
        <v>-8</v>
      </c>
      <c r="AE1011" s="202">
        <f t="shared" si="595"/>
        <v>-247</v>
      </c>
    </row>
    <row r="1012" spans="2:31" ht="18.75" hidden="1" customHeight="1" outlineLevel="2" x14ac:dyDescent="0.35">
      <c r="B1012" s="386" t="s">
        <v>696</v>
      </c>
      <c r="C1012" s="44" t="s">
        <v>40</v>
      </c>
      <c r="D1012" s="234">
        <v>6.18</v>
      </c>
      <c r="E1012" s="64"/>
      <c r="F1012" s="265">
        <f t="shared" si="597"/>
        <v>12</v>
      </c>
      <c r="G1012" s="219">
        <v>72.12</v>
      </c>
      <c r="H1012" s="272"/>
      <c r="I1012" s="236"/>
      <c r="J1012" s="265"/>
      <c r="K1012" s="193"/>
      <c r="L1012" s="272"/>
      <c r="M1012" s="236"/>
      <c r="N1012" s="265"/>
      <c r="O1012" s="193"/>
      <c r="P1012" s="274">
        <v>3.31</v>
      </c>
      <c r="Q1012" s="236">
        <f t="shared" si="598"/>
        <v>6.18</v>
      </c>
      <c r="R1012" s="265">
        <f t="shared" si="599"/>
        <v>32</v>
      </c>
      <c r="S1012" s="193">
        <f t="shared" si="600"/>
        <v>195</v>
      </c>
      <c r="T1012" s="230"/>
      <c r="U1012" s="290"/>
      <c r="V1012" s="200"/>
      <c r="W1012" s="232">
        <f t="shared" si="592"/>
        <v>6.18</v>
      </c>
      <c r="X1012" s="301">
        <v>120</v>
      </c>
      <c r="Y1012" s="199">
        <f t="shared" si="596"/>
        <v>741.59999999999991</v>
      </c>
      <c r="Z1012" s="153"/>
      <c r="AA1012" s="147"/>
      <c r="AB1012" s="101"/>
      <c r="AC1012" s="226">
        <f t="shared" si="593"/>
        <v>6.18</v>
      </c>
      <c r="AD1012" s="302">
        <f t="shared" si="594"/>
        <v>-88</v>
      </c>
      <c r="AE1012" s="202">
        <f t="shared" si="595"/>
        <v>-544</v>
      </c>
    </row>
    <row r="1013" spans="2:31" ht="18.75" hidden="1" customHeight="1" outlineLevel="2" x14ac:dyDescent="0.35">
      <c r="B1013" s="386" t="s">
        <v>697</v>
      </c>
      <c r="C1013" s="44" t="s">
        <v>40</v>
      </c>
      <c r="D1013" s="234">
        <v>18</v>
      </c>
      <c r="E1013" s="64"/>
      <c r="F1013" s="265">
        <f t="shared" si="597"/>
        <v>9</v>
      </c>
      <c r="G1013" s="219">
        <v>169.56</v>
      </c>
      <c r="H1013" s="272"/>
      <c r="I1013" s="236"/>
      <c r="J1013" s="265"/>
      <c r="K1013" s="193"/>
      <c r="L1013" s="272"/>
      <c r="M1013" s="236"/>
      <c r="N1013" s="265"/>
      <c r="O1013" s="193"/>
      <c r="P1013" s="274">
        <v>3.31</v>
      </c>
      <c r="Q1013" s="236">
        <f t="shared" si="598"/>
        <v>18</v>
      </c>
      <c r="R1013" s="265">
        <f t="shared" si="599"/>
        <v>24</v>
      </c>
      <c r="S1013" s="193">
        <f t="shared" si="600"/>
        <v>427</v>
      </c>
      <c r="T1013" s="230"/>
      <c r="U1013" s="290"/>
      <c r="V1013" s="200"/>
      <c r="W1013" s="232">
        <f t="shared" si="592"/>
        <v>18</v>
      </c>
      <c r="X1013" s="301">
        <v>128</v>
      </c>
      <c r="Y1013" s="199">
        <f t="shared" si="596"/>
        <v>2304</v>
      </c>
      <c r="Z1013" s="153"/>
      <c r="AA1013" s="147"/>
      <c r="AB1013" s="101"/>
      <c r="AC1013" s="226">
        <f t="shared" si="593"/>
        <v>18</v>
      </c>
      <c r="AD1013" s="302">
        <f t="shared" si="594"/>
        <v>-104</v>
      </c>
      <c r="AE1013" s="202">
        <f t="shared" si="595"/>
        <v>-1872</v>
      </c>
    </row>
    <row r="1014" spans="2:31" ht="18.75" hidden="1" customHeight="1" outlineLevel="2" x14ac:dyDescent="0.35">
      <c r="B1014" s="386" t="s">
        <v>698</v>
      </c>
      <c r="C1014" s="44" t="s">
        <v>40</v>
      </c>
      <c r="D1014" s="234">
        <v>18.724</v>
      </c>
      <c r="E1014" s="64"/>
      <c r="F1014" s="265">
        <f t="shared" si="597"/>
        <v>88</v>
      </c>
      <c r="G1014" s="219">
        <v>1653.14</v>
      </c>
      <c r="H1014" s="272"/>
      <c r="I1014" s="236"/>
      <c r="J1014" s="265"/>
      <c r="K1014" s="193"/>
      <c r="L1014" s="272"/>
      <c r="M1014" s="236"/>
      <c r="N1014" s="265"/>
      <c r="O1014" s="193"/>
      <c r="P1014" s="274">
        <v>3.31</v>
      </c>
      <c r="Q1014" s="236">
        <f t="shared" si="598"/>
        <v>18.724</v>
      </c>
      <c r="R1014" s="265">
        <f t="shared" si="599"/>
        <v>232</v>
      </c>
      <c r="S1014" s="193">
        <f t="shared" si="600"/>
        <v>4340</v>
      </c>
      <c r="T1014" s="230"/>
      <c r="U1014" s="290"/>
      <c r="V1014" s="200"/>
      <c r="W1014" s="232">
        <f t="shared" si="592"/>
        <v>18.724</v>
      </c>
      <c r="X1014" s="301">
        <v>55</v>
      </c>
      <c r="Y1014" s="199">
        <f t="shared" si="596"/>
        <v>1029.82</v>
      </c>
      <c r="Z1014" s="153"/>
      <c r="AA1014" s="147"/>
      <c r="AB1014" s="101"/>
      <c r="AC1014" s="226">
        <f t="shared" si="593"/>
        <v>18.724</v>
      </c>
      <c r="AD1014" s="304">
        <f t="shared" si="594"/>
        <v>177</v>
      </c>
      <c r="AE1014" s="305">
        <f t="shared" si="595"/>
        <v>3314</v>
      </c>
    </row>
    <row r="1015" spans="2:31" ht="18.75" hidden="1" customHeight="1" outlineLevel="2" x14ac:dyDescent="0.35">
      <c r="B1015" s="386" t="s">
        <v>699</v>
      </c>
      <c r="C1015" s="44" t="s">
        <v>40</v>
      </c>
      <c r="D1015" s="234">
        <v>18.579999999999998</v>
      </c>
      <c r="E1015" s="64"/>
      <c r="F1015" s="265">
        <f t="shared" si="597"/>
        <v>63</v>
      </c>
      <c r="G1015" s="219">
        <v>1169.6099999999999</v>
      </c>
      <c r="H1015" s="272"/>
      <c r="I1015" s="236"/>
      <c r="J1015" s="265"/>
      <c r="K1015" s="193"/>
      <c r="L1015" s="272"/>
      <c r="M1015" s="236"/>
      <c r="N1015" s="265"/>
      <c r="O1015" s="193"/>
      <c r="P1015" s="274">
        <v>3.31</v>
      </c>
      <c r="Q1015" s="236">
        <f t="shared" si="598"/>
        <v>18.579999999999998</v>
      </c>
      <c r="R1015" s="265">
        <f t="shared" si="599"/>
        <v>166</v>
      </c>
      <c r="S1015" s="193">
        <f t="shared" si="600"/>
        <v>3083</v>
      </c>
      <c r="T1015" s="230"/>
      <c r="U1015" s="290"/>
      <c r="V1015" s="200"/>
      <c r="W1015" s="232">
        <f t="shared" si="592"/>
        <v>18.579999999999998</v>
      </c>
      <c r="X1015" s="301">
        <v>47.39</v>
      </c>
      <c r="Y1015" s="199">
        <f t="shared" si="596"/>
        <v>880.50619999999992</v>
      </c>
      <c r="Z1015" s="153"/>
      <c r="AA1015" s="147"/>
      <c r="AB1015" s="101"/>
      <c r="AC1015" s="226">
        <f t="shared" si="593"/>
        <v>18.579999999999998</v>
      </c>
      <c r="AD1015" s="304">
        <f t="shared" si="594"/>
        <v>118.61</v>
      </c>
      <c r="AE1015" s="305">
        <f t="shared" si="595"/>
        <v>2204</v>
      </c>
    </row>
    <row r="1016" spans="2:31" ht="18.75" hidden="1" customHeight="1" outlineLevel="2" x14ac:dyDescent="0.35">
      <c r="B1016" s="386" t="s">
        <v>700</v>
      </c>
      <c r="C1016" s="44" t="s">
        <v>28</v>
      </c>
      <c r="D1016" s="234">
        <v>0.19700000000000001</v>
      </c>
      <c r="E1016" s="64"/>
      <c r="F1016" s="265">
        <f t="shared" si="597"/>
        <v>15164</v>
      </c>
      <c r="G1016" s="219">
        <v>2987.35</v>
      </c>
      <c r="H1016" s="272"/>
      <c r="I1016" s="236"/>
      <c r="J1016" s="265"/>
      <c r="K1016" s="193"/>
      <c r="L1016" s="272"/>
      <c r="M1016" s="236"/>
      <c r="N1016" s="265"/>
      <c r="O1016" s="193"/>
      <c r="P1016" s="274">
        <v>3.31</v>
      </c>
      <c r="Q1016" s="236">
        <f t="shared" si="598"/>
        <v>0.19700000000000001</v>
      </c>
      <c r="R1016" s="265">
        <f t="shared" si="599"/>
        <v>39943</v>
      </c>
      <c r="S1016" s="193">
        <f t="shared" si="600"/>
        <v>7869</v>
      </c>
      <c r="T1016" s="230"/>
      <c r="U1016" s="290"/>
      <c r="V1016" s="200"/>
      <c r="W1016" s="232">
        <f t="shared" si="592"/>
        <v>0.19700000000000001</v>
      </c>
      <c r="X1016" s="301">
        <v>71667</v>
      </c>
      <c r="Y1016" s="199">
        <f t="shared" si="596"/>
        <v>14118.399000000001</v>
      </c>
      <c r="Z1016" s="153"/>
      <c r="AA1016" s="147"/>
      <c r="AB1016" s="101"/>
      <c r="AC1016" s="226">
        <f t="shared" si="593"/>
        <v>0.19700000000000001</v>
      </c>
      <c r="AD1016" s="302">
        <f t="shared" si="594"/>
        <v>-31724</v>
      </c>
      <c r="AE1016" s="202">
        <f t="shared" si="595"/>
        <v>-6250</v>
      </c>
    </row>
    <row r="1017" spans="2:31" ht="18.75" hidden="1" customHeight="1" outlineLevel="2" x14ac:dyDescent="0.35">
      <c r="B1017" s="386" t="s">
        <v>701</v>
      </c>
      <c r="C1017" s="44" t="s">
        <v>28</v>
      </c>
      <c r="D1017" s="234">
        <v>1.2E-2</v>
      </c>
      <c r="E1017" s="64"/>
      <c r="F1017" s="265">
        <f t="shared" si="597"/>
        <v>6064</v>
      </c>
      <c r="G1017" s="219">
        <v>72.77</v>
      </c>
      <c r="H1017" s="272"/>
      <c r="I1017" s="236"/>
      <c r="J1017" s="265"/>
      <c r="K1017" s="193"/>
      <c r="L1017" s="272"/>
      <c r="M1017" s="236"/>
      <c r="N1017" s="265"/>
      <c r="O1017" s="193"/>
      <c r="P1017" s="274">
        <v>3.31</v>
      </c>
      <c r="Q1017" s="236">
        <f t="shared" si="598"/>
        <v>1.2E-2</v>
      </c>
      <c r="R1017" s="265">
        <f t="shared" si="599"/>
        <v>15973</v>
      </c>
      <c r="S1017" s="193">
        <f t="shared" si="600"/>
        <v>192</v>
      </c>
      <c r="T1017" s="230"/>
      <c r="U1017" s="290"/>
      <c r="V1017" s="200"/>
      <c r="W1017" s="232">
        <f t="shared" si="592"/>
        <v>1.2E-2</v>
      </c>
      <c r="X1017" s="301">
        <v>71550</v>
      </c>
      <c r="Y1017" s="199">
        <f t="shared" si="596"/>
        <v>858.6</v>
      </c>
      <c r="Z1017" s="153"/>
      <c r="AA1017" s="147"/>
      <c r="AB1017" s="101"/>
      <c r="AC1017" s="226">
        <f t="shared" si="593"/>
        <v>1.2E-2</v>
      </c>
      <c r="AD1017" s="302">
        <f t="shared" si="594"/>
        <v>-55577</v>
      </c>
      <c r="AE1017" s="202">
        <f t="shared" si="595"/>
        <v>-667</v>
      </c>
    </row>
    <row r="1018" spans="2:31" ht="18.75" hidden="1" customHeight="1" outlineLevel="2" x14ac:dyDescent="0.35">
      <c r="B1018" s="386" t="s">
        <v>702</v>
      </c>
      <c r="C1018" s="44" t="s">
        <v>28</v>
      </c>
      <c r="D1018" s="234">
        <v>6.2E-2</v>
      </c>
      <c r="E1018" s="64"/>
      <c r="F1018" s="265">
        <f t="shared" si="597"/>
        <v>4797</v>
      </c>
      <c r="G1018" s="219">
        <v>297.39999999999998</v>
      </c>
      <c r="H1018" s="272"/>
      <c r="I1018" s="236"/>
      <c r="J1018" s="265"/>
      <c r="K1018" s="193"/>
      <c r="L1018" s="272"/>
      <c r="M1018" s="236"/>
      <c r="N1018" s="265"/>
      <c r="O1018" s="193"/>
      <c r="P1018" s="274">
        <v>3.31</v>
      </c>
      <c r="Q1018" s="236">
        <f t="shared" si="598"/>
        <v>6.2E-2</v>
      </c>
      <c r="R1018" s="265">
        <f t="shared" si="599"/>
        <v>12636</v>
      </c>
      <c r="S1018" s="193">
        <f t="shared" si="600"/>
        <v>783</v>
      </c>
      <c r="T1018" s="230"/>
      <c r="U1018" s="290"/>
      <c r="V1018" s="200"/>
      <c r="W1018" s="232">
        <f t="shared" si="592"/>
        <v>6.2E-2</v>
      </c>
      <c r="X1018" s="301">
        <v>39575</v>
      </c>
      <c r="Y1018" s="199">
        <f t="shared" si="596"/>
        <v>2453.65</v>
      </c>
      <c r="Z1018" s="153"/>
      <c r="AA1018" s="147"/>
      <c r="AB1018" s="101"/>
      <c r="AC1018" s="226">
        <f t="shared" si="593"/>
        <v>6.2E-2</v>
      </c>
      <c r="AD1018" s="302">
        <f t="shared" si="594"/>
        <v>-26939</v>
      </c>
      <c r="AE1018" s="202">
        <f t="shared" si="595"/>
        <v>-1670</v>
      </c>
    </row>
    <row r="1019" spans="2:31" ht="18.75" hidden="1" customHeight="1" outlineLevel="2" x14ac:dyDescent="0.35">
      <c r="B1019" s="386" t="s">
        <v>629</v>
      </c>
      <c r="C1019" s="44" t="s">
        <v>28</v>
      </c>
      <c r="D1019" s="234">
        <v>0.11</v>
      </c>
      <c r="E1019" s="64"/>
      <c r="F1019" s="265">
        <f t="shared" si="597"/>
        <v>5501</v>
      </c>
      <c r="G1019" s="219">
        <v>605.11</v>
      </c>
      <c r="H1019" s="272"/>
      <c r="I1019" s="236"/>
      <c r="J1019" s="265"/>
      <c r="K1019" s="193"/>
      <c r="L1019" s="272"/>
      <c r="M1019" s="236"/>
      <c r="N1019" s="265"/>
      <c r="O1019" s="193"/>
      <c r="P1019" s="274">
        <v>3.31</v>
      </c>
      <c r="Q1019" s="236">
        <f t="shared" si="598"/>
        <v>0.11</v>
      </c>
      <c r="R1019" s="265">
        <f t="shared" si="599"/>
        <v>14490</v>
      </c>
      <c r="S1019" s="193">
        <f t="shared" si="600"/>
        <v>1594</v>
      </c>
      <c r="T1019" s="230"/>
      <c r="U1019" s="290"/>
      <c r="V1019" s="200"/>
      <c r="W1019" s="232">
        <f t="shared" si="592"/>
        <v>0.11</v>
      </c>
      <c r="X1019" s="301">
        <v>37400</v>
      </c>
      <c r="Y1019" s="199">
        <f t="shared" si="596"/>
        <v>4114</v>
      </c>
      <c r="Z1019" s="153"/>
      <c r="AA1019" s="147"/>
      <c r="AB1019" s="101"/>
      <c r="AC1019" s="226">
        <f t="shared" si="593"/>
        <v>0.11</v>
      </c>
      <c r="AD1019" s="302">
        <f t="shared" si="594"/>
        <v>-22910</v>
      </c>
      <c r="AE1019" s="202">
        <f t="shared" si="595"/>
        <v>-2520</v>
      </c>
    </row>
    <row r="1020" spans="2:31" ht="18.75" hidden="1" customHeight="1" outlineLevel="2" x14ac:dyDescent="0.35">
      <c r="B1020" s="386" t="s">
        <v>703</v>
      </c>
      <c r="C1020" s="44" t="s">
        <v>40</v>
      </c>
      <c r="D1020" s="234">
        <v>11</v>
      </c>
      <c r="E1020" s="64"/>
      <c r="F1020" s="265">
        <f t="shared" si="597"/>
        <v>1519</v>
      </c>
      <c r="G1020" s="219">
        <v>16708.89</v>
      </c>
      <c r="H1020" s="272"/>
      <c r="I1020" s="236"/>
      <c r="J1020" s="265"/>
      <c r="K1020" s="193"/>
      <c r="L1020" s="272"/>
      <c r="M1020" s="236"/>
      <c r="N1020" s="265"/>
      <c r="O1020" s="193"/>
      <c r="P1020" s="274">
        <v>3.31</v>
      </c>
      <c r="Q1020" s="236">
        <f t="shared" si="598"/>
        <v>11</v>
      </c>
      <c r="R1020" s="265">
        <f t="shared" si="599"/>
        <v>4001</v>
      </c>
      <c r="S1020" s="193">
        <f t="shared" si="600"/>
        <v>44013</v>
      </c>
      <c r="T1020" s="230"/>
      <c r="U1020" s="290"/>
      <c r="V1020" s="200"/>
      <c r="W1020" s="232">
        <f t="shared" si="592"/>
        <v>11</v>
      </c>
      <c r="X1020" s="301">
        <v>15000</v>
      </c>
      <c r="Y1020" s="199">
        <f t="shared" si="596"/>
        <v>165000</v>
      </c>
      <c r="Z1020" s="153"/>
      <c r="AA1020" s="147"/>
      <c r="AB1020" s="101"/>
      <c r="AC1020" s="226">
        <f t="shared" si="593"/>
        <v>11</v>
      </c>
      <c r="AD1020" s="302">
        <f t="shared" si="594"/>
        <v>-10999</v>
      </c>
      <c r="AE1020" s="202">
        <f t="shared" si="595"/>
        <v>-120989</v>
      </c>
    </row>
    <row r="1021" spans="2:31" ht="18.75" hidden="1" customHeight="1" outlineLevel="2" x14ac:dyDescent="0.35">
      <c r="B1021" s="386" t="s">
        <v>704</v>
      </c>
      <c r="C1021" s="44" t="s">
        <v>26</v>
      </c>
      <c r="D1021" s="234">
        <v>6</v>
      </c>
      <c r="E1021" s="64"/>
      <c r="F1021" s="265">
        <f t="shared" si="597"/>
        <v>136</v>
      </c>
      <c r="G1021" s="219">
        <v>815.28</v>
      </c>
      <c r="H1021" s="272"/>
      <c r="I1021" s="236"/>
      <c r="J1021" s="265"/>
      <c r="K1021" s="193"/>
      <c r="L1021" s="272"/>
      <c r="M1021" s="236"/>
      <c r="N1021" s="265"/>
      <c r="O1021" s="193"/>
      <c r="P1021" s="274">
        <v>3.31</v>
      </c>
      <c r="Q1021" s="236">
        <f t="shared" si="598"/>
        <v>6</v>
      </c>
      <c r="R1021" s="265">
        <f t="shared" si="599"/>
        <v>358</v>
      </c>
      <c r="S1021" s="193">
        <f t="shared" si="600"/>
        <v>2149</v>
      </c>
      <c r="T1021" s="230"/>
      <c r="U1021" s="290"/>
      <c r="V1021" s="200"/>
      <c r="W1021" s="232">
        <f t="shared" si="592"/>
        <v>6</v>
      </c>
      <c r="X1021" s="301">
        <v>1050</v>
      </c>
      <c r="Y1021" s="199">
        <f t="shared" si="596"/>
        <v>6300</v>
      </c>
      <c r="Z1021" s="153"/>
      <c r="AA1021" s="147"/>
      <c r="AB1021" s="101"/>
      <c r="AC1021" s="226">
        <f t="shared" si="593"/>
        <v>6</v>
      </c>
      <c r="AD1021" s="302">
        <f t="shared" si="594"/>
        <v>-692</v>
      </c>
      <c r="AE1021" s="202">
        <f t="shared" si="595"/>
        <v>-4152</v>
      </c>
    </row>
    <row r="1022" spans="2:31" ht="18.75" hidden="1" customHeight="1" outlineLevel="2" x14ac:dyDescent="0.35">
      <c r="B1022" s="386" t="s">
        <v>705</v>
      </c>
      <c r="C1022" s="44" t="s">
        <v>5</v>
      </c>
      <c r="D1022" s="234">
        <v>120</v>
      </c>
      <c r="E1022" s="64"/>
      <c r="F1022" s="265">
        <f t="shared" si="597"/>
        <v>342</v>
      </c>
      <c r="G1022" s="219">
        <v>41083</v>
      </c>
      <c r="H1022" s="272"/>
      <c r="I1022" s="236"/>
      <c r="J1022" s="265"/>
      <c r="K1022" s="193"/>
      <c r="L1022" s="272"/>
      <c r="M1022" s="236"/>
      <c r="N1022" s="265"/>
      <c r="O1022" s="193"/>
      <c r="P1022" s="274">
        <v>4.5</v>
      </c>
      <c r="Q1022" s="236">
        <f t="shared" si="598"/>
        <v>120</v>
      </c>
      <c r="R1022" s="265">
        <f t="shared" si="599"/>
        <v>1225</v>
      </c>
      <c r="S1022" s="193">
        <f t="shared" si="600"/>
        <v>146968</v>
      </c>
      <c r="T1022" s="230"/>
      <c r="U1022" s="290"/>
      <c r="V1022" s="200"/>
      <c r="W1022" s="232">
        <f t="shared" si="592"/>
        <v>120</v>
      </c>
      <c r="X1022" s="301">
        <v>1310</v>
      </c>
      <c r="Y1022" s="199">
        <f t="shared" si="596"/>
        <v>157200</v>
      </c>
      <c r="Z1022" s="153"/>
      <c r="AA1022" s="147"/>
      <c r="AB1022" s="101"/>
      <c r="AC1022" s="226">
        <f t="shared" si="593"/>
        <v>120</v>
      </c>
      <c r="AD1022" s="302">
        <f t="shared" si="594"/>
        <v>-85</v>
      </c>
      <c r="AE1022" s="202">
        <f t="shared" si="595"/>
        <v>-10200</v>
      </c>
    </row>
    <row r="1023" spans="2:31" ht="18.75" hidden="1" customHeight="1" outlineLevel="2" x14ac:dyDescent="0.35">
      <c r="B1023" s="386" t="s">
        <v>706</v>
      </c>
      <c r="C1023" s="44" t="s">
        <v>5</v>
      </c>
      <c r="D1023" s="234">
        <v>36.72</v>
      </c>
      <c r="E1023" s="64"/>
      <c r="F1023" s="265">
        <f t="shared" si="597"/>
        <v>15</v>
      </c>
      <c r="G1023" s="219">
        <v>537.21</v>
      </c>
      <c r="H1023" s="272"/>
      <c r="I1023" s="236"/>
      <c r="J1023" s="265"/>
      <c r="K1023" s="193"/>
      <c r="L1023" s="272"/>
      <c r="M1023" s="236"/>
      <c r="N1023" s="265"/>
      <c r="O1023" s="193"/>
      <c r="P1023" s="274">
        <v>3.31</v>
      </c>
      <c r="Q1023" s="236">
        <f t="shared" si="598"/>
        <v>36.72</v>
      </c>
      <c r="R1023" s="265">
        <f t="shared" si="599"/>
        <v>40</v>
      </c>
      <c r="S1023" s="193">
        <f t="shared" si="600"/>
        <v>1451</v>
      </c>
      <c r="T1023" s="230"/>
      <c r="U1023" s="290"/>
      <c r="V1023" s="200"/>
      <c r="W1023" s="232">
        <f t="shared" si="592"/>
        <v>36.72</v>
      </c>
      <c r="X1023" s="301">
        <v>428.98</v>
      </c>
      <c r="Y1023" s="199">
        <f t="shared" si="596"/>
        <v>15752.1456</v>
      </c>
      <c r="Z1023" s="153"/>
      <c r="AA1023" s="147"/>
      <c r="AB1023" s="101"/>
      <c r="AC1023" s="226">
        <f t="shared" si="593"/>
        <v>36.72</v>
      </c>
      <c r="AD1023" s="302">
        <f t="shared" si="594"/>
        <v>-388.98</v>
      </c>
      <c r="AE1023" s="202">
        <f t="shared" si="595"/>
        <v>-14283</v>
      </c>
    </row>
    <row r="1024" spans="2:31" ht="18.75" hidden="1" customHeight="1" outlineLevel="2" x14ac:dyDescent="0.35">
      <c r="B1024" s="386" t="s">
        <v>707</v>
      </c>
      <c r="C1024" s="44" t="s">
        <v>40</v>
      </c>
      <c r="D1024" s="234">
        <v>6.18</v>
      </c>
      <c r="E1024" s="64"/>
      <c r="F1024" s="265">
        <f t="shared" si="597"/>
        <v>269</v>
      </c>
      <c r="G1024" s="219">
        <v>1662.42</v>
      </c>
      <c r="H1024" s="272"/>
      <c r="I1024" s="236"/>
      <c r="J1024" s="265"/>
      <c r="K1024" s="193"/>
      <c r="L1024" s="272"/>
      <c r="M1024" s="236"/>
      <c r="N1024" s="265"/>
      <c r="O1024" s="193"/>
      <c r="P1024" s="274">
        <v>3.31</v>
      </c>
      <c r="Q1024" s="236">
        <f t="shared" si="598"/>
        <v>6.18</v>
      </c>
      <c r="R1024" s="265">
        <f t="shared" si="599"/>
        <v>709</v>
      </c>
      <c r="S1024" s="193">
        <f t="shared" si="600"/>
        <v>4379</v>
      </c>
      <c r="T1024" s="230"/>
      <c r="U1024" s="290"/>
      <c r="V1024" s="200"/>
      <c r="W1024" s="232">
        <f t="shared" si="592"/>
        <v>6.18</v>
      </c>
      <c r="X1024" s="301">
        <v>644</v>
      </c>
      <c r="Y1024" s="199">
        <f t="shared" si="596"/>
        <v>3979.9199999999996</v>
      </c>
      <c r="Z1024" s="153"/>
      <c r="AA1024" s="147"/>
      <c r="AB1024" s="101"/>
      <c r="AC1024" s="226">
        <f t="shared" si="593"/>
        <v>6.18</v>
      </c>
      <c r="AD1024" s="304">
        <f t="shared" si="594"/>
        <v>65</v>
      </c>
      <c r="AE1024" s="305">
        <f t="shared" si="595"/>
        <v>402</v>
      </c>
    </row>
    <row r="1025" spans="1:32" ht="18.75" hidden="1" customHeight="1" outlineLevel="2" x14ac:dyDescent="0.35">
      <c r="B1025" s="386" t="s">
        <v>708</v>
      </c>
      <c r="C1025" s="44" t="s">
        <v>40</v>
      </c>
      <c r="D1025" s="234">
        <v>42.45</v>
      </c>
      <c r="E1025" s="64"/>
      <c r="F1025" s="265">
        <f t="shared" si="597"/>
        <v>135</v>
      </c>
      <c r="G1025" s="219">
        <v>5742.22</v>
      </c>
      <c r="H1025" s="272"/>
      <c r="I1025" s="236"/>
      <c r="J1025" s="265"/>
      <c r="K1025" s="193"/>
      <c r="L1025" s="272"/>
      <c r="M1025" s="236"/>
      <c r="N1025" s="265"/>
      <c r="O1025" s="193"/>
      <c r="P1025" s="274">
        <v>3.31</v>
      </c>
      <c r="Q1025" s="236">
        <f t="shared" si="598"/>
        <v>42.45</v>
      </c>
      <c r="R1025" s="265">
        <f t="shared" si="599"/>
        <v>356</v>
      </c>
      <c r="S1025" s="193">
        <f t="shared" si="600"/>
        <v>15095</v>
      </c>
      <c r="T1025" s="230"/>
      <c r="U1025" s="290"/>
      <c r="V1025" s="200"/>
      <c r="W1025" s="232">
        <f t="shared" si="592"/>
        <v>42.45</v>
      </c>
      <c r="X1025" s="301">
        <v>1071</v>
      </c>
      <c r="Y1025" s="199">
        <f t="shared" si="596"/>
        <v>45463.950000000004</v>
      </c>
      <c r="Z1025" s="153"/>
      <c r="AA1025" s="147"/>
      <c r="AB1025" s="101"/>
      <c r="AC1025" s="226">
        <f t="shared" si="593"/>
        <v>42.45</v>
      </c>
      <c r="AD1025" s="302">
        <f t="shared" si="594"/>
        <v>-715</v>
      </c>
      <c r="AE1025" s="202">
        <f t="shared" si="595"/>
        <v>-30352</v>
      </c>
    </row>
    <row r="1026" spans="1:32" ht="18.75" hidden="1" customHeight="1" outlineLevel="2" x14ac:dyDescent="0.35">
      <c r="B1026" s="386" t="s">
        <v>709</v>
      </c>
      <c r="C1026" s="44" t="s">
        <v>40</v>
      </c>
      <c r="D1026" s="234">
        <v>6.18</v>
      </c>
      <c r="E1026" s="64"/>
      <c r="F1026" s="265">
        <f t="shared" si="597"/>
        <v>49</v>
      </c>
      <c r="G1026" s="219">
        <v>303.5</v>
      </c>
      <c r="H1026" s="272"/>
      <c r="I1026" s="236"/>
      <c r="J1026" s="265"/>
      <c r="K1026" s="193"/>
      <c r="L1026" s="272"/>
      <c r="M1026" s="236"/>
      <c r="N1026" s="265"/>
      <c r="O1026" s="193"/>
      <c r="P1026" s="274">
        <v>3.31</v>
      </c>
      <c r="Q1026" s="236">
        <f t="shared" si="598"/>
        <v>6.18</v>
      </c>
      <c r="R1026" s="265">
        <f t="shared" si="599"/>
        <v>129</v>
      </c>
      <c r="S1026" s="193">
        <f t="shared" si="600"/>
        <v>798</v>
      </c>
      <c r="T1026" s="230"/>
      <c r="U1026" s="290"/>
      <c r="V1026" s="200"/>
      <c r="W1026" s="232">
        <f t="shared" si="592"/>
        <v>6.18</v>
      </c>
      <c r="X1026" s="301">
        <v>416</v>
      </c>
      <c r="Y1026" s="199">
        <f t="shared" si="596"/>
        <v>2570.88</v>
      </c>
      <c r="Z1026" s="153"/>
      <c r="AA1026" s="147"/>
      <c r="AB1026" s="101"/>
      <c r="AC1026" s="226">
        <f t="shared" si="593"/>
        <v>6.18</v>
      </c>
      <c r="AD1026" s="302">
        <f t="shared" si="594"/>
        <v>-287</v>
      </c>
      <c r="AE1026" s="202">
        <f t="shared" si="595"/>
        <v>-1774</v>
      </c>
    </row>
    <row r="1027" spans="1:32" ht="18.75" hidden="1" customHeight="1" outlineLevel="2" x14ac:dyDescent="0.35">
      <c r="B1027" s="386" t="s">
        <v>710</v>
      </c>
      <c r="C1027" s="44" t="s">
        <v>40</v>
      </c>
      <c r="D1027" s="234">
        <v>6</v>
      </c>
      <c r="E1027" s="64"/>
      <c r="F1027" s="265">
        <f t="shared" si="597"/>
        <v>30</v>
      </c>
      <c r="G1027" s="219">
        <v>181.62</v>
      </c>
      <c r="H1027" s="272"/>
      <c r="I1027" s="236"/>
      <c r="J1027" s="265"/>
      <c r="K1027" s="193"/>
      <c r="L1027" s="272"/>
      <c r="M1027" s="236"/>
      <c r="N1027" s="265"/>
      <c r="O1027" s="193"/>
      <c r="P1027" s="274">
        <v>3.31</v>
      </c>
      <c r="Q1027" s="236">
        <f t="shared" si="598"/>
        <v>6</v>
      </c>
      <c r="R1027" s="265">
        <f t="shared" si="599"/>
        <v>79</v>
      </c>
      <c r="S1027" s="193">
        <f t="shared" si="600"/>
        <v>474</v>
      </c>
      <c r="T1027" s="230"/>
      <c r="U1027" s="290"/>
      <c r="V1027" s="200"/>
      <c r="W1027" s="232">
        <f t="shared" si="592"/>
        <v>6</v>
      </c>
      <c r="X1027" s="301">
        <v>120</v>
      </c>
      <c r="Y1027" s="199">
        <f t="shared" si="596"/>
        <v>720</v>
      </c>
      <c r="Z1027" s="153"/>
      <c r="AA1027" s="147"/>
      <c r="AB1027" s="101"/>
      <c r="AC1027" s="226">
        <f t="shared" si="593"/>
        <v>6</v>
      </c>
      <c r="AD1027" s="302">
        <f t="shared" si="594"/>
        <v>-41</v>
      </c>
      <c r="AE1027" s="202">
        <f t="shared" si="595"/>
        <v>-246</v>
      </c>
    </row>
    <row r="1028" spans="1:32" ht="18.75" hidden="1" customHeight="1" outlineLevel="2" x14ac:dyDescent="0.35">
      <c r="B1028" s="386" t="s">
        <v>711</v>
      </c>
      <c r="C1028" s="44" t="s">
        <v>40</v>
      </c>
      <c r="D1028" s="234">
        <v>24.8</v>
      </c>
      <c r="E1028" s="64"/>
      <c r="F1028" s="265">
        <f t="shared" si="597"/>
        <v>104</v>
      </c>
      <c r="G1028" s="219">
        <v>2571.2600000000002</v>
      </c>
      <c r="H1028" s="272"/>
      <c r="I1028" s="236"/>
      <c r="J1028" s="265"/>
      <c r="K1028" s="193"/>
      <c r="L1028" s="272"/>
      <c r="M1028" s="236"/>
      <c r="N1028" s="265"/>
      <c r="O1028" s="193"/>
      <c r="P1028" s="274">
        <v>3.31</v>
      </c>
      <c r="Q1028" s="236">
        <f t="shared" si="598"/>
        <v>24.8</v>
      </c>
      <c r="R1028" s="265">
        <f t="shared" si="599"/>
        <v>274</v>
      </c>
      <c r="S1028" s="193">
        <f t="shared" si="600"/>
        <v>6794</v>
      </c>
      <c r="T1028" s="230"/>
      <c r="U1028" s="290"/>
      <c r="V1028" s="200"/>
      <c r="W1028" s="232">
        <f t="shared" si="592"/>
        <v>24.8</v>
      </c>
      <c r="X1028" s="301">
        <v>1145</v>
      </c>
      <c r="Y1028" s="199">
        <f t="shared" si="596"/>
        <v>28396</v>
      </c>
      <c r="Z1028" s="153"/>
      <c r="AA1028" s="147"/>
      <c r="AB1028" s="101"/>
      <c r="AC1028" s="226">
        <f t="shared" si="593"/>
        <v>24.8</v>
      </c>
      <c r="AD1028" s="302">
        <f t="shared" si="594"/>
        <v>-871</v>
      </c>
      <c r="AE1028" s="202">
        <f t="shared" si="595"/>
        <v>-21601</v>
      </c>
    </row>
    <row r="1029" spans="1:32" ht="18.75" hidden="1" customHeight="1" outlineLevel="2" x14ac:dyDescent="0.35">
      <c r="B1029" s="386" t="s">
        <v>712</v>
      </c>
      <c r="C1029" s="44" t="s">
        <v>40</v>
      </c>
      <c r="D1029" s="234">
        <v>18.579999999999998</v>
      </c>
      <c r="E1029" s="64"/>
      <c r="F1029" s="265">
        <f t="shared" si="597"/>
        <v>88</v>
      </c>
      <c r="G1029" s="219">
        <v>1635.6</v>
      </c>
      <c r="H1029" s="272"/>
      <c r="I1029" s="236"/>
      <c r="J1029" s="265"/>
      <c r="K1029" s="193"/>
      <c r="L1029" s="272"/>
      <c r="M1029" s="236"/>
      <c r="N1029" s="265"/>
      <c r="O1029" s="193"/>
      <c r="P1029" s="274">
        <v>3.31</v>
      </c>
      <c r="Q1029" s="236">
        <f t="shared" si="598"/>
        <v>18.579999999999998</v>
      </c>
      <c r="R1029" s="265">
        <f t="shared" si="599"/>
        <v>232</v>
      </c>
      <c r="S1029" s="193">
        <f t="shared" si="600"/>
        <v>4307</v>
      </c>
      <c r="T1029" s="230"/>
      <c r="U1029" s="290"/>
      <c r="V1029" s="200"/>
      <c r="W1029" s="232">
        <f t="shared" si="592"/>
        <v>18.579999999999998</v>
      </c>
      <c r="X1029" s="301">
        <v>938</v>
      </c>
      <c r="Y1029" s="199">
        <f t="shared" si="596"/>
        <v>17428.039999999997</v>
      </c>
      <c r="Z1029" s="153"/>
      <c r="AA1029" s="147"/>
      <c r="AB1029" s="101"/>
      <c r="AC1029" s="226">
        <f t="shared" si="593"/>
        <v>18.579999999999998</v>
      </c>
      <c r="AD1029" s="302">
        <f t="shared" si="594"/>
        <v>-706</v>
      </c>
      <c r="AE1029" s="202">
        <f t="shared" si="595"/>
        <v>-13117</v>
      </c>
    </row>
    <row r="1030" spans="1:32" ht="18.75" hidden="1" customHeight="1" outlineLevel="2" x14ac:dyDescent="0.35">
      <c r="B1030" s="386" t="s">
        <v>713</v>
      </c>
      <c r="C1030" s="44" t="s">
        <v>40</v>
      </c>
      <c r="D1030" s="234">
        <v>18.579999999999998</v>
      </c>
      <c r="E1030" s="64"/>
      <c r="F1030" s="265">
        <f t="shared" si="597"/>
        <v>120</v>
      </c>
      <c r="G1030" s="219">
        <v>2232.21</v>
      </c>
      <c r="H1030" s="272"/>
      <c r="I1030" s="236"/>
      <c r="J1030" s="265"/>
      <c r="K1030" s="193"/>
      <c r="L1030" s="272"/>
      <c r="M1030" s="236"/>
      <c r="N1030" s="265"/>
      <c r="O1030" s="193"/>
      <c r="P1030" s="274">
        <v>3.31</v>
      </c>
      <c r="Q1030" s="236">
        <f t="shared" si="598"/>
        <v>18.579999999999998</v>
      </c>
      <c r="R1030" s="265">
        <f t="shared" si="599"/>
        <v>316</v>
      </c>
      <c r="S1030" s="193">
        <f t="shared" si="600"/>
        <v>5873</v>
      </c>
      <c r="T1030" s="230"/>
      <c r="U1030" s="290"/>
      <c r="V1030" s="200"/>
      <c r="W1030" s="232">
        <f t="shared" si="592"/>
        <v>18.579999999999998</v>
      </c>
      <c r="X1030" s="301">
        <v>938</v>
      </c>
      <c r="Y1030" s="199">
        <f t="shared" si="596"/>
        <v>17428.039999999997</v>
      </c>
      <c r="Z1030" s="153"/>
      <c r="AA1030" s="147"/>
      <c r="AB1030" s="101"/>
      <c r="AC1030" s="226">
        <f t="shared" si="593"/>
        <v>18.579999999999998</v>
      </c>
      <c r="AD1030" s="302">
        <f t="shared" si="594"/>
        <v>-622</v>
      </c>
      <c r="AE1030" s="202">
        <f t="shared" si="595"/>
        <v>-11557</v>
      </c>
    </row>
    <row r="1031" spans="1:32" ht="18.75" hidden="1" customHeight="1" outlineLevel="2" x14ac:dyDescent="0.35">
      <c r="B1031" s="386" t="s">
        <v>714</v>
      </c>
      <c r="C1031" s="44" t="s">
        <v>40</v>
      </c>
      <c r="D1031" s="234">
        <v>30</v>
      </c>
      <c r="E1031" s="64"/>
      <c r="F1031" s="265">
        <f t="shared" si="597"/>
        <v>21</v>
      </c>
      <c r="G1031" s="219">
        <v>631.20000000000005</v>
      </c>
      <c r="H1031" s="272"/>
      <c r="I1031" s="236"/>
      <c r="J1031" s="265"/>
      <c r="K1031" s="193"/>
      <c r="L1031" s="272"/>
      <c r="M1031" s="236"/>
      <c r="N1031" s="265"/>
      <c r="O1031" s="193"/>
      <c r="P1031" s="274">
        <v>3.31</v>
      </c>
      <c r="Q1031" s="236">
        <f t="shared" si="598"/>
        <v>30</v>
      </c>
      <c r="R1031" s="265">
        <f t="shared" si="599"/>
        <v>55</v>
      </c>
      <c r="S1031" s="193">
        <f t="shared" si="600"/>
        <v>1659</v>
      </c>
      <c r="T1031" s="230"/>
      <c r="U1031" s="290"/>
      <c r="V1031" s="200"/>
      <c r="W1031" s="232">
        <f>Q1031</f>
        <v>30</v>
      </c>
      <c r="X1031" s="301">
        <v>210</v>
      </c>
      <c r="Y1031" s="199">
        <f t="shared" si="596"/>
        <v>6300</v>
      </c>
      <c r="Z1031" s="153"/>
      <c r="AA1031" s="147"/>
      <c r="AB1031" s="101"/>
      <c r="AC1031" s="226">
        <f t="shared" ref="AC1031:AC1032" si="601">W1031</f>
        <v>30</v>
      </c>
      <c r="AD1031" s="302">
        <f t="shared" ref="AD1031:AD1032" si="602">R1031-X1031</f>
        <v>-155</v>
      </c>
      <c r="AE1031" s="202">
        <f t="shared" ref="AE1031:AE1032" si="603">ROUND(AC1031*AD1031,0)</f>
        <v>-4650</v>
      </c>
    </row>
    <row r="1032" spans="1:32" ht="33.75" hidden="1" customHeight="1" outlineLevel="2" x14ac:dyDescent="0.3">
      <c r="B1032" s="386" t="s">
        <v>715</v>
      </c>
      <c r="C1032" s="44" t="s">
        <v>28</v>
      </c>
      <c r="D1032" s="249">
        <v>1.1850000000000001</v>
      </c>
      <c r="E1032" s="64"/>
      <c r="F1032" s="265">
        <f t="shared" si="597"/>
        <v>23140</v>
      </c>
      <c r="G1032" s="219">
        <v>27421.14</v>
      </c>
      <c r="H1032" s="272"/>
      <c r="I1032" s="236"/>
      <c r="J1032" s="265"/>
      <c r="K1032" s="193"/>
      <c r="L1032" s="272"/>
      <c r="M1032" s="236"/>
      <c r="N1032" s="265"/>
      <c r="O1032" s="193"/>
      <c r="P1032" s="274">
        <v>3.31</v>
      </c>
      <c r="Q1032" s="236">
        <f t="shared" si="598"/>
        <v>1.1850000000000001</v>
      </c>
      <c r="R1032" s="265">
        <f t="shared" si="599"/>
        <v>60953</v>
      </c>
      <c r="S1032" s="193">
        <f t="shared" si="600"/>
        <v>72229</v>
      </c>
      <c r="T1032" s="230"/>
      <c r="U1032" s="290"/>
      <c r="V1032" s="200"/>
      <c r="W1032" s="232">
        <f t="shared" ref="W1032" si="604">Q1032</f>
        <v>1.1850000000000001</v>
      </c>
      <c r="X1032" s="289">
        <v>135525</v>
      </c>
      <c r="Y1032" s="199">
        <f t="shared" ref="Y1032" si="605">X1032*D1032</f>
        <v>160597.125</v>
      </c>
      <c r="Z1032" s="153"/>
      <c r="AA1032" s="147"/>
      <c r="AB1032" s="101"/>
      <c r="AC1032" s="226">
        <f t="shared" si="601"/>
        <v>1.1850000000000001</v>
      </c>
      <c r="AD1032" s="302">
        <f t="shared" si="602"/>
        <v>-74572</v>
      </c>
      <c r="AE1032" s="202">
        <f t="shared" si="603"/>
        <v>-88368</v>
      </c>
    </row>
    <row r="1033" spans="1:32" s="95" customFormat="1" hidden="1" outlineLevel="1" x14ac:dyDescent="0.3">
      <c r="A1033" s="98"/>
      <c r="B1033" s="160"/>
      <c r="C1033" s="107"/>
      <c r="D1033" s="253"/>
      <c r="E1033" s="98"/>
      <c r="F1033" s="154"/>
      <c r="G1033" s="214"/>
      <c r="H1033" s="154"/>
      <c r="I1033" s="231"/>
      <c r="J1033" s="154"/>
      <c r="K1033" s="194"/>
      <c r="L1033" s="154"/>
      <c r="M1033" s="231"/>
      <c r="N1033" s="154"/>
      <c r="O1033" s="194"/>
      <c r="P1033" s="154"/>
      <c r="Q1033" s="231"/>
      <c r="R1033" s="286"/>
      <c r="S1033" s="194"/>
      <c r="T1033" s="231"/>
      <c r="U1033" s="155"/>
      <c r="V1033" s="194"/>
      <c r="W1033" s="231"/>
      <c r="X1033" s="155"/>
      <c r="Y1033" s="194"/>
      <c r="Z1033" s="157"/>
      <c r="AA1033" s="156"/>
      <c r="AB1033" s="156"/>
      <c r="AC1033" s="194"/>
      <c r="AD1033" s="155"/>
      <c r="AE1033" s="194"/>
    </row>
    <row r="1034" spans="1:32" ht="27" hidden="1" customHeight="1" outlineLevel="1" x14ac:dyDescent="0.3">
      <c r="A1034" s="18"/>
      <c r="B1034" s="1082" t="s">
        <v>716</v>
      </c>
      <c r="C1034" s="1083"/>
      <c r="D1034" s="1083"/>
      <c r="E1034" s="1083"/>
      <c r="F1034" s="1084"/>
      <c r="G1034" s="333">
        <f>SUM(G1035:G1058)</f>
        <v>52695.020000000011</v>
      </c>
      <c r="H1034" s="320"/>
      <c r="I1034" s="320"/>
      <c r="J1034" s="320"/>
      <c r="K1034" s="321">
        <f>SUM(K1035:K1058)</f>
        <v>0</v>
      </c>
      <c r="L1034" s="320"/>
      <c r="M1034" s="320"/>
      <c r="N1034" s="320"/>
      <c r="O1034" s="321">
        <f>SUM(O1035:O1058)</f>
        <v>0</v>
      </c>
      <c r="P1034" s="320"/>
      <c r="Q1034" s="320"/>
      <c r="R1034" s="320"/>
      <c r="S1034" s="321">
        <f>SUM(S1035:S1058)</f>
        <v>391641</v>
      </c>
      <c r="T1034" s="320"/>
      <c r="U1034" s="322"/>
      <c r="V1034" s="321">
        <f>SUM(V1035:V1058)</f>
        <v>0</v>
      </c>
      <c r="W1034" s="320"/>
      <c r="X1034" s="322"/>
      <c r="Y1034" s="321">
        <f>SUM(Y1035:Y1058)</f>
        <v>439053.29679999995</v>
      </c>
      <c r="Z1034" s="322"/>
      <c r="AA1034" s="322"/>
      <c r="AB1034" s="322"/>
      <c r="AC1034" s="322"/>
      <c r="AD1034" s="322"/>
      <c r="AE1034" s="323">
        <f>S1034-Y1034</f>
        <v>-47412.296799999953</v>
      </c>
      <c r="AF1034" s="324">
        <f>AE1034/S1034</f>
        <v>-0.12106060601418124</v>
      </c>
    </row>
    <row r="1035" spans="1:32" hidden="1" outlineLevel="2" x14ac:dyDescent="0.35">
      <c r="B1035" s="386" t="s">
        <v>717</v>
      </c>
      <c r="C1035" s="44" t="s">
        <v>5</v>
      </c>
      <c r="D1035" s="234">
        <v>330</v>
      </c>
      <c r="E1035" s="64"/>
      <c r="F1035" s="265">
        <f t="shared" si="597"/>
        <v>13</v>
      </c>
      <c r="G1035" s="219">
        <v>4437.5</v>
      </c>
      <c r="H1035" s="272"/>
      <c r="I1035" s="236"/>
      <c r="J1035" s="265"/>
      <c r="K1035" s="193"/>
      <c r="L1035" s="272"/>
      <c r="M1035" s="236"/>
      <c r="N1035" s="265"/>
      <c r="O1035" s="193"/>
      <c r="P1035" s="274">
        <v>9.31</v>
      </c>
      <c r="Q1035" s="236">
        <f t="shared" si="598"/>
        <v>330</v>
      </c>
      <c r="R1035" s="265">
        <f t="shared" si="599"/>
        <v>96</v>
      </c>
      <c r="S1035" s="193">
        <f t="shared" si="600"/>
        <v>31784</v>
      </c>
      <c r="T1035" s="230"/>
      <c r="U1035" s="290"/>
      <c r="V1035" s="200"/>
      <c r="W1035" s="232">
        <f>Q1035</f>
        <v>330</v>
      </c>
      <c r="X1035" s="290">
        <v>140.18</v>
      </c>
      <c r="Y1035" s="199">
        <f t="shared" ref="Y1035:Y1058" si="606">X1035*D1035</f>
        <v>46259.4</v>
      </c>
      <c r="Z1035" s="153"/>
      <c r="AA1035" s="147"/>
      <c r="AB1035" s="101"/>
      <c r="AC1035" s="226">
        <f t="shared" ref="AC1035" si="607">W1035</f>
        <v>330</v>
      </c>
      <c r="AD1035" s="302">
        <f t="shared" ref="AD1035" si="608">R1035-X1035</f>
        <v>-44.180000000000007</v>
      </c>
      <c r="AE1035" s="202">
        <f t="shared" ref="AE1035" si="609">ROUND(AC1035*AD1035,0)</f>
        <v>-14579</v>
      </c>
    </row>
    <row r="1036" spans="1:32" hidden="1" outlineLevel="2" x14ac:dyDescent="0.35">
      <c r="B1036" s="386" t="s">
        <v>718</v>
      </c>
      <c r="C1036" s="44" t="s">
        <v>5</v>
      </c>
      <c r="D1036" s="234">
        <v>250</v>
      </c>
      <c r="E1036" s="64"/>
      <c r="F1036" s="265">
        <f t="shared" si="597"/>
        <v>18</v>
      </c>
      <c r="G1036" s="219">
        <v>4533.07</v>
      </c>
      <c r="H1036" s="272"/>
      <c r="I1036" s="236"/>
      <c r="J1036" s="265"/>
      <c r="K1036" s="193"/>
      <c r="L1036" s="272"/>
      <c r="M1036" s="236"/>
      <c r="N1036" s="265"/>
      <c r="O1036" s="193"/>
      <c r="P1036" s="274">
        <v>9.31</v>
      </c>
      <c r="Q1036" s="236">
        <f t="shared" si="598"/>
        <v>250</v>
      </c>
      <c r="R1036" s="265">
        <f t="shared" si="599"/>
        <v>133</v>
      </c>
      <c r="S1036" s="193">
        <f t="shared" si="600"/>
        <v>33340</v>
      </c>
      <c r="T1036" s="230"/>
      <c r="U1036" s="290"/>
      <c r="V1036" s="200"/>
      <c r="W1036" s="232">
        <f t="shared" ref="W1036:W1058" si="610">Q1036</f>
        <v>250</v>
      </c>
      <c r="X1036" s="290">
        <v>186.97</v>
      </c>
      <c r="Y1036" s="199">
        <f t="shared" si="606"/>
        <v>46742.5</v>
      </c>
      <c r="Z1036" s="153"/>
      <c r="AA1036" s="147"/>
      <c r="AB1036" s="101"/>
      <c r="AC1036" s="226">
        <f t="shared" ref="AC1036:AC1058" si="611">W1036</f>
        <v>250</v>
      </c>
      <c r="AD1036" s="302">
        <f t="shared" ref="AD1036:AD1058" si="612">R1036-X1036</f>
        <v>-53.97</v>
      </c>
      <c r="AE1036" s="202">
        <f t="shared" ref="AE1036:AE1058" si="613">ROUND(AC1036*AD1036,0)</f>
        <v>-13493</v>
      </c>
    </row>
    <row r="1037" spans="1:32" hidden="1" outlineLevel="2" x14ac:dyDescent="0.35">
      <c r="B1037" s="386" t="s">
        <v>719</v>
      </c>
      <c r="C1037" s="44" t="s">
        <v>5</v>
      </c>
      <c r="D1037" s="234">
        <v>75</v>
      </c>
      <c r="E1037" s="64"/>
      <c r="F1037" s="265">
        <f t="shared" si="597"/>
        <v>25</v>
      </c>
      <c r="G1037" s="219">
        <v>1843.33</v>
      </c>
      <c r="H1037" s="272"/>
      <c r="I1037" s="236"/>
      <c r="J1037" s="265"/>
      <c r="K1037" s="193"/>
      <c r="L1037" s="272"/>
      <c r="M1037" s="236"/>
      <c r="N1037" s="265"/>
      <c r="O1037" s="193"/>
      <c r="P1037" s="274">
        <v>9.31</v>
      </c>
      <c r="Q1037" s="236">
        <f t="shared" si="598"/>
        <v>75</v>
      </c>
      <c r="R1037" s="265">
        <f t="shared" si="599"/>
        <v>185</v>
      </c>
      <c r="S1037" s="193">
        <f t="shared" si="600"/>
        <v>13892</v>
      </c>
      <c r="T1037" s="230"/>
      <c r="U1037" s="290"/>
      <c r="V1037" s="200"/>
      <c r="W1037" s="232">
        <f t="shared" si="610"/>
        <v>75</v>
      </c>
      <c r="X1037" s="290">
        <v>245.79</v>
      </c>
      <c r="Y1037" s="199">
        <f t="shared" si="606"/>
        <v>18434.25</v>
      </c>
      <c r="Z1037" s="153"/>
      <c r="AA1037" s="147"/>
      <c r="AB1037" s="101"/>
      <c r="AC1037" s="226">
        <f t="shared" si="611"/>
        <v>75</v>
      </c>
      <c r="AD1037" s="302">
        <f t="shared" si="612"/>
        <v>-60.789999999999992</v>
      </c>
      <c r="AE1037" s="202">
        <f t="shared" si="613"/>
        <v>-4559</v>
      </c>
    </row>
    <row r="1038" spans="1:32" hidden="1" outlineLevel="2" x14ac:dyDescent="0.35">
      <c r="B1038" s="386" t="s">
        <v>720</v>
      </c>
      <c r="C1038" s="44" t="s">
        <v>5</v>
      </c>
      <c r="D1038" s="234">
        <v>110</v>
      </c>
      <c r="E1038" s="64"/>
      <c r="F1038" s="265">
        <f t="shared" si="597"/>
        <v>35</v>
      </c>
      <c r="G1038" s="219">
        <v>3833.63</v>
      </c>
      <c r="H1038" s="272"/>
      <c r="I1038" s="236"/>
      <c r="J1038" s="265"/>
      <c r="K1038" s="193"/>
      <c r="L1038" s="272"/>
      <c r="M1038" s="236"/>
      <c r="N1038" s="265"/>
      <c r="O1038" s="193"/>
      <c r="P1038" s="274">
        <v>9.31</v>
      </c>
      <c r="Q1038" s="236">
        <f t="shared" si="598"/>
        <v>110</v>
      </c>
      <c r="R1038" s="265">
        <f t="shared" si="599"/>
        <v>259</v>
      </c>
      <c r="S1038" s="193">
        <f t="shared" si="600"/>
        <v>28524</v>
      </c>
      <c r="T1038" s="230"/>
      <c r="U1038" s="290"/>
      <c r="V1038" s="200"/>
      <c r="W1038" s="232">
        <f t="shared" si="610"/>
        <v>110</v>
      </c>
      <c r="X1038" s="290">
        <v>360.93</v>
      </c>
      <c r="Y1038" s="199">
        <f t="shared" si="606"/>
        <v>39702.300000000003</v>
      </c>
      <c r="Z1038" s="153"/>
      <c r="AA1038" s="147"/>
      <c r="AB1038" s="101"/>
      <c r="AC1038" s="226">
        <f t="shared" si="611"/>
        <v>110</v>
      </c>
      <c r="AD1038" s="302">
        <f t="shared" si="612"/>
        <v>-101.93</v>
      </c>
      <c r="AE1038" s="202">
        <f t="shared" si="613"/>
        <v>-11212</v>
      </c>
    </row>
    <row r="1039" spans="1:32" hidden="1" outlineLevel="2" x14ac:dyDescent="0.35">
      <c r="B1039" s="386" t="s">
        <v>721</v>
      </c>
      <c r="C1039" s="44" t="s">
        <v>5</v>
      </c>
      <c r="D1039" s="234">
        <v>110</v>
      </c>
      <c r="E1039" s="64"/>
      <c r="F1039" s="265">
        <f t="shared" si="597"/>
        <v>47</v>
      </c>
      <c r="G1039" s="219">
        <v>5221.1499999999996</v>
      </c>
      <c r="H1039" s="272"/>
      <c r="I1039" s="236"/>
      <c r="J1039" s="265"/>
      <c r="K1039" s="193"/>
      <c r="L1039" s="272"/>
      <c r="M1039" s="236"/>
      <c r="N1039" s="265"/>
      <c r="O1039" s="193"/>
      <c r="P1039" s="274">
        <v>9.31</v>
      </c>
      <c r="Q1039" s="236">
        <f t="shared" si="598"/>
        <v>110</v>
      </c>
      <c r="R1039" s="265">
        <f t="shared" si="599"/>
        <v>348</v>
      </c>
      <c r="S1039" s="193">
        <f t="shared" si="600"/>
        <v>38304</v>
      </c>
      <c r="T1039" s="230"/>
      <c r="U1039" s="290"/>
      <c r="V1039" s="200"/>
      <c r="W1039" s="232">
        <f t="shared" si="610"/>
        <v>110</v>
      </c>
      <c r="X1039" s="290">
        <v>670.1</v>
      </c>
      <c r="Y1039" s="199">
        <f t="shared" si="606"/>
        <v>73711</v>
      </c>
      <c r="Z1039" s="153"/>
      <c r="AA1039" s="147"/>
      <c r="AB1039" s="101"/>
      <c r="AC1039" s="226">
        <f t="shared" si="611"/>
        <v>110</v>
      </c>
      <c r="AD1039" s="302">
        <f t="shared" si="612"/>
        <v>-322.10000000000002</v>
      </c>
      <c r="AE1039" s="202">
        <f t="shared" si="613"/>
        <v>-35431</v>
      </c>
    </row>
    <row r="1040" spans="1:32" hidden="1" outlineLevel="2" x14ac:dyDescent="0.35">
      <c r="B1040" s="386" t="s">
        <v>722</v>
      </c>
      <c r="C1040" s="44" t="s">
        <v>5</v>
      </c>
      <c r="D1040" s="234">
        <v>305</v>
      </c>
      <c r="E1040" s="64"/>
      <c r="F1040" s="265">
        <f t="shared" si="597"/>
        <v>6</v>
      </c>
      <c r="G1040" s="219">
        <v>1795.44</v>
      </c>
      <c r="H1040" s="272"/>
      <c r="I1040" s="236"/>
      <c r="J1040" s="265"/>
      <c r="K1040" s="193"/>
      <c r="L1040" s="272"/>
      <c r="M1040" s="236"/>
      <c r="N1040" s="265"/>
      <c r="O1040" s="193"/>
      <c r="P1040" s="274">
        <v>9.31</v>
      </c>
      <c r="Q1040" s="236">
        <f t="shared" si="598"/>
        <v>305</v>
      </c>
      <c r="R1040" s="265">
        <f t="shared" si="599"/>
        <v>44</v>
      </c>
      <c r="S1040" s="193">
        <f t="shared" si="600"/>
        <v>13558</v>
      </c>
      <c r="T1040" s="230"/>
      <c r="U1040" s="290"/>
      <c r="V1040" s="200"/>
      <c r="W1040" s="232">
        <f t="shared" si="610"/>
        <v>305</v>
      </c>
      <c r="X1040" s="290">
        <v>56.9</v>
      </c>
      <c r="Y1040" s="199">
        <f t="shared" si="606"/>
        <v>17354.5</v>
      </c>
      <c r="Z1040" s="153"/>
      <c r="AA1040" s="147"/>
      <c r="AB1040" s="101"/>
      <c r="AC1040" s="226">
        <f t="shared" si="611"/>
        <v>305</v>
      </c>
      <c r="AD1040" s="302">
        <f t="shared" si="612"/>
        <v>-12.899999999999999</v>
      </c>
      <c r="AE1040" s="202">
        <f t="shared" si="613"/>
        <v>-3935</v>
      </c>
    </row>
    <row r="1041" spans="2:31" hidden="1" outlineLevel="2" x14ac:dyDescent="0.35">
      <c r="B1041" s="386" t="s">
        <v>723</v>
      </c>
      <c r="C1041" s="44" t="s">
        <v>5</v>
      </c>
      <c r="D1041" s="234">
        <v>360</v>
      </c>
      <c r="E1041" s="64"/>
      <c r="F1041" s="265">
        <f t="shared" si="597"/>
        <v>7</v>
      </c>
      <c r="G1041" s="219">
        <v>2599.16</v>
      </c>
      <c r="H1041" s="272"/>
      <c r="I1041" s="236"/>
      <c r="J1041" s="265"/>
      <c r="K1041" s="193"/>
      <c r="L1041" s="272"/>
      <c r="M1041" s="236"/>
      <c r="N1041" s="265"/>
      <c r="O1041" s="193"/>
      <c r="P1041" s="274">
        <v>9.31</v>
      </c>
      <c r="Q1041" s="236">
        <f t="shared" si="598"/>
        <v>360</v>
      </c>
      <c r="R1041" s="265">
        <f t="shared" si="599"/>
        <v>52</v>
      </c>
      <c r="S1041" s="193">
        <f t="shared" si="600"/>
        <v>18670</v>
      </c>
      <c r="T1041" s="230"/>
      <c r="U1041" s="290"/>
      <c r="V1041" s="200"/>
      <c r="W1041" s="232">
        <f t="shared" si="610"/>
        <v>360</v>
      </c>
      <c r="X1041" s="290">
        <v>69.36</v>
      </c>
      <c r="Y1041" s="199">
        <f t="shared" si="606"/>
        <v>24969.599999999999</v>
      </c>
      <c r="Z1041" s="153"/>
      <c r="AA1041" s="147"/>
      <c r="AB1041" s="101"/>
      <c r="AC1041" s="226">
        <f t="shared" si="611"/>
        <v>360</v>
      </c>
      <c r="AD1041" s="302">
        <f t="shared" si="612"/>
        <v>-17.36</v>
      </c>
      <c r="AE1041" s="202">
        <f t="shared" si="613"/>
        <v>-6250</v>
      </c>
    </row>
    <row r="1042" spans="2:31" hidden="1" outlineLevel="2" x14ac:dyDescent="0.35">
      <c r="B1042" s="386" t="s">
        <v>724</v>
      </c>
      <c r="C1042" s="44" t="s">
        <v>5</v>
      </c>
      <c r="D1042" s="234">
        <v>20</v>
      </c>
      <c r="E1042" s="64"/>
      <c r="F1042" s="265">
        <f t="shared" si="597"/>
        <v>10</v>
      </c>
      <c r="G1042" s="219">
        <v>190.93</v>
      </c>
      <c r="H1042" s="272"/>
      <c r="I1042" s="236"/>
      <c r="J1042" s="265"/>
      <c r="K1042" s="193"/>
      <c r="L1042" s="272"/>
      <c r="M1042" s="236"/>
      <c r="N1042" s="265"/>
      <c r="O1042" s="193"/>
      <c r="P1042" s="274">
        <v>9.31</v>
      </c>
      <c r="Q1042" s="236">
        <f t="shared" si="598"/>
        <v>20</v>
      </c>
      <c r="R1042" s="265">
        <f t="shared" si="599"/>
        <v>74</v>
      </c>
      <c r="S1042" s="193">
        <f t="shared" si="600"/>
        <v>1482</v>
      </c>
      <c r="T1042" s="230"/>
      <c r="U1042" s="290"/>
      <c r="V1042" s="200"/>
      <c r="W1042" s="232">
        <f t="shared" si="610"/>
        <v>20</v>
      </c>
      <c r="X1042" s="290">
        <v>95.28</v>
      </c>
      <c r="Y1042" s="199">
        <f t="shared" si="606"/>
        <v>1905.6</v>
      </c>
      <c r="Z1042" s="153"/>
      <c r="AA1042" s="147"/>
      <c r="AB1042" s="101"/>
      <c r="AC1042" s="226">
        <f t="shared" si="611"/>
        <v>20</v>
      </c>
      <c r="AD1042" s="302">
        <f t="shared" si="612"/>
        <v>-21.28</v>
      </c>
      <c r="AE1042" s="202">
        <f t="shared" si="613"/>
        <v>-426</v>
      </c>
    </row>
    <row r="1043" spans="2:31" ht="24.75" hidden="1" customHeight="1" outlineLevel="2" x14ac:dyDescent="0.35">
      <c r="B1043" s="386" t="s">
        <v>725</v>
      </c>
      <c r="C1043" s="44" t="s">
        <v>5</v>
      </c>
      <c r="D1043" s="234">
        <v>210</v>
      </c>
      <c r="E1043" s="64"/>
      <c r="F1043" s="265">
        <f t="shared" si="597"/>
        <v>32</v>
      </c>
      <c r="G1043" s="219">
        <v>6748.96</v>
      </c>
      <c r="H1043" s="272"/>
      <c r="I1043" s="236"/>
      <c r="J1043" s="265"/>
      <c r="K1043" s="193"/>
      <c r="L1043" s="272"/>
      <c r="M1043" s="236"/>
      <c r="N1043" s="265"/>
      <c r="O1043" s="193"/>
      <c r="P1043" s="274">
        <v>9.31</v>
      </c>
      <c r="Q1043" s="236">
        <f t="shared" si="598"/>
        <v>210</v>
      </c>
      <c r="R1043" s="265">
        <f t="shared" si="599"/>
        <v>237</v>
      </c>
      <c r="S1043" s="193">
        <f t="shared" si="600"/>
        <v>49788</v>
      </c>
      <c r="T1043" s="230"/>
      <c r="U1043" s="290"/>
      <c r="V1043" s="200"/>
      <c r="W1043" s="232">
        <f t="shared" si="610"/>
        <v>210</v>
      </c>
      <c r="X1043" s="290">
        <v>186.97</v>
      </c>
      <c r="Y1043" s="199">
        <f t="shared" si="606"/>
        <v>39263.699999999997</v>
      </c>
      <c r="Z1043" s="153"/>
      <c r="AA1043" s="147"/>
      <c r="AB1043" s="101"/>
      <c r="AC1043" s="226">
        <f t="shared" si="611"/>
        <v>210</v>
      </c>
      <c r="AD1043" s="304">
        <f t="shared" si="612"/>
        <v>50.03</v>
      </c>
      <c r="AE1043" s="305">
        <f t="shared" si="613"/>
        <v>10506</v>
      </c>
    </row>
    <row r="1044" spans="2:31" hidden="1" outlineLevel="2" x14ac:dyDescent="0.35">
      <c r="B1044" s="386" t="s">
        <v>477</v>
      </c>
      <c r="C1044" s="44" t="s">
        <v>28</v>
      </c>
      <c r="D1044" s="234">
        <v>6.3E-2</v>
      </c>
      <c r="E1044" s="64"/>
      <c r="F1044" s="265">
        <f t="shared" si="597"/>
        <v>11572</v>
      </c>
      <c r="G1044" s="219">
        <v>729.06</v>
      </c>
      <c r="H1044" s="272"/>
      <c r="I1044" s="236"/>
      <c r="J1044" s="265"/>
      <c r="K1044" s="193"/>
      <c r="L1044" s="272"/>
      <c r="M1044" s="236"/>
      <c r="N1044" s="265"/>
      <c r="O1044" s="193"/>
      <c r="P1044" s="274">
        <v>9.31</v>
      </c>
      <c r="Q1044" s="236">
        <f t="shared" si="598"/>
        <v>6.3E-2</v>
      </c>
      <c r="R1044" s="265">
        <f t="shared" si="599"/>
        <v>85736</v>
      </c>
      <c r="S1044" s="193">
        <f t="shared" si="600"/>
        <v>5401</v>
      </c>
      <c r="T1044" s="230"/>
      <c r="U1044" s="290"/>
      <c r="V1044" s="200"/>
      <c r="W1044" s="232">
        <f t="shared" si="610"/>
        <v>6.3E-2</v>
      </c>
      <c r="X1044" s="289">
        <v>135525</v>
      </c>
      <c r="Y1044" s="199">
        <f t="shared" si="606"/>
        <v>8538.0750000000007</v>
      </c>
      <c r="Z1044" s="153"/>
      <c r="AA1044" s="147"/>
      <c r="AB1044" s="101"/>
      <c r="AC1044" s="226">
        <f t="shared" si="611"/>
        <v>6.3E-2</v>
      </c>
      <c r="AD1044" s="302">
        <f t="shared" si="612"/>
        <v>-49789</v>
      </c>
      <c r="AE1044" s="202">
        <f t="shared" si="613"/>
        <v>-3137</v>
      </c>
    </row>
    <row r="1045" spans="2:31" hidden="1" outlineLevel="2" x14ac:dyDescent="0.35">
      <c r="B1045" s="386" t="s">
        <v>726</v>
      </c>
      <c r="C1045" s="44" t="s">
        <v>5</v>
      </c>
      <c r="D1045" s="234">
        <v>1340</v>
      </c>
      <c r="E1045" s="64"/>
      <c r="F1045" s="265">
        <f t="shared" si="597"/>
        <v>2</v>
      </c>
      <c r="G1045" s="219">
        <v>2666.6</v>
      </c>
      <c r="H1045" s="272"/>
      <c r="I1045" s="236"/>
      <c r="J1045" s="265"/>
      <c r="K1045" s="193"/>
      <c r="L1045" s="272"/>
      <c r="M1045" s="236"/>
      <c r="N1045" s="265"/>
      <c r="O1045" s="193"/>
      <c r="P1045" s="274">
        <v>9.31</v>
      </c>
      <c r="Q1045" s="236">
        <f t="shared" si="598"/>
        <v>1340</v>
      </c>
      <c r="R1045" s="265">
        <f t="shared" si="599"/>
        <v>15</v>
      </c>
      <c r="S1045" s="193">
        <f t="shared" si="600"/>
        <v>19856</v>
      </c>
      <c r="T1045" s="230"/>
      <c r="U1045" s="290"/>
      <c r="V1045" s="200"/>
      <c r="W1045" s="232">
        <f t="shared" si="610"/>
        <v>1340</v>
      </c>
      <c r="X1045" s="290">
        <v>3.25</v>
      </c>
      <c r="Y1045" s="199">
        <f t="shared" si="606"/>
        <v>4355</v>
      </c>
      <c r="Z1045" s="153"/>
      <c r="AA1045" s="147"/>
      <c r="AB1045" s="101"/>
      <c r="AC1045" s="226">
        <f t="shared" si="611"/>
        <v>1340</v>
      </c>
      <c r="AD1045" s="304">
        <f t="shared" si="612"/>
        <v>11.75</v>
      </c>
      <c r="AE1045" s="305">
        <f t="shared" si="613"/>
        <v>15745</v>
      </c>
    </row>
    <row r="1046" spans="2:31" hidden="1" outlineLevel="2" x14ac:dyDescent="0.35">
      <c r="B1046" s="386" t="s">
        <v>444</v>
      </c>
      <c r="C1046" s="44" t="s">
        <v>40</v>
      </c>
      <c r="D1046" s="234">
        <v>1168</v>
      </c>
      <c r="E1046" s="64"/>
      <c r="F1046" s="265">
        <f t="shared" si="597"/>
        <v>1</v>
      </c>
      <c r="G1046" s="219">
        <v>665.76</v>
      </c>
      <c r="H1046" s="272"/>
      <c r="I1046" s="236"/>
      <c r="J1046" s="265"/>
      <c r="K1046" s="193"/>
      <c r="L1046" s="272"/>
      <c r="M1046" s="236"/>
      <c r="N1046" s="265"/>
      <c r="O1046" s="193"/>
      <c r="P1046" s="274">
        <v>9.31</v>
      </c>
      <c r="Q1046" s="236">
        <f t="shared" si="598"/>
        <v>1168</v>
      </c>
      <c r="R1046" s="265">
        <f t="shared" si="599"/>
        <v>7</v>
      </c>
      <c r="S1046" s="193">
        <f t="shared" si="600"/>
        <v>8654</v>
      </c>
      <c r="T1046" s="230"/>
      <c r="U1046" s="290"/>
      <c r="V1046" s="200"/>
      <c r="W1046" s="232">
        <f t="shared" si="610"/>
        <v>1168</v>
      </c>
      <c r="X1046" s="290">
        <v>3.9</v>
      </c>
      <c r="Y1046" s="199">
        <f t="shared" si="606"/>
        <v>4555.2</v>
      </c>
      <c r="Z1046" s="153"/>
      <c r="AA1046" s="147"/>
      <c r="AB1046" s="101"/>
      <c r="AC1046" s="226">
        <f t="shared" si="611"/>
        <v>1168</v>
      </c>
      <c r="AD1046" s="304">
        <f t="shared" si="612"/>
        <v>3.1</v>
      </c>
      <c r="AE1046" s="305">
        <f t="shared" si="613"/>
        <v>3621</v>
      </c>
    </row>
    <row r="1047" spans="2:31" hidden="1" outlineLevel="2" x14ac:dyDescent="0.35">
      <c r="B1047" s="386" t="s">
        <v>727</v>
      </c>
      <c r="C1047" s="44" t="s">
        <v>40</v>
      </c>
      <c r="D1047" s="234">
        <v>16</v>
      </c>
      <c r="E1047" s="64"/>
      <c r="F1047" s="265">
        <f t="shared" si="597"/>
        <v>111</v>
      </c>
      <c r="G1047" s="219">
        <v>1777.28</v>
      </c>
      <c r="H1047" s="272"/>
      <c r="I1047" s="236"/>
      <c r="J1047" s="265"/>
      <c r="K1047" s="193"/>
      <c r="L1047" s="272"/>
      <c r="M1047" s="236"/>
      <c r="N1047" s="265"/>
      <c r="O1047" s="193"/>
      <c r="P1047" s="274">
        <v>9.31</v>
      </c>
      <c r="Q1047" s="236">
        <f t="shared" si="598"/>
        <v>16</v>
      </c>
      <c r="R1047" s="265">
        <f t="shared" si="599"/>
        <v>822</v>
      </c>
      <c r="S1047" s="193">
        <f t="shared" si="600"/>
        <v>13158</v>
      </c>
      <c r="T1047" s="230"/>
      <c r="U1047" s="290"/>
      <c r="V1047" s="200"/>
      <c r="W1047" s="232">
        <f t="shared" si="610"/>
        <v>16</v>
      </c>
      <c r="X1047" s="289">
        <v>369</v>
      </c>
      <c r="Y1047" s="199">
        <f t="shared" si="606"/>
        <v>5904</v>
      </c>
      <c r="Z1047" s="153"/>
      <c r="AA1047" s="147"/>
      <c r="AB1047" s="101"/>
      <c r="AC1047" s="226">
        <f t="shared" si="611"/>
        <v>16</v>
      </c>
      <c r="AD1047" s="304">
        <f t="shared" si="612"/>
        <v>453</v>
      </c>
      <c r="AE1047" s="305">
        <f t="shared" si="613"/>
        <v>7248</v>
      </c>
    </row>
    <row r="1048" spans="2:31" hidden="1" outlineLevel="2" x14ac:dyDescent="0.35">
      <c r="B1048" s="386" t="s">
        <v>427</v>
      </c>
      <c r="C1048" s="44" t="s">
        <v>16</v>
      </c>
      <c r="D1048" s="234">
        <v>8.6609999999999996</v>
      </c>
      <c r="E1048" s="64"/>
      <c r="F1048" s="265">
        <f t="shared" si="597"/>
        <v>71</v>
      </c>
      <c r="G1048" s="219">
        <v>616.16000000000008</v>
      </c>
      <c r="H1048" s="272"/>
      <c r="I1048" s="236"/>
      <c r="J1048" s="265"/>
      <c r="K1048" s="193"/>
      <c r="L1048" s="272"/>
      <c r="M1048" s="236"/>
      <c r="N1048" s="265"/>
      <c r="O1048" s="193"/>
      <c r="P1048" s="274">
        <v>9.31</v>
      </c>
      <c r="Q1048" s="236">
        <f t="shared" si="598"/>
        <v>8.6609999999999996</v>
      </c>
      <c r="R1048" s="265">
        <f t="shared" si="599"/>
        <v>526</v>
      </c>
      <c r="S1048" s="193">
        <f t="shared" si="600"/>
        <v>4556</v>
      </c>
      <c r="T1048" s="230"/>
      <c r="U1048" s="290"/>
      <c r="V1048" s="200"/>
      <c r="W1048" s="232">
        <f t="shared" si="610"/>
        <v>8.6609999999999996</v>
      </c>
      <c r="X1048" s="289">
        <v>272</v>
      </c>
      <c r="Y1048" s="199">
        <f t="shared" si="606"/>
        <v>2355.7919999999999</v>
      </c>
      <c r="Z1048" s="153"/>
      <c r="AA1048" s="147"/>
      <c r="AB1048" s="101"/>
      <c r="AC1048" s="226">
        <f t="shared" si="611"/>
        <v>8.6609999999999996</v>
      </c>
      <c r="AD1048" s="304">
        <f t="shared" si="612"/>
        <v>254</v>
      </c>
      <c r="AE1048" s="305">
        <f t="shared" si="613"/>
        <v>2200</v>
      </c>
    </row>
    <row r="1049" spans="2:31" hidden="1" outlineLevel="2" x14ac:dyDescent="0.35">
      <c r="B1049" s="386" t="s">
        <v>728</v>
      </c>
      <c r="C1049" s="44" t="s">
        <v>28</v>
      </c>
      <c r="D1049" s="234">
        <v>4.0000000000000001E-3</v>
      </c>
      <c r="E1049" s="64"/>
      <c r="F1049" s="265">
        <f t="shared" si="597"/>
        <v>78260</v>
      </c>
      <c r="G1049" s="219">
        <v>313.04000000000002</v>
      </c>
      <c r="H1049" s="272"/>
      <c r="I1049" s="236"/>
      <c r="J1049" s="265"/>
      <c r="K1049" s="193"/>
      <c r="L1049" s="272"/>
      <c r="M1049" s="236"/>
      <c r="N1049" s="265"/>
      <c r="O1049" s="193"/>
      <c r="P1049" s="274">
        <v>9.31</v>
      </c>
      <c r="Q1049" s="236">
        <f t="shared" si="598"/>
        <v>4.0000000000000001E-3</v>
      </c>
      <c r="R1049" s="265">
        <f t="shared" si="599"/>
        <v>579820</v>
      </c>
      <c r="S1049" s="193">
        <f t="shared" si="600"/>
        <v>2319</v>
      </c>
      <c r="T1049" s="230"/>
      <c r="U1049" s="290"/>
      <c r="V1049" s="200"/>
      <c r="W1049" s="232">
        <f t="shared" si="610"/>
        <v>4.0000000000000001E-3</v>
      </c>
      <c r="X1049" s="289">
        <v>700000</v>
      </c>
      <c r="Y1049" s="199">
        <f t="shared" si="606"/>
        <v>2800</v>
      </c>
      <c r="Z1049" s="153"/>
      <c r="AA1049" s="147"/>
      <c r="AB1049" s="101"/>
      <c r="AC1049" s="226">
        <f t="shared" si="611"/>
        <v>4.0000000000000001E-3</v>
      </c>
      <c r="AD1049" s="302">
        <f t="shared" si="612"/>
        <v>-120180</v>
      </c>
      <c r="AE1049" s="202">
        <f t="shared" si="613"/>
        <v>-481</v>
      </c>
    </row>
    <row r="1050" spans="2:31" hidden="1" outlineLevel="2" x14ac:dyDescent="0.35">
      <c r="B1050" s="386" t="s">
        <v>729</v>
      </c>
      <c r="C1050" s="44" t="s">
        <v>5</v>
      </c>
      <c r="D1050" s="234">
        <v>115</v>
      </c>
      <c r="E1050" s="64"/>
      <c r="F1050" s="265">
        <f t="shared" si="597"/>
        <v>3</v>
      </c>
      <c r="G1050" s="219">
        <v>353.61</v>
      </c>
      <c r="H1050" s="272"/>
      <c r="I1050" s="236"/>
      <c r="J1050" s="265"/>
      <c r="K1050" s="193"/>
      <c r="L1050" s="272"/>
      <c r="M1050" s="236"/>
      <c r="N1050" s="265"/>
      <c r="O1050" s="193"/>
      <c r="P1050" s="274">
        <v>9.31</v>
      </c>
      <c r="Q1050" s="236">
        <f t="shared" si="598"/>
        <v>115</v>
      </c>
      <c r="R1050" s="265">
        <f t="shared" si="599"/>
        <v>22</v>
      </c>
      <c r="S1050" s="193">
        <f t="shared" si="600"/>
        <v>2556</v>
      </c>
      <c r="T1050" s="230"/>
      <c r="U1050" s="290"/>
      <c r="V1050" s="200"/>
      <c r="W1050" s="232">
        <f t="shared" si="610"/>
        <v>115</v>
      </c>
      <c r="X1050" s="289">
        <v>40</v>
      </c>
      <c r="Y1050" s="199">
        <f t="shared" si="606"/>
        <v>4600</v>
      </c>
      <c r="Z1050" s="153"/>
      <c r="AA1050" s="147"/>
      <c r="AB1050" s="101"/>
      <c r="AC1050" s="226">
        <f t="shared" si="611"/>
        <v>115</v>
      </c>
      <c r="AD1050" s="302">
        <f t="shared" si="612"/>
        <v>-18</v>
      </c>
      <c r="AE1050" s="202">
        <f t="shared" si="613"/>
        <v>-2070</v>
      </c>
    </row>
    <row r="1051" spans="2:31" hidden="1" outlineLevel="2" x14ac:dyDescent="0.35">
      <c r="B1051" s="386" t="s">
        <v>730</v>
      </c>
      <c r="C1051" s="44" t="s">
        <v>28</v>
      </c>
      <c r="D1051" s="234">
        <v>1.2999999999999999E-2</v>
      </c>
      <c r="E1051" s="64"/>
      <c r="F1051" s="265">
        <f t="shared" ref="F1051:F1058" si="614">ROUND(G1051/D1051,0)</f>
        <v>4796</v>
      </c>
      <c r="G1051" s="219">
        <v>62.35</v>
      </c>
      <c r="H1051" s="272"/>
      <c r="I1051" s="236"/>
      <c r="J1051" s="265"/>
      <c r="K1051" s="193"/>
      <c r="L1051" s="272"/>
      <c r="M1051" s="236"/>
      <c r="N1051" s="265"/>
      <c r="O1051" s="193"/>
      <c r="P1051" s="274">
        <v>9.31</v>
      </c>
      <c r="Q1051" s="236">
        <f t="shared" ref="Q1051:Q1058" si="615">D1051-I1051-M1051</f>
        <v>1.2999999999999999E-2</v>
      </c>
      <c r="R1051" s="265">
        <f t="shared" ref="R1051:R1058" si="616">ROUND(F1051*P1051*0.7958,0)</f>
        <v>35533</v>
      </c>
      <c r="S1051" s="193">
        <f t="shared" ref="S1051:S1058" si="617">ROUND(Q1051*P1051*F1051*0.7958,0)</f>
        <v>462</v>
      </c>
      <c r="T1051" s="230"/>
      <c r="U1051" s="290"/>
      <c r="V1051" s="200"/>
      <c r="W1051" s="232">
        <f t="shared" si="610"/>
        <v>1.2999999999999999E-2</v>
      </c>
      <c r="X1051" s="289">
        <v>39575</v>
      </c>
      <c r="Y1051" s="199">
        <f t="shared" si="606"/>
        <v>514.47500000000002</v>
      </c>
      <c r="Z1051" s="153"/>
      <c r="AA1051" s="147"/>
      <c r="AB1051" s="101"/>
      <c r="AC1051" s="226">
        <f t="shared" si="611"/>
        <v>1.2999999999999999E-2</v>
      </c>
      <c r="AD1051" s="302">
        <f t="shared" si="612"/>
        <v>-4042</v>
      </c>
      <c r="AE1051" s="202">
        <f t="shared" si="613"/>
        <v>-53</v>
      </c>
    </row>
    <row r="1052" spans="2:31" hidden="1" outlineLevel="2" x14ac:dyDescent="0.35">
      <c r="B1052" s="386" t="s">
        <v>731</v>
      </c>
      <c r="C1052" s="44" t="s">
        <v>28</v>
      </c>
      <c r="D1052" s="234">
        <v>0.13400000000000001</v>
      </c>
      <c r="E1052" s="64"/>
      <c r="F1052" s="265">
        <f t="shared" si="614"/>
        <v>5501</v>
      </c>
      <c r="G1052" s="219">
        <v>737.12</v>
      </c>
      <c r="H1052" s="272"/>
      <c r="I1052" s="236"/>
      <c r="J1052" s="265"/>
      <c r="K1052" s="193"/>
      <c r="L1052" s="272"/>
      <c r="M1052" s="236"/>
      <c r="N1052" s="265"/>
      <c r="O1052" s="193"/>
      <c r="P1052" s="274">
        <v>9.31</v>
      </c>
      <c r="Q1052" s="236">
        <f t="shared" si="615"/>
        <v>0.13400000000000001</v>
      </c>
      <c r="R1052" s="265">
        <f t="shared" si="616"/>
        <v>40756</v>
      </c>
      <c r="S1052" s="193">
        <f t="shared" si="617"/>
        <v>5461</v>
      </c>
      <c r="T1052" s="230"/>
      <c r="U1052" s="290"/>
      <c r="V1052" s="200"/>
      <c r="W1052" s="232">
        <f t="shared" si="610"/>
        <v>0.13400000000000001</v>
      </c>
      <c r="X1052" s="289">
        <v>37400</v>
      </c>
      <c r="Y1052" s="199">
        <f t="shared" si="606"/>
        <v>5011.6000000000004</v>
      </c>
      <c r="Z1052" s="153"/>
      <c r="AA1052" s="147"/>
      <c r="AB1052" s="101"/>
      <c r="AC1052" s="226">
        <f t="shared" si="611"/>
        <v>0.13400000000000001</v>
      </c>
      <c r="AD1052" s="302">
        <f t="shared" si="612"/>
        <v>3356</v>
      </c>
      <c r="AE1052" s="202">
        <f t="shared" si="613"/>
        <v>450</v>
      </c>
    </row>
    <row r="1053" spans="2:31" hidden="1" outlineLevel="2" x14ac:dyDescent="0.35">
      <c r="B1053" s="386" t="s">
        <v>732</v>
      </c>
      <c r="C1053" s="44" t="s">
        <v>5</v>
      </c>
      <c r="D1053" s="234">
        <v>120</v>
      </c>
      <c r="E1053" s="64"/>
      <c r="F1053" s="265">
        <f t="shared" si="614"/>
        <v>10</v>
      </c>
      <c r="G1053" s="219">
        <v>1252.8</v>
      </c>
      <c r="H1053" s="272"/>
      <c r="I1053" s="236"/>
      <c r="J1053" s="265"/>
      <c r="K1053" s="193"/>
      <c r="L1053" s="272"/>
      <c r="M1053" s="236"/>
      <c r="N1053" s="265"/>
      <c r="O1053" s="193"/>
      <c r="P1053" s="274">
        <v>9.31</v>
      </c>
      <c r="Q1053" s="236">
        <f t="shared" si="615"/>
        <v>120</v>
      </c>
      <c r="R1053" s="265">
        <f t="shared" si="616"/>
        <v>74</v>
      </c>
      <c r="S1053" s="193">
        <f t="shared" si="617"/>
        <v>8891</v>
      </c>
      <c r="T1053" s="230"/>
      <c r="U1053" s="290"/>
      <c r="V1053" s="200"/>
      <c r="W1053" s="232">
        <f t="shared" si="610"/>
        <v>120</v>
      </c>
      <c r="X1053" s="289">
        <v>9</v>
      </c>
      <c r="Y1053" s="199">
        <f t="shared" si="606"/>
        <v>1080</v>
      </c>
      <c r="Z1053" s="153"/>
      <c r="AA1053" s="147"/>
      <c r="AB1053" s="101"/>
      <c r="AC1053" s="226">
        <f t="shared" si="611"/>
        <v>120</v>
      </c>
      <c r="AD1053" s="304">
        <f t="shared" si="612"/>
        <v>65</v>
      </c>
      <c r="AE1053" s="305">
        <f t="shared" si="613"/>
        <v>7800</v>
      </c>
    </row>
    <row r="1054" spans="2:31" hidden="1" outlineLevel="2" x14ac:dyDescent="0.35">
      <c r="B1054" s="386" t="s">
        <v>733</v>
      </c>
      <c r="C1054" s="44" t="s">
        <v>5</v>
      </c>
      <c r="D1054" s="234">
        <v>30</v>
      </c>
      <c r="E1054" s="64"/>
      <c r="F1054" s="265">
        <f t="shared" si="614"/>
        <v>15</v>
      </c>
      <c r="G1054" s="219">
        <v>441</v>
      </c>
      <c r="H1054" s="272"/>
      <c r="I1054" s="236"/>
      <c r="J1054" s="265"/>
      <c r="K1054" s="193"/>
      <c r="L1054" s="272"/>
      <c r="M1054" s="236"/>
      <c r="N1054" s="265"/>
      <c r="O1054" s="193"/>
      <c r="P1054" s="274">
        <v>9.31</v>
      </c>
      <c r="Q1054" s="236">
        <f t="shared" si="615"/>
        <v>30</v>
      </c>
      <c r="R1054" s="265">
        <f t="shared" si="616"/>
        <v>111</v>
      </c>
      <c r="S1054" s="193">
        <f t="shared" si="617"/>
        <v>3334</v>
      </c>
      <c r="T1054" s="230"/>
      <c r="U1054" s="290"/>
      <c r="V1054" s="200"/>
      <c r="W1054" s="232">
        <f t="shared" si="610"/>
        <v>30</v>
      </c>
      <c r="X1054" s="289">
        <v>100</v>
      </c>
      <c r="Y1054" s="199">
        <f t="shared" si="606"/>
        <v>3000</v>
      </c>
      <c r="Z1054" s="153"/>
      <c r="AA1054" s="147"/>
      <c r="AB1054" s="101"/>
      <c r="AC1054" s="226">
        <f t="shared" si="611"/>
        <v>30</v>
      </c>
      <c r="AD1054" s="304">
        <f t="shared" si="612"/>
        <v>11</v>
      </c>
      <c r="AE1054" s="305">
        <f t="shared" si="613"/>
        <v>330</v>
      </c>
    </row>
    <row r="1055" spans="2:31" hidden="1" outlineLevel="2" x14ac:dyDescent="0.35">
      <c r="B1055" s="386" t="s">
        <v>734</v>
      </c>
      <c r="C1055" s="44" t="s">
        <v>5</v>
      </c>
      <c r="D1055" s="234">
        <v>30</v>
      </c>
      <c r="E1055" s="64"/>
      <c r="F1055" s="265">
        <f t="shared" si="614"/>
        <v>19</v>
      </c>
      <c r="G1055" s="219">
        <v>570.6</v>
      </c>
      <c r="H1055" s="272"/>
      <c r="I1055" s="236"/>
      <c r="J1055" s="265"/>
      <c r="K1055" s="193"/>
      <c r="L1055" s="272"/>
      <c r="M1055" s="236"/>
      <c r="N1055" s="265"/>
      <c r="O1055" s="193"/>
      <c r="P1055" s="274">
        <v>9.31</v>
      </c>
      <c r="Q1055" s="236">
        <f t="shared" si="615"/>
        <v>30</v>
      </c>
      <c r="R1055" s="265">
        <f t="shared" si="616"/>
        <v>141</v>
      </c>
      <c r="S1055" s="193">
        <f t="shared" si="617"/>
        <v>4223</v>
      </c>
      <c r="T1055" s="230"/>
      <c r="U1055" s="290"/>
      <c r="V1055" s="200"/>
      <c r="W1055" s="232">
        <f t="shared" si="610"/>
        <v>30</v>
      </c>
      <c r="X1055" s="289">
        <v>139</v>
      </c>
      <c r="Y1055" s="199">
        <f t="shared" si="606"/>
        <v>4170</v>
      </c>
      <c r="Z1055" s="153"/>
      <c r="AA1055" s="147"/>
      <c r="AB1055" s="101"/>
      <c r="AC1055" s="226">
        <f t="shared" si="611"/>
        <v>30</v>
      </c>
      <c r="AD1055" s="304">
        <f t="shared" si="612"/>
        <v>2</v>
      </c>
      <c r="AE1055" s="305">
        <f t="shared" si="613"/>
        <v>60</v>
      </c>
    </row>
    <row r="1056" spans="2:31" hidden="1" outlineLevel="2" x14ac:dyDescent="0.35">
      <c r="B1056" s="386" t="s">
        <v>735</v>
      </c>
      <c r="C1056" s="44" t="s">
        <v>5</v>
      </c>
      <c r="D1056" s="234">
        <v>64.260000000000005</v>
      </c>
      <c r="E1056" s="64"/>
      <c r="F1056" s="265">
        <f t="shared" si="614"/>
        <v>15</v>
      </c>
      <c r="G1056" s="219">
        <v>940.12</v>
      </c>
      <c r="H1056" s="272"/>
      <c r="I1056" s="236"/>
      <c r="J1056" s="265"/>
      <c r="K1056" s="193"/>
      <c r="L1056" s="272"/>
      <c r="M1056" s="236"/>
      <c r="N1056" s="265"/>
      <c r="O1056" s="193"/>
      <c r="P1056" s="274">
        <v>9.31</v>
      </c>
      <c r="Q1056" s="236">
        <f t="shared" si="615"/>
        <v>64.260000000000005</v>
      </c>
      <c r="R1056" s="265">
        <f t="shared" si="616"/>
        <v>111</v>
      </c>
      <c r="S1056" s="193">
        <f t="shared" si="617"/>
        <v>7141</v>
      </c>
      <c r="T1056" s="230"/>
      <c r="U1056" s="290"/>
      <c r="V1056" s="200"/>
      <c r="W1056" s="232">
        <f t="shared" si="610"/>
        <v>64.260000000000005</v>
      </c>
      <c r="X1056" s="289">
        <v>428.98</v>
      </c>
      <c r="Y1056" s="199">
        <f t="shared" si="606"/>
        <v>27566.254800000002</v>
      </c>
      <c r="Z1056" s="153"/>
      <c r="AA1056" s="147"/>
      <c r="AB1056" s="101"/>
      <c r="AC1056" s="226">
        <f t="shared" si="611"/>
        <v>64.260000000000005</v>
      </c>
      <c r="AD1056" s="302">
        <f t="shared" si="612"/>
        <v>-317.98</v>
      </c>
      <c r="AE1056" s="202">
        <f t="shared" si="613"/>
        <v>-20433</v>
      </c>
    </row>
    <row r="1057" spans="1:32" hidden="1" outlineLevel="2" x14ac:dyDescent="0.35">
      <c r="B1057" s="386" t="s">
        <v>736</v>
      </c>
      <c r="C1057" s="44" t="s">
        <v>40</v>
      </c>
      <c r="D1057" s="234">
        <v>240</v>
      </c>
      <c r="E1057" s="64"/>
      <c r="F1057" s="265">
        <f t="shared" si="614"/>
        <v>8</v>
      </c>
      <c r="G1057" s="219">
        <v>1989.6</v>
      </c>
      <c r="H1057" s="272"/>
      <c r="I1057" s="236"/>
      <c r="J1057" s="265"/>
      <c r="K1057" s="193"/>
      <c r="L1057" s="272"/>
      <c r="M1057" s="236"/>
      <c r="N1057" s="265"/>
      <c r="O1057" s="193"/>
      <c r="P1057" s="274">
        <v>9.31</v>
      </c>
      <c r="Q1057" s="236">
        <f t="shared" si="615"/>
        <v>240</v>
      </c>
      <c r="R1057" s="265">
        <f t="shared" si="616"/>
        <v>59</v>
      </c>
      <c r="S1057" s="193">
        <f t="shared" si="617"/>
        <v>14225</v>
      </c>
      <c r="T1057" s="230"/>
      <c r="U1057" s="290"/>
      <c r="V1057" s="200"/>
      <c r="W1057" s="232">
        <f t="shared" si="610"/>
        <v>240</v>
      </c>
      <c r="X1057" s="289">
        <v>30</v>
      </c>
      <c r="Y1057" s="199">
        <f t="shared" si="606"/>
        <v>7200</v>
      </c>
      <c r="Z1057" s="153"/>
      <c r="AA1057" s="147"/>
      <c r="AB1057" s="101"/>
      <c r="AC1057" s="226">
        <f t="shared" si="611"/>
        <v>240</v>
      </c>
      <c r="AD1057" s="304">
        <f t="shared" si="612"/>
        <v>29</v>
      </c>
      <c r="AE1057" s="305">
        <f t="shared" si="613"/>
        <v>6960</v>
      </c>
    </row>
    <row r="1058" spans="1:32" hidden="1" outlineLevel="2" x14ac:dyDescent="0.35">
      <c r="B1058" s="386" t="s">
        <v>737</v>
      </c>
      <c r="C1058" s="44" t="s">
        <v>28</v>
      </c>
      <c r="D1058" s="234">
        <v>0.36199999999999999</v>
      </c>
      <c r="E1058" s="64"/>
      <c r="F1058" s="265">
        <f t="shared" si="614"/>
        <v>23140</v>
      </c>
      <c r="G1058" s="219">
        <v>8376.75</v>
      </c>
      <c r="H1058" s="272"/>
      <c r="I1058" s="236"/>
      <c r="J1058" s="265"/>
      <c r="K1058" s="193"/>
      <c r="L1058" s="272"/>
      <c r="M1058" s="236"/>
      <c r="N1058" s="265"/>
      <c r="O1058" s="193"/>
      <c r="P1058" s="274">
        <v>9.31</v>
      </c>
      <c r="Q1058" s="236">
        <f t="shared" si="615"/>
        <v>0.36199999999999999</v>
      </c>
      <c r="R1058" s="265">
        <f t="shared" si="616"/>
        <v>171442</v>
      </c>
      <c r="S1058" s="193">
        <f t="shared" si="617"/>
        <v>62062</v>
      </c>
      <c r="T1058" s="230"/>
      <c r="U1058" s="290"/>
      <c r="V1058" s="200"/>
      <c r="W1058" s="232">
        <f t="shared" si="610"/>
        <v>0.36199999999999999</v>
      </c>
      <c r="X1058" s="289">
        <v>135525</v>
      </c>
      <c r="Y1058" s="199">
        <f t="shared" si="606"/>
        <v>49060.049999999996</v>
      </c>
      <c r="Z1058" s="153"/>
      <c r="AA1058" s="147"/>
      <c r="AB1058" s="101"/>
      <c r="AC1058" s="226">
        <f t="shared" si="611"/>
        <v>0.36199999999999999</v>
      </c>
      <c r="AD1058" s="304">
        <f t="shared" si="612"/>
        <v>35917</v>
      </c>
      <c r="AE1058" s="305">
        <f t="shared" si="613"/>
        <v>13002</v>
      </c>
    </row>
    <row r="1059" spans="1:32" s="95" customFormat="1" hidden="1" collapsed="1" x14ac:dyDescent="0.3">
      <c r="A1059" s="98"/>
      <c r="B1059" s="160"/>
      <c r="C1059" s="107"/>
      <c r="D1059" s="253"/>
      <c r="E1059" s="98"/>
      <c r="F1059" s="154"/>
      <c r="G1059" s="214"/>
      <c r="H1059" s="154"/>
      <c r="I1059" s="231"/>
      <c r="J1059" s="154"/>
      <c r="K1059" s="194"/>
      <c r="L1059" s="154"/>
      <c r="M1059" s="231"/>
      <c r="N1059" s="154"/>
      <c r="O1059" s="194"/>
      <c r="P1059" s="154"/>
      <c r="Q1059" s="231"/>
      <c r="R1059" s="286"/>
      <c r="S1059" s="194"/>
      <c r="T1059" s="231"/>
      <c r="U1059" s="155"/>
      <c r="V1059" s="194"/>
      <c r="W1059" s="231"/>
      <c r="X1059" s="155"/>
      <c r="Y1059" s="194"/>
      <c r="Z1059" s="157"/>
      <c r="AA1059" s="156"/>
      <c r="AB1059" s="156"/>
      <c r="AC1059" s="194"/>
      <c r="AD1059" s="155"/>
      <c r="AE1059" s="194"/>
    </row>
    <row r="1060" spans="1:32" ht="26.25" hidden="1" customHeight="1" x14ac:dyDescent="0.3">
      <c r="H1060" s="366"/>
      <c r="J1060" s="366"/>
      <c r="K1060" s="365">
        <f>K14+K128+K140+K149+K152+K206+K224+K861+K884+K334+K348+K453+K475+K701+K751+K759+K774+K789+K809+K492+K613+K907+K918+K965+K1034+K824+K835+K255+K308+K317+K382+K427+K461</f>
        <v>19826640</v>
      </c>
      <c r="L1060" s="366"/>
      <c r="N1060" s="366"/>
      <c r="O1060" s="365">
        <f>O14+O128+O140+O149+O152+O206+O224+O861+O884+O334+O348+O453+O475+O701+O751+O759+O774+O789+O809+O492+O613+O907+O918+O965+O1034+O824+O835+O255+O308+O317+O382+O427+O461</f>
        <v>8319051</v>
      </c>
      <c r="P1060" s="366"/>
      <c r="R1060" s="366"/>
      <c r="S1060" s="365">
        <f>S14+S128+S140+S149+S152+S206+S224+S861+S884+S334+S348+S453+S475+S701+S751+S759+S774+S789+S809+S492+S613+S907+S918+S965+S1034+S824+S835+S255+S308+S317+S382+S427+S461</f>
        <v>41493512.410605997</v>
      </c>
      <c r="U1060" s="367"/>
      <c r="V1060" s="365">
        <f>V14++V128+V149+V152+V206+V224+V255+V308+V317+V334+V348+V364+V382+V427+V453+V461+V475+V492+V613+V701+V751+V759+V774+V789+V809+V824+V835+V861+V884+V907+V918+V965+V1034</f>
        <v>43994267.33819399</v>
      </c>
      <c r="X1060" s="367"/>
      <c r="Y1060" s="365">
        <f>Y14++Y128+Y149+Y152+Y206+Y224+Y255+Y308+Y317+Y334+Y348+Y364+Y382+Y427+Y453+Y461+Y475+Y492+Y613+Y701+Y751+Y759+Y774+Y789+Y809+Y824+Y835+Y861+Y884+Y907+Y918+Y965+Y1034+Y140</f>
        <v>52544231.956100658</v>
      </c>
      <c r="Z1060" s="229"/>
      <c r="AA1060" s="367"/>
      <c r="AB1060" s="368"/>
      <c r="AD1060" s="366"/>
      <c r="AE1060" s="406">
        <f>AE14++AE128+AE149+AE152+AE206+AE224+AE255+AE308+AE317+AE334+AE348+AE364+AE382+AE427+AE453+AE461+AE475+AE492+AE613+AE701+AE751+AE759+AE774+AE789+AE809+AE824+AE835+AE861+AE884+AE907+AE918+AE965+AE1034+AE140</f>
        <v>-28712240.696440879</v>
      </c>
      <c r="AF1060" s="324">
        <f>AE1060/S1060</f>
        <v>-0.69196939541570002</v>
      </c>
    </row>
    <row r="1061" spans="1:32" hidden="1" x14ac:dyDescent="0.3"/>
    <row r="1062" spans="1:32" hidden="1" x14ac:dyDescent="0.3"/>
    <row r="1064" spans="1:32" x14ac:dyDescent="0.3">
      <c r="AB1064" s="365">
        <f>AB18++AB132+AB153+AB156+AB210+AB228+AB259+AB312+AB321+AB338+AB352+AB368+AB386+AB431+AB457+AB465+AB479+AB496+AB617+AB705+AB755+AB763+AB778+AB793+AB813+AB828+AB839+AB865+AB888+AB911+AB922+AB969+AB1038+AB144</f>
        <v>0</v>
      </c>
    </row>
  </sheetData>
  <autoFilter ref="K4:Y147" xr:uid="{00000000-0009-0000-0000-000003000000}"/>
  <mergeCells count="629">
    <mergeCell ref="AD62:AD63"/>
    <mergeCell ref="AE62:AE63"/>
    <mergeCell ref="AD92:AD95"/>
    <mergeCell ref="AE92:AE95"/>
    <mergeCell ref="AD112:AD121"/>
    <mergeCell ref="AE112:AE121"/>
    <mergeCell ref="B14:F14"/>
    <mergeCell ref="Q62:Q63"/>
    <mergeCell ref="R62:R63"/>
    <mergeCell ref="S62:S63"/>
    <mergeCell ref="W62:W63"/>
    <mergeCell ref="X62:X63"/>
    <mergeCell ref="Y62:Y63"/>
    <mergeCell ref="H62:H63"/>
    <mergeCell ref="I62:I63"/>
    <mergeCell ref="J62:J63"/>
    <mergeCell ref="K62:K63"/>
    <mergeCell ref="L62:L63"/>
    <mergeCell ref="M62:M63"/>
    <mergeCell ref="N62:N63"/>
    <mergeCell ref="AD59:AD60"/>
    <mergeCell ref="H596:H598"/>
    <mergeCell ref="P62:P63"/>
    <mergeCell ref="AD3:AD4"/>
    <mergeCell ref="AE3:AE4"/>
    <mergeCell ref="B224:F224"/>
    <mergeCell ref="B206:F206"/>
    <mergeCell ref="B152:F152"/>
    <mergeCell ref="AD159:AD163"/>
    <mergeCell ref="AE159:AE163"/>
    <mergeCell ref="AD167:AD170"/>
    <mergeCell ref="AE167:AE170"/>
    <mergeCell ref="AD192:AD193"/>
    <mergeCell ref="AE192:AE193"/>
    <mergeCell ref="AD200:AD202"/>
    <mergeCell ref="AE200:AE202"/>
    <mergeCell ref="B149:F149"/>
    <mergeCell ref="B140:F140"/>
    <mergeCell ref="AD48:AD50"/>
    <mergeCell ref="AE48:AE50"/>
    <mergeCell ref="W59:W60"/>
    <mergeCell ref="X59:X60"/>
    <mergeCell ref="B6:F6"/>
    <mergeCell ref="B5:F5"/>
    <mergeCell ref="AE59:AE60"/>
    <mergeCell ref="P596:P598"/>
    <mergeCell ref="P586:P588"/>
    <mergeCell ref="A1:AE1"/>
    <mergeCell ref="B255:F255"/>
    <mergeCell ref="Q596:Q598"/>
    <mergeCell ref="R596:R598"/>
    <mergeCell ref="S596:S598"/>
    <mergeCell ref="E599:E600"/>
    <mergeCell ref="F599:F600"/>
    <mergeCell ref="G599:G600"/>
    <mergeCell ref="H599:H600"/>
    <mergeCell ref="I599:I600"/>
    <mergeCell ref="J599:J600"/>
    <mergeCell ref="K599:K600"/>
    <mergeCell ref="L599:L600"/>
    <mergeCell ref="M599:M600"/>
    <mergeCell ref="N599:N600"/>
    <mergeCell ref="O599:O600"/>
    <mergeCell ref="P599:P600"/>
    <mergeCell ref="Q599:Q600"/>
    <mergeCell ref="R599:R600"/>
    <mergeCell ref="S599:S600"/>
    <mergeCell ref="O62:O63"/>
    <mergeCell ref="R579:R580"/>
    <mergeCell ref="S579:S580"/>
    <mergeCell ref="Q586:Q588"/>
    <mergeCell ref="R586:R588"/>
    <mergeCell ref="S586:S588"/>
    <mergeCell ref="E579:E580"/>
    <mergeCell ref="F579:F580"/>
    <mergeCell ref="G579:G580"/>
    <mergeCell ref="H579:H580"/>
    <mergeCell ref="I579:I580"/>
    <mergeCell ref="J579:J580"/>
    <mergeCell ref="G586:G588"/>
    <mergeCell ref="H586:H588"/>
    <mergeCell ref="I586:I588"/>
    <mergeCell ref="J586:J588"/>
    <mergeCell ref="K586:K588"/>
    <mergeCell ref="L586:L588"/>
    <mergeCell ref="M586:M588"/>
    <mergeCell ref="N586:N588"/>
    <mergeCell ref="O586:O588"/>
    <mergeCell ref="N579:N580"/>
    <mergeCell ref="P579:P580"/>
    <mergeCell ref="Q579:Q580"/>
    <mergeCell ref="P549:P551"/>
    <mergeCell ref="S549:S551"/>
    <mergeCell ref="E554:E569"/>
    <mergeCell ref="F554:F569"/>
    <mergeCell ref="G554:G569"/>
    <mergeCell ref="H554:H569"/>
    <mergeCell ref="I554:I569"/>
    <mergeCell ref="J554:J569"/>
    <mergeCell ref="K554:K569"/>
    <mergeCell ref="L554:L569"/>
    <mergeCell ref="M554:M569"/>
    <mergeCell ref="N554:N569"/>
    <mergeCell ref="O554:O569"/>
    <mergeCell ref="P554:P569"/>
    <mergeCell ref="Q554:Q569"/>
    <mergeCell ref="R554:R569"/>
    <mergeCell ref="S554:S569"/>
    <mergeCell ref="E549:E551"/>
    <mergeCell ref="G549:G551"/>
    <mergeCell ref="H549:H551"/>
    <mergeCell ref="I549:I551"/>
    <mergeCell ref="J549:J551"/>
    <mergeCell ref="S528:S529"/>
    <mergeCell ref="E547:E548"/>
    <mergeCell ref="F547:F548"/>
    <mergeCell ref="G547:G548"/>
    <mergeCell ref="H547:H548"/>
    <mergeCell ref="I547:I548"/>
    <mergeCell ref="J547:J548"/>
    <mergeCell ref="K547:K548"/>
    <mergeCell ref="L547:L548"/>
    <mergeCell ref="M547:M548"/>
    <mergeCell ref="N547:N548"/>
    <mergeCell ref="O547:O548"/>
    <mergeCell ref="P547:P548"/>
    <mergeCell ref="Q547:Q548"/>
    <mergeCell ref="R547:R548"/>
    <mergeCell ref="S547:S548"/>
    <mergeCell ref="E528:E529"/>
    <mergeCell ref="F528:F529"/>
    <mergeCell ref="G528:G529"/>
    <mergeCell ref="H528:H529"/>
    <mergeCell ref="I528:I529"/>
    <mergeCell ref="J528:J529"/>
    <mergeCell ref="S522:S524"/>
    <mergeCell ref="E525:E526"/>
    <mergeCell ref="F525:F526"/>
    <mergeCell ref="G525:G526"/>
    <mergeCell ref="H525:H526"/>
    <mergeCell ref="I525:I526"/>
    <mergeCell ref="J525:J526"/>
    <mergeCell ref="K525:K526"/>
    <mergeCell ref="L525:L526"/>
    <mergeCell ref="M525:M526"/>
    <mergeCell ref="N525:N526"/>
    <mergeCell ref="O525:O526"/>
    <mergeCell ref="P525:P526"/>
    <mergeCell ref="Q525:Q526"/>
    <mergeCell ref="R525:R526"/>
    <mergeCell ref="S525:S526"/>
    <mergeCell ref="E522:E524"/>
    <mergeCell ref="F522:F524"/>
    <mergeCell ref="G522:G524"/>
    <mergeCell ref="H522:H524"/>
    <mergeCell ref="I522:I524"/>
    <mergeCell ref="J522:J524"/>
    <mergeCell ref="K522:K524"/>
    <mergeCell ref="L522:L524"/>
    <mergeCell ref="H519:H520"/>
    <mergeCell ref="I519:I520"/>
    <mergeCell ref="J519:J520"/>
    <mergeCell ref="K519:K520"/>
    <mergeCell ref="L519:L520"/>
    <mergeCell ref="H513:H514"/>
    <mergeCell ref="I513:I514"/>
    <mergeCell ref="J513:J514"/>
    <mergeCell ref="K513:K514"/>
    <mergeCell ref="L513:L514"/>
    <mergeCell ref="M513:M514"/>
    <mergeCell ref="N513:N514"/>
    <mergeCell ref="O513:O514"/>
    <mergeCell ref="G516:G518"/>
    <mergeCell ref="H516:H518"/>
    <mergeCell ref="I516:I518"/>
    <mergeCell ref="J516:J518"/>
    <mergeCell ref="K516:K518"/>
    <mergeCell ref="L516:L518"/>
    <mergeCell ref="B701:F701"/>
    <mergeCell ref="B334:F334"/>
    <mergeCell ref="B348:F348"/>
    <mergeCell ref="B364:F364"/>
    <mergeCell ref="B453:F453"/>
    <mergeCell ref="B475:F475"/>
    <mergeCell ref="E159:E163"/>
    <mergeCell ref="G159:G163"/>
    <mergeCell ref="F159:F163"/>
    <mergeCell ref="F167:F170"/>
    <mergeCell ref="G167:G170"/>
    <mergeCell ref="E167:E170"/>
    <mergeCell ref="F200:F202"/>
    <mergeCell ref="G200:G202"/>
    <mergeCell ref="G513:G514"/>
    <mergeCell ref="E596:E598"/>
    <mergeCell ref="F596:F598"/>
    <mergeCell ref="G596:G598"/>
    <mergeCell ref="E200:E202"/>
    <mergeCell ref="G643:G648"/>
    <mergeCell ref="G519:G520"/>
    <mergeCell ref="A2:A4"/>
    <mergeCell ref="B2:B4"/>
    <mergeCell ref="C2:C4"/>
    <mergeCell ref="D2:D4"/>
    <mergeCell ref="E2:E4"/>
    <mergeCell ref="E496:E499"/>
    <mergeCell ref="F496:F499"/>
    <mergeCell ref="G496:G499"/>
    <mergeCell ref="H496:H499"/>
    <mergeCell ref="F365:F368"/>
    <mergeCell ref="E365:E368"/>
    <mergeCell ref="E92:E95"/>
    <mergeCell ref="F92:F95"/>
    <mergeCell ref="E98:E103"/>
    <mergeCell ref="E32:E34"/>
    <mergeCell ref="F32:F34"/>
    <mergeCell ref="E48:E49"/>
    <mergeCell ref="E44:E45"/>
    <mergeCell ref="E72:E74"/>
    <mergeCell ref="Z3:AB3"/>
    <mergeCell ref="H2:S2"/>
    <mergeCell ref="H3:K3"/>
    <mergeCell ref="L3:O3"/>
    <mergeCell ref="P3:S3"/>
    <mergeCell ref="T3:V3"/>
    <mergeCell ref="T2:Y2"/>
    <mergeCell ref="W3:Y3"/>
    <mergeCell ref="S159:S163"/>
    <mergeCell ref="P159:P163"/>
    <mergeCell ref="O159:O163"/>
    <mergeCell ref="K112:K121"/>
    <mergeCell ref="T59:T60"/>
    <mergeCell ref="P92:P95"/>
    <mergeCell ref="Q92:Q95"/>
    <mergeCell ref="R92:R95"/>
    <mergeCell ref="S92:S95"/>
    <mergeCell ref="K92:K95"/>
    <mergeCell ref="L92:L95"/>
    <mergeCell ref="M92:M95"/>
    <mergeCell ref="N92:N95"/>
    <mergeCell ref="Q167:Q170"/>
    <mergeCell ref="R167:R170"/>
    <mergeCell ref="S192:S193"/>
    <mergeCell ref="H167:H170"/>
    <mergeCell ref="S200:S202"/>
    <mergeCell ref="G365:G368"/>
    <mergeCell ref="R159:R163"/>
    <mergeCell ref="K32:K34"/>
    <mergeCell ref="Y59:Y60"/>
    <mergeCell ref="G32:G34"/>
    <mergeCell ref="H32:H34"/>
    <mergeCell ref="G92:G95"/>
    <mergeCell ref="H92:H95"/>
    <mergeCell ref="U59:U60"/>
    <mergeCell ref="V59:V60"/>
    <mergeCell ref="Q32:Q34"/>
    <mergeCell ref="R32:R34"/>
    <mergeCell ref="S32:S34"/>
    <mergeCell ref="S36:S39"/>
    <mergeCell ref="N59:N60"/>
    <mergeCell ref="O59:O60"/>
    <mergeCell ref="H112:H121"/>
    <mergeCell ref="I112:I121"/>
    <mergeCell ref="J112:J121"/>
    <mergeCell ref="B759:F759"/>
    <mergeCell ref="B835:F835"/>
    <mergeCell ref="B907:F907"/>
    <mergeCell ref="B918:F918"/>
    <mergeCell ref="B965:F965"/>
    <mergeCell ref="B1034:F1034"/>
    <mergeCell ref="B824:F824"/>
    <mergeCell ref="B492:F492"/>
    <mergeCell ref="B613:F613"/>
    <mergeCell ref="B774:F774"/>
    <mergeCell ref="B789:F789"/>
    <mergeCell ref="B809:F809"/>
    <mergeCell ref="E795:E800"/>
    <mergeCell ref="E513:E514"/>
    <mergeCell ref="F513:F514"/>
    <mergeCell ref="E519:E520"/>
    <mergeCell ref="F519:F520"/>
    <mergeCell ref="E516:E518"/>
    <mergeCell ref="F516:F518"/>
    <mergeCell ref="E643:E648"/>
    <mergeCell ref="F643:F648"/>
    <mergeCell ref="F549:F551"/>
    <mergeCell ref="E586:E588"/>
    <mergeCell ref="F586:F588"/>
    <mergeCell ref="B751:F751"/>
    <mergeCell ref="L167:L170"/>
    <mergeCell ref="M167:M170"/>
    <mergeCell ref="N159:N163"/>
    <mergeCell ref="M159:M163"/>
    <mergeCell ref="B884:F884"/>
    <mergeCell ref="B861:F861"/>
    <mergeCell ref="S167:S170"/>
    <mergeCell ref="F192:F193"/>
    <mergeCell ref="E192:E193"/>
    <mergeCell ref="G192:G193"/>
    <mergeCell ref="H192:H193"/>
    <mergeCell ref="I192:I193"/>
    <mergeCell ref="J192:J193"/>
    <mergeCell ref="L192:L193"/>
    <mergeCell ref="M192:M193"/>
    <mergeCell ref="N192:N193"/>
    <mergeCell ref="K192:K193"/>
    <mergeCell ref="O192:O193"/>
    <mergeCell ref="Q192:Q193"/>
    <mergeCell ref="P192:P193"/>
    <mergeCell ref="R192:R193"/>
    <mergeCell ref="N167:N170"/>
    <mergeCell ref="P167:P170"/>
    <mergeCell ref="S939:S944"/>
    <mergeCell ref="R365:R368"/>
    <mergeCell ref="S365:S368"/>
    <mergeCell ref="O939:O944"/>
    <mergeCell ref="O365:O368"/>
    <mergeCell ref="Q365:Q368"/>
    <mergeCell ref="R643:R648"/>
    <mergeCell ref="S643:S648"/>
    <mergeCell ref="P939:P944"/>
    <mergeCell ref="Q939:Q944"/>
    <mergeCell ref="R939:R944"/>
    <mergeCell ref="P365:P368"/>
    <mergeCell ref="S496:S499"/>
    <mergeCell ref="P513:P514"/>
    <mergeCell ref="Q513:Q514"/>
    <mergeCell ref="R513:R514"/>
    <mergeCell ref="S513:S514"/>
    <mergeCell ref="S516:S518"/>
    <mergeCell ref="P519:P520"/>
    <mergeCell ref="Q519:Q520"/>
    <mergeCell ref="R519:R520"/>
    <mergeCell ref="S519:S520"/>
    <mergeCell ref="P516:P518"/>
    <mergeCell ref="Q516:Q518"/>
    <mergeCell ref="H643:H648"/>
    <mergeCell ref="I643:I648"/>
    <mergeCell ref="J643:J648"/>
    <mergeCell ref="K643:K648"/>
    <mergeCell ref="L643:L648"/>
    <mergeCell ref="M643:M648"/>
    <mergeCell ref="Q200:Q202"/>
    <mergeCell ref="R200:R202"/>
    <mergeCell ref="K200:K202"/>
    <mergeCell ref="O200:O202"/>
    <mergeCell ref="H365:H368"/>
    <mergeCell ref="I365:I368"/>
    <mergeCell ref="K365:K368"/>
    <mergeCell ref="L365:L368"/>
    <mergeCell ref="M365:M368"/>
    <mergeCell ref="N365:N368"/>
    <mergeCell ref="H200:H202"/>
    <mergeCell ref="I200:I202"/>
    <mergeCell ref="J200:J202"/>
    <mergeCell ref="L200:L202"/>
    <mergeCell ref="M200:M202"/>
    <mergeCell ref="N200:N202"/>
    <mergeCell ref="P200:P202"/>
    <mergeCell ref="P643:P648"/>
    <mergeCell ref="Q947:Q952"/>
    <mergeCell ref="R947:R952"/>
    <mergeCell ref="K947:K952"/>
    <mergeCell ref="O947:O952"/>
    <mergeCell ref="E939:E952"/>
    <mergeCell ref="L947:L952"/>
    <mergeCell ref="M947:M952"/>
    <mergeCell ref="N947:N952"/>
    <mergeCell ref="F947:F952"/>
    <mergeCell ref="G947:G952"/>
    <mergeCell ref="H947:H952"/>
    <mergeCell ref="I947:I952"/>
    <mergeCell ref="J947:J952"/>
    <mergeCell ref="G939:G944"/>
    <mergeCell ref="H939:H944"/>
    <mergeCell ref="I939:I944"/>
    <mergeCell ref="J939:J944"/>
    <mergeCell ref="L939:L944"/>
    <mergeCell ref="M939:M944"/>
    <mergeCell ref="N939:N944"/>
    <mergeCell ref="K939:K944"/>
    <mergeCell ref="F939:F944"/>
    <mergeCell ref="G955:G958"/>
    <mergeCell ref="F955:F958"/>
    <mergeCell ref="E955:E958"/>
    <mergeCell ref="H955:H958"/>
    <mergeCell ref="I955:I958"/>
    <mergeCell ref="J955:J958"/>
    <mergeCell ref="K955:K958"/>
    <mergeCell ref="L955:L958"/>
    <mergeCell ref="M955:M958"/>
    <mergeCell ref="Q643:Q648"/>
    <mergeCell ref="O496:O499"/>
    <mergeCell ref="P496:P499"/>
    <mergeCell ref="Q496:Q499"/>
    <mergeCell ref="M522:M524"/>
    <mergeCell ref="R516:R518"/>
    <mergeCell ref="M516:M518"/>
    <mergeCell ref="N522:N524"/>
    <mergeCell ref="O522:O524"/>
    <mergeCell ref="P522:P524"/>
    <mergeCell ref="Q522:Q524"/>
    <mergeCell ref="R522:R524"/>
    <mergeCell ref="Q528:Q529"/>
    <mergeCell ref="R528:R529"/>
    <mergeCell ref="Q549:Q551"/>
    <mergeCell ref="R549:R551"/>
    <mergeCell ref="M496:M499"/>
    <mergeCell ref="M519:M520"/>
    <mergeCell ref="N519:N520"/>
    <mergeCell ref="O519:O520"/>
    <mergeCell ref="M549:M551"/>
    <mergeCell ref="P528:P529"/>
    <mergeCell ref="M528:M529"/>
    <mergeCell ref="N643:N648"/>
    <mergeCell ref="O643:O648"/>
    <mergeCell ref="K528:K529"/>
    <mergeCell ref="L528:L529"/>
    <mergeCell ref="N549:N551"/>
    <mergeCell ref="O549:O551"/>
    <mergeCell ref="I596:I598"/>
    <mergeCell ref="J596:J598"/>
    <mergeCell ref="K596:K598"/>
    <mergeCell ref="L596:L598"/>
    <mergeCell ref="M596:M598"/>
    <mergeCell ref="K579:K580"/>
    <mergeCell ref="L579:L580"/>
    <mergeCell ref="M579:M580"/>
    <mergeCell ref="N596:N598"/>
    <mergeCell ref="O596:O598"/>
    <mergeCell ref="N528:N529"/>
    <mergeCell ref="O528:O529"/>
    <mergeCell ref="K549:K551"/>
    <mergeCell ref="L549:L551"/>
    <mergeCell ref="O579:O580"/>
    <mergeCell ref="N496:N499"/>
    <mergeCell ref="P32:P34"/>
    <mergeCell ref="O516:O518"/>
    <mergeCell ref="K167:K170"/>
    <mergeCell ref="O167:O170"/>
    <mergeCell ref="J365:J368"/>
    <mergeCell ref="I496:I499"/>
    <mergeCell ref="J496:J499"/>
    <mergeCell ref="K496:K499"/>
    <mergeCell ref="L496:L499"/>
    <mergeCell ref="N32:N34"/>
    <mergeCell ref="I32:I34"/>
    <mergeCell ref="J32:J34"/>
    <mergeCell ref="I92:I95"/>
    <mergeCell ref="J92:J95"/>
    <mergeCell ref="K59:K60"/>
    <mergeCell ref="L59:L60"/>
    <mergeCell ref="L32:L34"/>
    <mergeCell ref="M32:M34"/>
    <mergeCell ref="O32:O34"/>
    <mergeCell ref="M59:M60"/>
    <mergeCell ref="N36:N39"/>
    <mergeCell ref="O36:O39"/>
    <mergeCell ref="O48:O49"/>
    <mergeCell ref="I167:I170"/>
    <mergeCell ref="J167:J170"/>
    <mergeCell ref="L159:L163"/>
    <mergeCell ref="Q159:Q163"/>
    <mergeCell ref="S112:S121"/>
    <mergeCell ref="E62:E63"/>
    <mergeCell ref="F62:F63"/>
    <mergeCell ref="S48:S49"/>
    <mergeCell ref="F48:F49"/>
    <mergeCell ref="G48:G49"/>
    <mergeCell ref="H48:H49"/>
    <mergeCell ref="I48:I49"/>
    <mergeCell ref="J48:J49"/>
    <mergeCell ref="K48:K49"/>
    <mergeCell ref="L48:L49"/>
    <mergeCell ref="M48:M49"/>
    <mergeCell ref="P48:P49"/>
    <mergeCell ref="Q48:Q49"/>
    <mergeCell ref="R48:R49"/>
    <mergeCell ref="S59:S60"/>
    <mergeCell ref="N48:N49"/>
    <mergeCell ref="E112:E121"/>
    <mergeCell ref="F112:F121"/>
    <mergeCell ref="G112:G121"/>
    <mergeCell ref="R496:R499"/>
    <mergeCell ref="N516:N518"/>
    <mergeCell ref="E36:E39"/>
    <mergeCell ref="F36:F39"/>
    <mergeCell ref="G36:G39"/>
    <mergeCell ref="H36:H39"/>
    <mergeCell ref="I36:I39"/>
    <mergeCell ref="J36:J39"/>
    <mergeCell ref="K36:K39"/>
    <mergeCell ref="L36:L39"/>
    <mergeCell ref="M36:M39"/>
    <mergeCell ref="B308:F308"/>
    <mergeCell ref="B317:F317"/>
    <mergeCell ref="B382:F382"/>
    <mergeCell ref="B427:F427"/>
    <mergeCell ref="B461:F461"/>
    <mergeCell ref="P36:P39"/>
    <mergeCell ref="Q36:Q39"/>
    <mergeCell ref="R36:R39"/>
    <mergeCell ref="E265:E266"/>
    <mergeCell ref="F265:F266"/>
    <mergeCell ref="G265:G266"/>
    <mergeCell ref="Q265:Q266"/>
    <mergeCell ref="R265:R266"/>
    <mergeCell ref="O261:O262"/>
    <mergeCell ref="P261:P262"/>
    <mergeCell ref="Q261:Q262"/>
    <mergeCell ref="R261:R262"/>
    <mergeCell ref="P59:P60"/>
    <mergeCell ref="Q59:Q60"/>
    <mergeCell ref="R59:R60"/>
    <mergeCell ref="B128:F128"/>
    <mergeCell ref="N112:N121"/>
    <mergeCell ref="O112:O121"/>
    <mergeCell ref="P112:P121"/>
    <mergeCell ref="Q112:Q121"/>
    <mergeCell ref="R112:R121"/>
    <mergeCell ref="L112:L121"/>
    <mergeCell ref="M112:M121"/>
    <mergeCell ref="O92:O95"/>
    <mergeCell ref="G62:G63"/>
    <mergeCell ref="H159:H163"/>
    <mergeCell ref="I159:I163"/>
    <mergeCell ref="J159:J163"/>
    <mergeCell ref="K159:K163"/>
    <mergeCell ref="H59:H60"/>
    <mergeCell ref="I59:I60"/>
    <mergeCell ref="J59:J60"/>
    <mergeCell ref="AD939:AD944"/>
    <mergeCell ref="AE939:AE944"/>
    <mergeCell ref="AD947:AD952"/>
    <mergeCell ref="AE947:AE952"/>
    <mergeCell ref="AD955:AD958"/>
    <mergeCell ref="AE955:AE958"/>
    <mergeCell ref="S265:S266"/>
    <mergeCell ref="H265:H266"/>
    <mergeCell ref="I265:I266"/>
    <mergeCell ref="J265:J266"/>
    <mergeCell ref="K265:K266"/>
    <mergeCell ref="L265:L266"/>
    <mergeCell ref="M265:M266"/>
    <mergeCell ref="N265:N266"/>
    <mergeCell ref="O265:O266"/>
    <mergeCell ref="P265:P266"/>
    <mergeCell ref="S947:S952"/>
    <mergeCell ref="N955:N958"/>
    <mergeCell ref="O955:O958"/>
    <mergeCell ref="P955:P958"/>
    <mergeCell ref="Q955:Q958"/>
    <mergeCell ref="R955:R958"/>
    <mergeCell ref="S955:S958"/>
    <mergeCell ref="P947:P952"/>
    <mergeCell ref="AD554:AD569"/>
    <mergeCell ref="AE554:AE569"/>
    <mergeCell ref="AD496:AD499"/>
    <mergeCell ref="AD513:AD514"/>
    <mergeCell ref="AE513:AE514"/>
    <mergeCell ref="AD516:AD518"/>
    <mergeCell ref="AE516:AE518"/>
    <mergeCell ref="AD519:AD520"/>
    <mergeCell ref="AE519:AE520"/>
    <mergeCell ref="AE522:AE524"/>
    <mergeCell ref="AD522:AD524"/>
    <mergeCell ref="AE496:AE499"/>
    <mergeCell ref="AD525:AD526"/>
    <mergeCell ref="AE525:AE526"/>
    <mergeCell ref="AD528:AD529"/>
    <mergeCell ref="AE528:AE529"/>
    <mergeCell ref="AD547:AD548"/>
    <mergeCell ref="AD549:AD551"/>
    <mergeCell ref="AE549:AE551"/>
    <mergeCell ref="AE547:AE548"/>
    <mergeCell ref="AD643:AD648"/>
    <mergeCell ref="AE643:AE648"/>
    <mergeCell ref="T643:T648"/>
    <mergeCell ref="U643:U648"/>
    <mergeCell ref="V643:V648"/>
    <mergeCell ref="AD579:AD580"/>
    <mergeCell ref="AE579:AE580"/>
    <mergeCell ref="AD586:AD588"/>
    <mergeCell ref="AE586:AE588"/>
    <mergeCell ref="AD596:AD598"/>
    <mergeCell ref="AE596:AE598"/>
    <mergeCell ref="AD599:AD600"/>
    <mergeCell ref="AE599:AE600"/>
    <mergeCell ref="W554:W569"/>
    <mergeCell ref="X554:X569"/>
    <mergeCell ref="Y554:Y569"/>
    <mergeCell ref="W643:W648"/>
    <mergeCell ref="X643:X648"/>
    <mergeCell ref="Y643:Y648"/>
    <mergeCell ref="T547:T548"/>
    <mergeCell ref="U547:U548"/>
    <mergeCell ref="V547:V548"/>
    <mergeCell ref="W547:W548"/>
    <mergeCell ref="X547:X548"/>
    <mergeCell ref="Y547:Y548"/>
    <mergeCell ref="T549:T551"/>
    <mergeCell ref="U549:U551"/>
    <mergeCell ref="V549:V551"/>
    <mergeCell ref="W549:W551"/>
    <mergeCell ref="X549:X551"/>
    <mergeCell ref="Y549:Y551"/>
    <mergeCell ref="B906:F906"/>
    <mergeCell ref="B8:F8"/>
    <mergeCell ref="B7:F7"/>
    <mergeCell ref="B10:F10"/>
    <mergeCell ref="B491:F491"/>
    <mergeCell ref="B12:F12"/>
    <mergeCell ref="T554:T569"/>
    <mergeCell ref="U554:U569"/>
    <mergeCell ref="V554:V569"/>
    <mergeCell ref="S261:S262"/>
    <mergeCell ref="E261:E262"/>
    <mergeCell ref="F261:F262"/>
    <mergeCell ref="G261:G262"/>
    <mergeCell ref="H261:H262"/>
    <mergeCell ref="I261:I262"/>
    <mergeCell ref="J261:J262"/>
    <mergeCell ref="K261:K262"/>
    <mergeCell ref="L261:L262"/>
    <mergeCell ref="M261:M262"/>
    <mergeCell ref="C59:C60"/>
    <mergeCell ref="D59:D60"/>
    <mergeCell ref="F59:F60"/>
    <mergeCell ref="G59:G60"/>
    <mergeCell ref="N261:N262"/>
  </mergeCells>
  <pageMargins left="0.7" right="0.7" top="0.75" bottom="0.75" header="0.3" footer="0.3"/>
  <pageSetup paperSize="9" scale="6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05"/>
  <sheetViews>
    <sheetView zoomScale="85" zoomScaleNormal="85" zoomScaleSheetLayoutView="77" workbookViewId="0">
      <pane ySplit="4" topLeftCell="A35" activePane="bottomLeft" state="frozen"/>
      <selection activeCell="B58" activeCellId="1" sqref="A20:B21 B58"/>
      <selection pane="bottomLeft" activeCell="B58" activeCellId="1" sqref="A20:B21 B58"/>
    </sheetView>
  </sheetViews>
  <sheetFormatPr defaultRowHeight="14.4" x14ac:dyDescent="0.3"/>
  <cols>
    <col min="2" max="2" width="64.5546875" customWidth="1"/>
    <col min="3" max="3" width="12.6640625" customWidth="1"/>
    <col min="4" max="4" width="9.6640625" customWidth="1"/>
    <col min="5" max="5" width="16" customWidth="1"/>
    <col min="6" max="6" width="15.109375" customWidth="1"/>
    <col min="7" max="7" width="15.5546875" customWidth="1"/>
    <col min="8" max="8" width="12.44140625" customWidth="1"/>
    <col min="9" max="9" width="14.6640625" customWidth="1"/>
    <col min="10" max="10" width="16.33203125" customWidth="1"/>
    <col min="11" max="11" width="20.109375" style="1" customWidth="1"/>
    <col min="12" max="12" width="18" style="1" customWidth="1"/>
    <col min="13" max="13" width="10.5546875" style="1" hidden="1" customWidth="1"/>
    <col min="14" max="14" width="10.5546875" hidden="1" customWidth="1"/>
    <col min="15" max="15" width="19.33203125" customWidth="1" collapsed="1"/>
    <col min="16" max="16" width="15.5546875" customWidth="1"/>
    <col min="18" max="18" width="12.109375" customWidth="1"/>
  </cols>
  <sheetData>
    <row r="1" spans="1:18" ht="18" x14ac:dyDescent="0.35">
      <c r="B1" s="10"/>
    </row>
    <row r="2" spans="1:18" ht="27" customHeight="1" x14ac:dyDescent="0.35">
      <c r="A2" s="1213" t="s">
        <v>13</v>
      </c>
      <c r="B2" s="1219" t="s">
        <v>1</v>
      </c>
      <c r="C2" s="1222" t="s">
        <v>0</v>
      </c>
      <c r="D2" s="1222" t="s">
        <v>4</v>
      </c>
      <c r="E2" s="1223" t="s">
        <v>11</v>
      </c>
      <c r="F2" s="1216" t="s">
        <v>2</v>
      </c>
      <c r="G2" s="1216"/>
      <c r="H2" s="1216"/>
      <c r="I2" s="1216"/>
      <c r="J2" s="1216"/>
      <c r="K2" s="1211" t="s">
        <v>12</v>
      </c>
      <c r="L2" s="1211"/>
      <c r="M2" s="2"/>
      <c r="N2" s="3"/>
      <c r="O2" s="1212" t="s">
        <v>3</v>
      </c>
      <c r="P2" s="1212"/>
    </row>
    <row r="3" spans="1:18" ht="27" customHeight="1" thickBot="1" x14ac:dyDescent="0.4">
      <c r="A3" s="1214"/>
      <c r="B3" s="1220"/>
      <c r="C3" s="1222"/>
      <c r="D3" s="1222"/>
      <c r="E3" s="1223"/>
      <c r="F3" s="1217" t="s">
        <v>7</v>
      </c>
      <c r="G3" s="1216"/>
      <c r="H3" s="1216" t="s">
        <v>9</v>
      </c>
      <c r="I3" s="1216" t="s">
        <v>21</v>
      </c>
      <c r="J3" s="1218"/>
      <c r="K3" s="1211"/>
      <c r="L3" s="1211"/>
      <c r="M3" s="11"/>
      <c r="N3" s="11"/>
      <c r="O3" s="1212"/>
      <c r="P3" s="1212"/>
    </row>
    <row r="4" spans="1:18" ht="31.8" thickBot="1" x14ac:dyDescent="0.35">
      <c r="A4" s="1215"/>
      <c r="B4" s="1221"/>
      <c r="C4" s="1222"/>
      <c r="D4" s="1222"/>
      <c r="E4" s="1223"/>
      <c r="F4" s="16" t="s">
        <v>8</v>
      </c>
      <c r="G4" s="15" t="s">
        <v>10</v>
      </c>
      <c r="H4" s="1216"/>
      <c r="I4" s="15" t="s">
        <v>8</v>
      </c>
      <c r="J4" s="17" t="s">
        <v>10</v>
      </c>
      <c r="K4" s="12" t="s">
        <v>8</v>
      </c>
      <c r="L4" s="12" t="s">
        <v>10</v>
      </c>
      <c r="M4" s="4"/>
      <c r="N4" s="13"/>
      <c r="O4" s="14" t="s">
        <v>8</v>
      </c>
      <c r="P4" s="14" t="s">
        <v>10</v>
      </c>
    </row>
    <row r="5" spans="1:18" ht="36" x14ac:dyDescent="0.35">
      <c r="A5" s="18"/>
      <c r="B5" s="24" t="s">
        <v>14</v>
      </c>
      <c r="C5" s="19"/>
      <c r="D5" s="19"/>
      <c r="E5" s="19"/>
      <c r="F5" s="20"/>
      <c r="G5" s="21"/>
      <c r="H5" s="21"/>
      <c r="I5" s="21"/>
      <c r="J5" s="22"/>
      <c r="K5" s="25"/>
      <c r="L5" s="25"/>
      <c r="M5" s="23"/>
      <c r="N5" s="23"/>
      <c r="O5" s="19"/>
      <c r="P5" s="19"/>
    </row>
    <row r="6" spans="1:18" x14ac:dyDescent="0.3">
      <c r="A6" s="42"/>
      <c r="B6" s="43" t="s">
        <v>22</v>
      </c>
      <c r="C6" s="44" t="s">
        <v>17</v>
      </c>
      <c r="D6" s="45">
        <v>7215.1</v>
      </c>
      <c r="E6" s="46"/>
      <c r="F6" s="47">
        <f>ROUND(G6/D6,0)</f>
        <v>84</v>
      </c>
      <c r="G6" s="48">
        <v>606429.15</v>
      </c>
      <c r="H6" s="46"/>
      <c r="I6" s="47">
        <f>ROUND(F6*H6*0.7958,0)</f>
        <v>0</v>
      </c>
      <c r="J6" s="49">
        <f>ROUND(G6*H6*0.7958,0)</f>
        <v>0</v>
      </c>
      <c r="K6" s="26"/>
      <c r="L6" s="35"/>
      <c r="M6" s="42"/>
      <c r="N6" s="42"/>
      <c r="O6" s="50">
        <f t="shared" ref="O6:O15" si="0">I6-K6</f>
        <v>0</v>
      </c>
      <c r="P6" s="51">
        <f t="shared" ref="P6:P15" si="1">J6-L6</f>
        <v>0</v>
      </c>
      <c r="R6">
        <f>F6*D6</f>
        <v>606068.4</v>
      </c>
    </row>
    <row r="7" spans="1:18" x14ac:dyDescent="0.3">
      <c r="A7" s="42"/>
      <c r="B7" s="52"/>
      <c r="C7" s="53" t="s">
        <v>17</v>
      </c>
      <c r="D7" s="54">
        <v>5184</v>
      </c>
      <c r="E7" s="55"/>
      <c r="F7" s="56">
        <v>84</v>
      </c>
      <c r="G7" s="57">
        <f>D7*F7</f>
        <v>435456</v>
      </c>
      <c r="H7" s="55">
        <v>5.91</v>
      </c>
      <c r="I7" s="56">
        <f>ROUND(F7*H7*0.7958,0)</f>
        <v>395</v>
      </c>
      <c r="J7" s="58">
        <f>ROUND(G7*H7*0.7958,0)</f>
        <v>2048027</v>
      </c>
      <c r="K7" s="33"/>
      <c r="L7" s="34"/>
      <c r="M7" s="59"/>
      <c r="N7" s="59"/>
      <c r="O7" s="60">
        <f t="shared" si="0"/>
        <v>395</v>
      </c>
      <c r="P7" s="61">
        <f t="shared" si="1"/>
        <v>2048027</v>
      </c>
    </row>
    <row r="8" spans="1:18" x14ac:dyDescent="0.3">
      <c r="A8" s="42"/>
      <c r="B8" s="52"/>
      <c r="C8" s="53" t="s">
        <v>17</v>
      </c>
      <c r="D8" s="54">
        <v>2227</v>
      </c>
      <c r="E8" s="55"/>
      <c r="F8" s="56">
        <v>84</v>
      </c>
      <c r="G8" s="57">
        <f>D8*F8</f>
        <v>187068</v>
      </c>
      <c r="H8" s="55">
        <v>6.11</v>
      </c>
      <c r="I8" s="56">
        <f>ROUND(F8*H8*0.7958,0)</f>
        <v>408</v>
      </c>
      <c r="J8" s="58">
        <f>ROUND(G8*H8*0.7958,0)</f>
        <v>909588</v>
      </c>
      <c r="K8" s="36"/>
      <c r="L8" s="37"/>
      <c r="M8" s="59"/>
      <c r="N8" s="59"/>
      <c r="O8" s="60">
        <f t="shared" si="0"/>
        <v>408</v>
      </c>
      <c r="P8" s="61">
        <f t="shared" si="1"/>
        <v>909588</v>
      </c>
    </row>
    <row r="9" spans="1:18" x14ac:dyDescent="0.3">
      <c r="A9" s="42"/>
      <c r="B9" s="52"/>
      <c r="C9" s="53" t="s">
        <v>17</v>
      </c>
      <c r="D9" s="54">
        <v>334.05</v>
      </c>
      <c r="E9" s="55"/>
      <c r="F9" s="56">
        <v>84</v>
      </c>
      <c r="G9" s="57">
        <f>D9*F9</f>
        <v>28060.2</v>
      </c>
      <c r="H9" s="55">
        <v>6.31</v>
      </c>
      <c r="I9" s="56">
        <f>ROUND(F9*H9*0.7958,0)</f>
        <v>422</v>
      </c>
      <c r="J9" s="58">
        <f>ROUND(G9*H9*0.7958,0)</f>
        <v>140904</v>
      </c>
      <c r="K9" s="29"/>
      <c r="L9" s="30"/>
      <c r="M9" s="62"/>
      <c r="N9" s="62"/>
      <c r="O9" s="60">
        <f t="shared" si="0"/>
        <v>422</v>
      </c>
      <c r="P9" s="61">
        <f t="shared" si="1"/>
        <v>140904</v>
      </c>
    </row>
    <row r="10" spans="1:18" ht="29.25" customHeight="1" x14ac:dyDescent="0.3">
      <c r="A10" s="42"/>
      <c r="B10" s="43" t="s">
        <v>23</v>
      </c>
      <c r="C10" s="44" t="s">
        <v>17</v>
      </c>
      <c r="D10" s="45">
        <v>9222.8799999999992</v>
      </c>
      <c r="E10" s="63"/>
      <c r="F10" s="47">
        <f t="shared" ref="F10:F15" si="2">ROUND(G10/D10,0)</f>
        <v>35</v>
      </c>
      <c r="G10" s="47">
        <v>322800.8</v>
      </c>
      <c r="H10" s="63"/>
      <c r="I10" s="47">
        <f t="shared" ref="I10" si="3">ROUND(F10*H10*0.65,0)</f>
        <v>0</v>
      </c>
      <c r="J10" s="49">
        <f t="shared" ref="J10" si="4">ROUND(G10*H10*0.65,0)</f>
        <v>0</v>
      </c>
      <c r="K10" s="27"/>
      <c r="L10" s="28"/>
      <c r="M10" s="42"/>
      <c r="N10" s="42"/>
      <c r="O10" s="50">
        <f t="shared" si="0"/>
        <v>0</v>
      </c>
      <c r="P10" s="51">
        <f t="shared" si="1"/>
        <v>0</v>
      </c>
    </row>
    <row r="11" spans="1:18" ht="20.25" customHeight="1" x14ac:dyDescent="0.3">
      <c r="A11" s="42"/>
      <c r="B11" s="52"/>
      <c r="C11" s="53" t="s">
        <v>17</v>
      </c>
      <c r="D11" s="54">
        <f>3629.68+5284.04</f>
        <v>8913.7199999999993</v>
      </c>
      <c r="E11" s="64"/>
      <c r="F11" s="56">
        <v>35</v>
      </c>
      <c r="G11" s="56">
        <f>D11*F11</f>
        <v>311980.19999999995</v>
      </c>
      <c r="H11" s="64">
        <v>6.11</v>
      </c>
      <c r="I11" s="56">
        <f>ROUND(F11*H11*0.7958,0)</f>
        <v>170</v>
      </c>
      <c r="J11" s="58">
        <f>ROUND(G11*H11*0.7958,0)</f>
        <v>1516953</v>
      </c>
      <c r="K11" s="31"/>
      <c r="L11" s="32"/>
      <c r="M11" s="59"/>
      <c r="N11" s="59"/>
      <c r="O11" s="60">
        <f t="shared" si="0"/>
        <v>170</v>
      </c>
      <c r="P11" s="61">
        <f t="shared" si="1"/>
        <v>1516953</v>
      </c>
    </row>
    <row r="12" spans="1:18" ht="18.75" customHeight="1" x14ac:dyDescent="0.3">
      <c r="A12" s="42"/>
      <c r="B12" s="52"/>
      <c r="C12" s="53" t="s">
        <v>17</v>
      </c>
      <c r="D12" s="54">
        <v>462.56</v>
      </c>
      <c r="E12" s="64"/>
      <c r="F12" s="56">
        <v>35</v>
      </c>
      <c r="G12" s="56">
        <f>D12*F12</f>
        <v>16189.6</v>
      </c>
      <c r="H12" s="64">
        <v>6.31</v>
      </c>
      <c r="I12" s="56">
        <f>ROUND(F12*H12*0.7958,0)</f>
        <v>176</v>
      </c>
      <c r="J12" s="58">
        <f>ROUND(G12*H12*0.7958,0)</f>
        <v>81296</v>
      </c>
      <c r="K12" s="31"/>
      <c r="L12" s="32"/>
      <c r="M12" s="59"/>
      <c r="N12" s="59"/>
      <c r="O12" s="60">
        <f t="shared" si="0"/>
        <v>176</v>
      </c>
      <c r="P12" s="61">
        <f t="shared" si="1"/>
        <v>81296</v>
      </c>
    </row>
    <row r="13" spans="1:18" x14ac:dyDescent="0.3">
      <c r="A13" s="42"/>
      <c r="B13" s="65" t="s">
        <v>18</v>
      </c>
      <c r="C13" s="44" t="s">
        <v>17</v>
      </c>
      <c r="D13" s="45">
        <v>267</v>
      </c>
      <c r="E13" s="63"/>
      <c r="F13" s="47">
        <f>ROUND(G13/D13,0)</f>
        <v>107</v>
      </c>
      <c r="G13" s="47">
        <v>28475.55</v>
      </c>
      <c r="H13" s="64">
        <v>6.31</v>
      </c>
      <c r="I13" s="56">
        <f>ROUND(F13*H13*0.7958,0)</f>
        <v>537</v>
      </c>
      <c r="J13" s="58">
        <f>ROUND(G13*H13*0.7958,0)</f>
        <v>142990</v>
      </c>
      <c r="K13" s="27"/>
      <c r="L13" s="28"/>
      <c r="M13" s="42"/>
      <c r="N13" s="42"/>
      <c r="O13" s="50">
        <f t="shared" si="0"/>
        <v>537</v>
      </c>
      <c r="P13" s="51">
        <f t="shared" si="1"/>
        <v>142990</v>
      </c>
    </row>
    <row r="14" spans="1:18" x14ac:dyDescent="0.3">
      <c r="A14" s="42"/>
      <c r="B14" s="43" t="s">
        <v>19</v>
      </c>
      <c r="C14" s="44" t="s">
        <v>20</v>
      </c>
      <c r="D14" s="45">
        <v>659</v>
      </c>
      <c r="E14" s="66"/>
      <c r="F14" s="47">
        <f t="shared" si="2"/>
        <v>21</v>
      </c>
      <c r="G14" s="67">
        <v>13792.87</v>
      </c>
      <c r="H14" s="64">
        <v>6.31</v>
      </c>
      <c r="I14" s="56">
        <f>ROUND(F14*H14*0.7958,0)</f>
        <v>105</v>
      </c>
      <c r="J14" s="58">
        <f>ROUND(G14*H14*0.7958,0)</f>
        <v>69261</v>
      </c>
      <c r="K14" s="27"/>
      <c r="L14" s="28"/>
      <c r="M14" s="42"/>
      <c r="N14" s="42"/>
      <c r="O14" s="50">
        <f t="shared" si="0"/>
        <v>105</v>
      </c>
      <c r="P14" s="51">
        <f t="shared" si="1"/>
        <v>69261</v>
      </c>
    </row>
    <row r="15" spans="1:18" ht="15" customHeight="1" x14ac:dyDescent="0.3">
      <c r="A15" s="42"/>
      <c r="B15" s="65" t="s">
        <v>15</v>
      </c>
      <c r="C15" s="44" t="s">
        <v>16</v>
      </c>
      <c r="D15" s="45">
        <v>27</v>
      </c>
      <c r="E15" s="66"/>
      <c r="F15" s="47">
        <f t="shared" si="2"/>
        <v>35</v>
      </c>
      <c r="G15" s="47">
        <v>945.81</v>
      </c>
      <c r="H15" s="64">
        <v>6.31</v>
      </c>
      <c r="I15" s="56">
        <f>ROUND(F15*H15*0.7958,0)</f>
        <v>176</v>
      </c>
      <c r="J15" s="58">
        <f>ROUND(G15*H15*0.7958,0)</f>
        <v>4749</v>
      </c>
      <c r="K15" s="27"/>
      <c r="L15" s="28"/>
      <c r="M15" s="5"/>
      <c r="N15" s="5"/>
      <c r="O15" s="50">
        <f t="shared" si="0"/>
        <v>176</v>
      </c>
      <c r="P15" s="51">
        <f t="shared" si="1"/>
        <v>4749</v>
      </c>
    </row>
    <row r="16" spans="1:18" x14ac:dyDescent="0.3">
      <c r="A16" s="68"/>
      <c r="B16" s="69" t="s">
        <v>6</v>
      </c>
      <c r="C16" s="69"/>
      <c r="D16" s="69"/>
      <c r="E16" s="69"/>
      <c r="F16" s="69"/>
      <c r="G16" s="69"/>
      <c r="H16" s="69"/>
      <c r="I16" s="69"/>
      <c r="J16" s="9">
        <f>SUM(J6:J15)</f>
        <v>4913768</v>
      </c>
      <c r="K16" s="6"/>
      <c r="L16" s="6">
        <f>SUM(L6:L15)</f>
        <v>0</v>
      </c>
      <c r="M16" s="8"/>
      <c r="N16" s="8"/>
      <c r="O16" s="8"/>
      <c r="P16" s="9">
        <f>SUM(P6:P15)</f>
        <v>4913768</v>
      </c>
    </row>
    <row r="17" spans="1:16" ht="36" x14ac:dyDescent="0.35">
      <c r="A17" s="38"/>
      <c r="B17" s="39" t="s">
        <v>24</v>
      </c>
      <c r="C17" s="38"/>
      <c r="D17" s="38"/>
      <c r="E17" s="38"/>
      <c r="F17" s="38"/>
      <c r="G17" s="38"/>
      <c r="H17" s="38"/>
      <c r="I17" s="38"/>
      <c r="J17" s="38"/>
      <c r="K17" s="5"/>
      <c r="L17" s="5"/>
      <c r="M17" s="5"/>
      <c r="N17" s="38"/>
      <c r="O17" s="38"/>
      <c r="P17" s="38"/>
    </row>
    <row r="18" spans="1:16" ht="28.8" x14ac:dyDescent="0.3">
      <c r="A18" s="38"/>
      <c r="B18" s="43" t="s">
        <v>25</v>
      </c>
      <c r="C18" s="70" t="s">
        <v>26</v>
      </c>
      <c r="D18" s="72">
        <v>1</v>
      </c>
      <c r="E18" s="73"/>
      <c r="F18" s="77">
        <f>ROUND(G18/D18,0)</f>
        <v>20174</v>
      </c>
      <c r="G18" s="81">
        <v>20173.560000000001</v>
      </c>
      <c r="H18" s="82">
        <v>6.31</v>
      </c>
      <c r="I18" s="83">
        <f t="shared" ref="I18:I65" si="5">ROUND(F18*H18*0.7958,0)</f>
        <v>101304</v>
      </c>
      <c r="J18" s="84">
        <f t="shared" ref="J18:J65" si="6">ROUND(G18*H18*0.7958,0)</f>
        <v>101301</v>
      </c>
      <c r="K18" s="74"/>
      <c r="L18" s="74"/>
      <c r="M18" s="74"/>
      <c r="N18" s="73"/>
      <c r="O18" s="85">
        <f>I18-K18</f>
        <v>101304</v>
      </c>
      <c r="P18" s="86">
        <f>J18-L18</f>
        <v>101301</v>
      </c>
    </row>
    <row r="19" spans="1:16" ht="28.8" x14ac:dyDescent="0.3">
      <c r="A19" s="38"/>
      <c r="B19" s="43" t="s">
        <v>27</v>
      </c>
      <c r="C19" s="70" t="s">
        <v>28</v>
      </c>
      <c r="D19" s="72">
        <v>0.03</v>
      </c>
      <c r="E19" s="73"/>
      <c r="F19" s="77">
        <f t="shared" ref="F19:F65" si="7">ROUND(G19/D19,0)</f>
        <v>11752</v>
      </c>
      <c r="G19" s="81">
        <v>352.56</v>
      </c>
      <c r="H19" s="82">
        <v>6.31</v>
      </c>
      <c r="I19" s="83">
        <f t="shared" si="5"/>
        <v>59013</v>
      </c>
      <c r="J19" s="84">
        <f t="shared" si="6"/>
        <v>1770</v>
      </c>
      <c r="K19" s="74"/>
      <c r="L19" s="74"/>
      <c r="M19" s="74"/>
      <c r="N19" s="73"/>
      <c r="O19" s="85">
        <f t="shared" ref="O19:O65" si="8">I19-K19</f>
        <v>59013</v>
      </c>
      <c r="P19" s="86">
        <f t="shared" ref="P19:P65" si="9">J19-L19</f>
        <v>1770</v>
      </c>
    </row>
    <row r="20" spans="1:16" ht="28.8" x14ac:dyDescent="0.3">
      <c r="A20" s="38"/>
      <c r="B20" s="43" t="s">
        <v>29</v>
      </c>
      <c r="C20" s="70" t="s">
        <v>28</v>
      </c>
      <c r="D20" s="72">
        <v>0.03</v>
      </c>
      <c r="E20" s="73"/>
      <c r="F20" s="77">
        <f t="shared" si="7"/>
        <v>11257</v>
      </c>
      <c r="G20" s="81">
        <v>337.71</v>
      </c>
      <c r="H20" s="82">
        <v>6.31</v>
      </c>
      <c r="I20" s="83">
        <f t="shared" si="5"/>
        <v>56527</v>
      </c>
      <c r="J20" s="84">
        <f t="shared" si="6"/>
        <v>1696</v>
      </c>
      <c r="K20" s="74"/>
      <c r="L20" s="74"/>
      <c r="M20" s="74"/>
      <c r="N20" s="73"/>
      <c r="O20" s="85">
        <f t="shared" si="8"/>
        <v>56527</v>
      </c>
      <c r="P20" s="86">
        <f t="shared" si="9"/>
        <v>1696</v>
      </c>
    </row>
    <row r="21" spans="1:16" ht="28.8" x14ac:dyDescent="0.3">
      <c r="A21" s="38"/>
      <c r="B21" s="43" t="s">
        <v>30</v>
      </c>
      <c r="C21" s="70" t="s">
        <v>28</v>
      </c>
      <c r="D21" s="72">
        <v>0.27989999999999998</v>
      </c>
      <c r="E21" s="73"/>
      <c r="F21" s="77">
        <f t="shared" si="7"/>
        <v>10782</v>
      </c>
      <c r="G21" s="81">
        <v>3017.98</v>
      </c>
      <c r="H21" s="82">
        <v>6.31</v>
      </c>
      <c r="I21" s="83">
        <f t="shared" si="5"/>
        <v>54142</v>
      </c>
      <c r="J21" s="84">
        <f t="shared" si="6"/>
        <v>15155</v>
      </c>
      <c r="K21" s="74"/>
      <c r="L21" s="74"/>
      <c r="M21" s="74"/>
      <c r="N21" s="73"/>
      <c r="O21" s="85">
        <f t="shared" si="8"/>
        <v>54142</v>
      </c>
      <c r="P21" s="86">
        <f t="shared" si="9"/>
        <v>15155</v>
      </c>
    </row>
    <row r="22" spans="1:16" ht="28.8" x14ac:dyDescent="0.3">
      <c r="A22" s="38"/>
      <c r="B22" s="43" t="s">
        <v>31</v>
      </c>
      <c r="C22" s="70" t="s">
        <v>28</v>
      </c>
      <c r="D22" s="72">
        <v>5.1247999999999996</v>
      </c>
      <c r="E22" s="73"/>
      <c r="F22" s="77">
        <f t="shared" si="7"/>
        <v>11325</v>
      </c>
      <c r="G22" s="81">
        <v>58036.58</v>
      </c>
      <c r="H22" s="82">
        <v>6.31</v>
      </c>
      <c r="I22" s="83">
        <f t="shared" si="5"/>
        <v>56868</v>
      </c>
      <c r="J22" s="84">
        <f t="shared" si="6"/>
        <v>291431</v>
      </c>
      <c r="K22" s="74"/>
      <c r="L22" s="74"/>
      <c r="M22" s="74"/>
      <c r="N22" s="73"/>
      <c r="O22" s="85">
        <f t="shared" si="8"/>
        <v>56868</v>
      </c>
      <c r="P22" s="86">
        <f t="shared" si="9"/>
        <v>291431</v>
      </c>
    </row>
    <row r="23" spans="1:16" ht="28.8" x14ac:dyDescent="0.3">
      <c r="A23" s="38"/>
      <c r="B23" s="43" t="s">
        <v>32</v>
      </c>
      <c r="C23" s="70" t="s">
        <v>28</v>
      </c>
      <c r="D23" s="72">
        <v>3.1913999999999998</v>
      </c>
      <c r="E23" s="73"/>
      <c r="F23" s="77">
        <f t="shared" si="7"/>
        <v>12267</v>
      </c>
      <c r="G23" s="81">
        <v>39148.14</v>
      </c>
      <c r="H23" s="82">
        <v>6.31</v>
      </c>
      <c r="I23" s="83">
        <f t="shared" si="5"/>
        <v>61599</v>
      </c>
      <c r="J23" s="84">
        <f t="shared" si="6"/>
        <v>196582</v>
      </c>
      <c r="K23" s="74"/>
      <c r="L23" s="74"/>
      <c r="M23" s="74"/>
      <c r="N23" s="73"/>
      <c r="O23" s="85">
        <f t="shared" si="8"/>
        <v>61599</v>
      </c>
      <c r="P23" s="86">
        <f t="shared" si="9"/>
        <v>196582</v>
      </c>
    </row>
    <row r="24" spans="1:16" x14ac:dyDescent="0.3">
      <c r="A24" s="38"/>
      <c r="B24" s="43" t="s">
        <v>33</v>
      </c>
      <c r="C24" s="70" t="s">
        <v>28</v>
      </c>
      <c r="D24" s="72">
        <v>0.03</v>
      </c>
      <c r="E24" s="73"/>
      <c r="F24" s="77">
        <f t="shared" si="7"/>
        <v>13378</v>
      </c>
      <c r="G24" s="81">
        <v>401.35</v>
      </c>
      <c r="H24" s="82">
        <v>6.31</v>
      </c>
      <c r="I24" s="83">
        <f t="shared" si="5"/>
        <v>67178</v>
      </c>
      <c r="J24" s="84">
        <f t="shared" si="6"/>
        <v>2015</v>
      </c>
      <c r="K24" s="74"/>
      <c r="L24" s="74"/>
      <c r="M24" s="74"/>
      <c r="N24" s="73"/>
      <c r="O24" s="85">
        <f t="shared" si="8"/>
        <v>67178</v>
      </c>
      <c r="P24" s="86">
        <f t="shared" si="9"/>
        <v>2015</v>
      </c>
    </row>
    <row r="25" spans="1:16" ht="28.8" x14ac:dyDescent="0.3">
      <c r="A25" s="38"/>
      <c r="B25" s="43" t="s">
        <v>34</v>
      </c>
      <c r="C25" s="70" t="s">
        <v>17</v>
      </c>
      <c r="D25" s="72">
        <v>1.2</v>
      </c>
      <c r="E25" s="73"/>
      <c r="F25" s="77">
        <f t="shared" si="7"/>
        <v>2539</v>
      </c>
      <c r="G25" s="81">
        <v>3046.55</v>
      </c>
      <c r="H25" s="82">
        <v>6.31</v>
      </c>
      <c r="I25" s="83">
        <f t="shared" si="5"/>
        <v>12750</v>
      </c>
      <c r="J25" s="84">
        <f t="shared" si="6"/>
        <v>15298</v>
      </c>
      <c r="K25" s="74"/>
      <c r="L25" s="74"/>
      <c r="M25" s="74"/>
      <c r="N25" s="73"/>
      <c r="O25" s="85">
        <f t="shared" si="8"/>
        <v>12750</v>
      </c>
      <c r="P25" s="86">
        <f t="shared" si="9"/>
        <v>15298</v>
      </c>
    </row>
    <row r="26" spans="1:16" x14ac:dyDescent="0.3">
      <c r="A26" s="38"/>
      <c r="B26" s="43" t="s">
        <v>35</v>
      </c>
      <c r="C26" s="70" t="s">
        <v>17</v>
      </c>
      <c r="D26" s="72">
        <v>0.57999999999999996</v>
      </c>
      <c r="E26" s="73"/>
      <c r="F26" s="77">
        <f>ROUND(G26/D26,0)</f>
        <v>2765</v>
      </c>
      <c r="G26" s="81">
        <v>1603.75</v>
      </c>
      <c r="H26" s="82">
        <v>6.31</v>
      </c>
      <c r="I26" s="83">
        <f t="shared" si="5"/>
        <v>13884</v>
      </c>
      <c r="J26" s="84">
        <f t="shared" si="6"/>
        <v>8053</v>
      </c>
      <c r="K26" s="74"/>
      <c r="L26" s="74"/>
      <c r="M26" s="74"/>
      <c r="N26" s="73"/>
      <c r="O26" s="85">
        <f t="shared" si="8"/>
        <v>13884</v>
      </c>
      <c r="P26" s="86">
        <f t="shared" si="9"/>
        <v>8053</v>
      </c>
    </row>
    <row r="27" spans="1:16" x14ac:dyDescent="0.3">
      <c r="A27" s="38"/>
      <c r="B27" s="43" t="s">
        <v>36</v>
      </c>
      <c r="C27" s="70" t="s">
        <v>77</v>
      </c>
      <c r="D27" s="72">
        <f>6.8342*1000</f>
        <v>6834.2</v>
      </c>
      <c r="E27" s="73"/>
      <c r="F27" s="77">
        <f>ROUND(G27/D27,0)</f>
        <v>1</v>
      </c>
      <c r="G27" s="81">
        <v>8220.93</v>
      </c>
      <c r="H27" s="82">
        <v>6.31</v>
      </c>
      <c r="I27" s="83">
        <f t="shared" si="5"/>
        <v>5</v>
      </c>
      <c r="J27" s="84">
        <f t="shared" si="6"/>
        <v>41281</v>
      </c>
      <c r="K27" s="74"/>
      <c r="L27" s="74"/>
      <c r="M27" s="74"/>
      <c r="N27" s="73"/>
      <c r="O27" s="85">
        <f t="shared" si="8"/>
        <v>5</v>
      </c>
      <c r="P27" s="86">
        <f t="shared" si="9"/>
        <v>41281</v>
      </c>
    </row>
    <row r="28" spans="1:16" x14ac:dyDescent="0.3">
      <c r="A28" s="38"/>
      <c r="B28" s="43" t="s">
        <v>38</v>
      </c>
      <c r="C28" s="70" t="s">
        <v>28</v>
      </c>
      <c r="D28" s="72">
        <v>2.9999999999999997E-4</v>
      </c>
      <c r="E28" s="73"/>
      <c r="F28" s="77">
        <f t="shared" si="7"/>
        <v>16633</v>
      </c>
      <c r="G28" s="81">
        <v>4.99</v>
      </c>
      <c r="H28" s="82">
        <v>6.31</v>
      </c>
      <c r="I28" s="83">
        <f t="shared" si="5"/>
        <v>83523</v>
      </c>
      <c r="J28" s="84">
        <f t="shared" si="6"/>
        <v>25</v>
      </c>
      <c r="K28" s="74"/>
      <c r="L28" s="74"/>
      <c r="M28" s="74"/>
      <c r="N28" s="73"/>
      <c r="O28" s="85">
        <f t="shared" si="8"/>
        <v>83523</v>
      </c>
      <c r="P28" s="86">
        <f t="shared" si="9"/>
        <v>25</v>
      </c>
    </row>
    <row r="29" spans="1:16" x14ac:dyDescent="0.3">
      <c r="A29" s="38"/>
      <c r="B29" s="43" t="s">
        <v>39</v>
      </c>
      <c r="C29" s="70" t="s">
        <v>40</v>
      </c>
      <c r="D29" s="72">
        <v>6825.7</v>
      </c>
      <c r="E29" s="73"/>
      <c r="F29" s="77">
        <f t="shared" si="7"/>
        <v>3</v>
      </c>
      <c r="G29" s="81">
        <v>22593.07</v>
      </c>
      <c r="H29" s="82">
        <v>6.31</v>
      </c>
      <c r="I29" s="83">
        <f t="shared" si="5"/>
        <v>15</v>
      </c>
      <c r="J29" s="84">
        <f t="shared" si="6"/>
        <v>113451</v>
      </c>
      <c r="K29" s="74"/>
      <c r="L29" s="74"/>
      <c r="M29" s="74"/>
      <c r="N29" s="73"/>
      <c r="O29" s="85">
        <f t="shared" si="8"/>
        <v>15</v>
      </c>
      <c r="P29" s="86">
        <f t="shared" si="9"/>
        <v>113451</v>
      </c>
    </row>
    <row r="30" spans="1:16" ht="28.8" x14ac:dyDescent="0.3">
      <c r="A30" s="38"/>
      <c r="B30" s="43" t="s">
        <v>41</v>
      </c>
      <c r="C30" s="70" t="s">
        <v>26</v>
      </c>
      <c r="D30" s="72">
        <v>1</v>
      </c>
      <c r="E30" s="73"/>
      <c r="F30" s="77">
        <f t="shared" si="7"/>
        <v>35924</v>
      </c>
      <c r="G30" s="81">
        <v>35923.67</v>
      </c>
      <c r="H30" s="82">
        <v>6.31</v>
      </c>
      <c r="I30" s="83">
        <f t="shared" si="5"/>
        <v>180392</v>
      </c>
      <c r="J30" s="84">
        <f t="shared" si="6"/>
        <v>180391</v>
      </c>
      <c r="K30" s="74"/>
      <c r="L30" s="74"/>
      <c r="M30" s="74"/>
      <c r="N30" s="73"/>
      <c r="O30" s="85">
        <f t="shared" si="8"/>
        <v>180392</v>
      </c>
      <c r="P30" s="86">
        <f t="shared" si="9"/>
        <v>180391</v>
      </c>
    </row>
    <row r="31" spans="1:16" ht="28.8" x14ac:dyDescent="0.3">
      <c r="A31" s="38"/>
      <c r="B31" s="43" t="s">
        <v>42</v>
      </c>
      <c r="C31" s="70" t="s">
        <v>26</v>
      </c>
      <c r="D31" s="72">
        <v>1</v>
      </c>
      <c r="E31" s="73"/>
      <c r="F31" s="77">
        <f t="shared" si="7"/>
        <v>31053</v>
      </c>
      <c r="G31" s="81">
        <v>31052.99</v>
      </c>
      <c r="H31" s="82">
        <v>6.31</v>
      </c>
      <c r="I31" s="83">
        <f t="shared" si="5"/>
        <v>155933</v>
      </c>
      <c r="J31" s="84">
        <f t="shared" si="6"/>
        <v>155933</v>
      </c>
      <c r="K31" s="74"/>
      <c r="L31" s="74"/>
      <c r="M31" s="74"/>
      <c r="N31" s="73"/>
      <c r="O31" s="85">
        <f t="shared" si="8"/>
        <v>155933</v>
      </c>
      <c r="P31" s="86">
        <f t="shared" si="9"/>
        <v>155933</v>
      </c>
    </row>
    <row r="32" spans="1:16" ht="28.8" x14ac:dyDescent="0.3">
      <c r="A32" s="38"/>
      <c r="B32" s="43" t="s">
        <v>43</v>
      </c>
      <c r="C32" s="70" t="s">
        <v>28</v>
      </c>
      <c r="D32" s="72">
        <v>0.15</v>
      </c>
      <c r="E32" s="73"/>
      <c r="F32" s="77">
        <f t="shared" si="7"/>
        <v>7649</v>
      </c>
      <c r="G32" s="81">
        <v>1147.32</v>
      </c>
      <c r="H32" s="82">
        <v>6.31</v>
      </c>
      <c r="I32" s="83">
        <f t="shared" si="5"/>
        <v>38409</v>
      </c>
      <c r="J32" s="84">
        <f t="shared" si="6"/>
        <v>5761</v>
      </c>
      <c r="K32" s="74"/>
      <c r="L32" s="74"/>
      <c r="M32" s="74"/>
      <c r="N32" s="73"/>
      <c r="O32" s="85">
        <f t="shared" si="8"/>
        <v>38409</v>
      </c>
      <c r="P32" s="86">
        <f t="shared" si="9"/>
        <v>5761</v>
      </c>
    </row>
    <row r="33" spans="1:16" x14ac:dyDescent="0.3">
      <c r="A33" s="38"/>
      <c r="B33" s="43" t="s">
        <v>44</v>
      </c>
      <c r="C33" s="70" t="s">
        <v>28</v>
      </c>
      <c r="D33" s="72">
        <v>1.1000000000000001E-3</v>
      </c>
      <c r="E33" s="73"/>
      <c r="F33" s="77">
        <f t="shared" si="7"/>
        <v>16800</v>
      </c>
      <c r="G33" s="81">
        <v>18.48</v>
      </c>
      <c r="H33" s="82">
        <v>6.31</v>
      </c>
      <c r="I33" s="83">
        <f t="shared" si="5"/>
        <v>84361</v>
      </c>
      <c r="J33" s="84">
        <f t="shared" si="6"/>
        <v>93</v>
      </c>
      <c r="K33" s="74"/>
      <c r="L33" s="74"/>
      <c r="M33" s="74"/>
      <c r="N33" s="73"/>
      <c r="O33" s="85">
        <f t="shared" si="8"/>
        <v>84361</v>
      </c>
      <c r="P33" s="86">
        <f t="shared" si="9"/>
        <v>93</v>
      </c>
    </row>
    <row r="34" spans="1:16" x14ac:dyDescent="0.3">
      <c r="A34" s="38"/>
      <c r="B34" s="43" t="s">
        <v>45</v>
      </c>
      <c r="C34" s="70" t="s">
        <v>28</v>
      </c>
      <c r="D34" s="72">
        <v>3.0000000000000001E-3</v>
      </c>
      <c r="E34" s="73"/>
      <c r="F34" s="77">
        <f t="shared" si="7"/>
        <v>16630</v>
      </c>
      <c r="G34" s="81">
        <v>49.89</v>
      </c>
      <c r="H34" s="82">
        <v>6.31</v>
      </c>
      <c r="I34" s="83">
        <f t="shared" si="5"/>
        <v>83508</v>
      </c>
      <c r="J34" s="84">
        <f t="shared" si="6"/>
        <v>251</v>
      </c>
      <c r="K34" s="74"/>
      <c r="L34" s="74"/>
      <c r="M34" s="74"/>
      <c r="N34" s="73"/>
      <c r="O34" s="85">
        <f t="shared" si="8"/>
        <v>83508</v>
      </c>
      <c r="P34" s="86">
        <f t="shared" si="9"/>
        <v>251</v>
      </c>
    </row>
    <row r="35" spans="1:16" x14ac:dyDescent="0.3">
      <c r="A35" s="38"/>
      <c r="B35" s="43" t="s">
        <v>46</v>
      </c>
      <c r="C35" s="70" t="s">
        <v>28</v>
      </c>
      <c r="D35" s="72">
        <v>3.0000000000000001E-3</v>
      </c>
      <c r="E35" s="73"/>
      <c r="F35" s="77">
        <f t="shared" si="7"/>
        <v>2073</v>
      </c>
      <c r="G35" s="81">
        <v>6.22</v>
      </c>
      <c r="H35" s="82">
        <v>6.31</v>
      </c>
      <c r="I35" s="83">
        <f t="shared" si="5"/>
        <v>10410</v>
      </c>
      <c r="J35" s="84">
        <f t="shared" si="6"/>
        <v>31</v>
      </c>
      <c r="K35" s="74"/>
      <c r="L35" s="74"/>
      <c r="M35" s="74"/>
      <c r="N35" s="73"/>
      <c r="O35" s="85">
        <f t="shared" si="8"/>
        <v>10410</v>
      </c>
      <c r="P35" s="86">
        <f t="shared" si="9"/>
        <v>31</v>
      </c>
    </row>
    <row r="36" spans="1:16" x14ac:dyDescent="0.3">
      <c r="A36" s="38"/>
      <c r="B36" s="43" t="s">
        <v>47</v>
      </c>
      <c r="C36" s="70" t="s">
        <v>26</v>
      </c>
      <c r="D36" s="72">
        <v>1</v>
      </c>
      <c r="E36" s="73"/>
      <c r="F36" s="77">
        <f t="shared" si="7"/>
        <v>3437</v>
      </c>
      <c r="G36" s="81">
        <v>3437.05</v>
      </c>
      <c r="H36" s="82">
        <v>6.31</v>
      </c>
      <c r="I36" s="83">
        <f t="shared" si="5"/>
        <v>17259</v>
      </c>
      <c r="J36" s="84">
        <f t="shared" si="6"/>
        <v>17259</v>
      </c>
      <c r="K36" s="74"/>
      <c r="L36" s="74"/>
      <c r="M36" s="74"/>
      <c r="N36" s="73"/>
      <c r="O36" s="85">
        <f t="shared" si="8"/>
        <v>17259</v>
      </c>
      <c r="P36" s="86">
        <f t="shared" si="9"/>
        <v>17259</v>
      </c>
    </row>
    <row r="37" spans="1:16" x14ac:dyDescent="0.3">
      <c r="A37" s="38"/>
      <c r="B37" s="43" t="s">
        <v>48</v>
      </c>
      <c r="C37" s="70" t="s">
        <v>28</v>
      </c>
      <c r="D37" s="72">
        <v>0.24</v>
      </c>
      <c r="E37" s="73"/>
      <c r="F37" s="77">
        <f t="shared" si="7"/>
        <v>6271</v>
      </c>
      <c r="G37" s="81">
        <v>1505</v>
      </c>
      <c r="H37" s="82">
        <v>6.31</v>
      </c>
      <c r="I37" s="83">
        <f t="shared" si="5"/>
        <v>31490</v>
      </c>
      <c r="J37" s="84">
        <f t="shared" si="6"/>
        <v>7557</v>
      </c>
      <c r="K37" s="74"/>
      <c r="L37" s="74"/>
      <c r="M37" s="74"/>
      <c r="N37" s="73"/>
      <c r="O37" s="85">
        <f t="shared" si="8"/>
        <v>31490</v>
      </c>
      <c r="P37" s="86">
        <f t="shared" si="9"/>
        <v>7557</v>
      </c>
    </row>
    <row r="38" spans="1:16" x14ac:dyDescent="0.3">
      <c r="A38" s="38"/>
      <c r="B38" s="43" t="s">
        <v>49</v>
      </c>
      <c r="C38" s="70" t="s">
        <v>40</v>
      </c>
      <c r="D38" s="72">
        <v>145.68</v>
      </c>
      <c r="E38" s="73"/>
      <c r="F38" s="77">
        <f t="shared" si="7"/>
        <v>150</v>
      </c>
      <c r="G38" s="81">
        <v>21894.240000000002</v>
      </c>
      <c r="H38" s="82">
        <v>6.31</v>
      </c>
      <c r="I38" s="83">
        <f t="shared" si="5"/>
        <v>753</v>
      </c>
      <c r="J38" s="84">
        <f t="shared" si="6"/>
        <v>109942</v>
      </c>
      <c r="K38" s="74"/>
      <c r="L38" s="74"/>
      <c r="M38" s="74"/>
      <c r="N38" s="73"/>
      <c r="O38" s="85">
        <f t="shared" si="8"/>
        <v>753</v>
      </c>
      <c r="P38" s="86">
        <f t="shared" si="9"/>
        <v>109942</v>
      </c>
    </row>
    <row r="39" spans="1:16" x14ac:dyDescent="0.3">
      <c r="A39" s="38"/>
      <c r="B39" s="43" t="s">
        <v>50</v>
      </c>
      <c r="C39" s="70" t="s">
        <v>28</v>
      </c>
      <c r="D39" s="72">
        <v>3.0000000000000001E-3</v>
      </c>
      <c r="E39" s="73"/>
      <c r="F39" s="77">
        <f t="shared" si="7"/>
        <v>13680</v>
      </c>
      <c r="G39" s="81">
        <v>41.04</v>
      </c>
      <c r="H39" s="82">
        <v>6.31</v>
      </c>
      <c r="I39" s="83">
        <f t="shared" si="5"/>
        <v>68694</v>
      </c>
      <c r="J39" s="84">
        <f t="shared" si="6"/>
        <v>206</v>
      </c>
      <c r="K39" s="74"/>
      <c r="L39" s="74"/>
      <c r="M39" s="74"/>
      <c r="N39" s="73"/>
      <c r="O39" s="85">
        <f t="shared" si="8"/>
        <v>68694</v>
      </c>
      <c r="P39" s="86">
        <f t="shared" si="9"/>
        <v>206</v>
      </c>
    </row>
    <row r="40" spans="1:16" ht="28.8" x14ac:dyDescent="0.3">
      <c r="A40" s="38"/>
      <c r="B40" s="43" t="s">
        <v>51</v>
      </c>
      <c r="C40" s="70" t="s">
        <v>26</v>
      </c>
      <c r="D40" s="72">
        <v>1</v>
      </c>
      <c r="E40" s="73"/>
      <c r="F40" s="77">
        <f t="shared" si="7"/>
        <v>210729</v>
      </c>
      <c r="G40" s="81">
        <v>210729.04</v>
      </c>
      <c r="H40" s="82">
        <v>6.31</v>
      </c>
      <c r="I40" s="83">
        <f t="shared" si="5"/>
        <v>1058175</v>
      </c>
      <c r="J40" s="84">
        <f t="shared" si="6"/>
        <v>1058175</v>
      </c>
      <c r="K40" s="74"/>
      <c r="L40" s="74"/>
      <c r="M40" s="74"/>
      <c r="N40" s="73"/>
      <c r="O40" s="85">
        <f t="shared" si="8"/>
        <v>1058175</v>
      </c>
      <c r="P40" s="86">
        <f t="shared" si="9"/>
        <v>1058175</v>
      </c>
    </row>
    <row r="41" spans="1:16" ht="28.8" x14ac:dyDescent="0.3">
      <c r="A41" s="38"/>
      <c r="B41" s="43" t="s">
        <v>52</v>
      </c>
      <c r="C41" s="70" t="s">
        <v>26</v>
      </c>
      <c r="D41" s="72">
        <v>1</v>
      </c>
      <c r="E41" s="73"/>
      <c r="F41" s="77">
        <f t="shared" si="7"/>
        <v>107360</v>
      </c>
      <c r="G41" s="81">
        <v>107359.95</v>
      </c>
      <c r="H41" s="82">
        <v>6.31</v>
      </c>
      <c r="I41" s="83">
        <f t="shared" si="5"/>
        <v>539108</v>
      </c>
      <c r="J41" s="84">
        <f t="shared" si="6"/>
        <v>539108</v>
      </c>
      <c r="K41" s="74"/>
      <c r="L41" s="74"/>
      <c r="M41" s="74"/>
      <c r="N41" s="73"/>
      <c r="O41" s="85">
        <f t="shared" si="8"/>
        <v>539108</v>
      </c>
      <c r="P41" s="86">
        <f t="shared" si="9"/>
        <v>539108</v>
      </c>
    </row>
    <row r="42" spans="1:16" x14ac:dyDescent="0.3">
      <c r="A42" s="38"/>
      <c r="B42" s="43" t="s">
        <v>53</v>
      </c>
      <c r="C42" s="70" t="s">
        <v>28</v>
      </c>
      <c r="D42" s="72">
        <v>0.51</v>
      </c>
      <c r="E42" s="73"/>
      <c r="F42" s="77">
        <f t="shared" si="7"/>
        <v>6555</v>
      </c>
      <c r="G42" s="81">
        <v>3343.23</v>
      </c>
      <c r="H42" s="82">
        <v>6.31</v>
      </c>
      <c r="I42" s="83">
        <f t="shared" si="5"/>
        <v>32916</v>
      </c>
      <c r="J42" s="84">
        <f t="shared" si="6"/>
        <v>16788</v>
      </c>
      <c r="K42" s="74"/>
      <c r="L42" s="74"/>
      <c r="M42" s="74"/>
      <c r="N42" s="73"/>
      <c r="O42" s="85">
        <f t="shared" si="8"/>
        <v>32916</v>
      </c>
      <c r="P42" s="86">
        <f t="shared" si="9"/>
        <v>16788</v>
      </c>
    </row>
    <row r="43" spans="1:16" x14ac:dyDescent="0.3">
      <c r="A43" s="38"/>
      <c r="B43" s="43" t="s">
        <v>54</v>
      </c>
      <c r="C43" s="70" t="s">
        <v>40</v>
      </c>
      <c r="D43" s="72">
        <v>3412.6</v>
      </c>
      <c r="E43" s="73"/>
      <c r="F43" s="77">
        <f t="shared" si="7"/>
        <v>45</v>
      </c>
      <c r="G43" s="81">
        <v>153908.26</v>
      </c>
      <c r="H43" s="82">
        <v>6.31</v>
      </c>
      <c r="I43" s="83">
        <f t="shared" si="5"/>
        <v>226</v>
      </c>
      <c r="J43" s="84">
        <f t="shared" si="6"/>
        <v>772850</v>
      </c>
      <c r="K43" s="74"/>
      <c r="L43" s="74"/>
      <c r="M43" s="74"/>
      <c r="N43" s="73"/>
      <c r="O43" s="85">
        <f t="shared" si="8"/>
        <v>226</v>
      </c>
      <c r="P43" s="86">
        <f t="shared" si="9"/>
        <v>772850</v>
      </c>
    </row>
    <row r="44" spans="1:16" x14ac:dyDescent="0.3">
      <c r="A44" s="38"/>
      <c r="B44" s="43" t="s">
        <v>55</v>
      </c>
      <c r="C44" s="70" t="s">
        <v>28</v>
      </c>
      <c r="D44" s="72">
        <v>3.0999999999999999E-3</v>
      </c>
      <c r="E44" s="73"/>
      <c r="F44" s="77">
        <f t="shared" si="7"/>
        <v>6645</v>
      </c>
      <c r="G44" s="81">
        <v>20.6</v>
      </c>
      <c r="H44" s="82">
        <v>6.31</v>
      </c>
      <c r="I44" s="83">
        <f t="shared" si="5"/>
        <v>33368</v>
      </c>
      <c r="J44" s="84">
        <f t="shared" si="6"/>
        <v>103</v>
      </c>
      <c r="K44" s="74"/>
      <c r="L44" s="74"/>
      <c r="M44" s="74"/>
      <c r="N44" s="73"/>
      <c r="O44" s="85">
        <f t="shared" si="8"/>
        <v>33368</v>
      </c>
      <c r="P44" s="86">
        <f t="shared" si="9"/>
        <v>103</v>
      </c>
    </row>
    <row r="45" spans="1:16" ht="28.8" x14ac:dyDescent="0.3">
      <c r="A45" s="38"/>
      <c r="B45" s="43" t="s">
        <v>56</v>
      </c>
      <c r="C45" s="70" t="s">
        <v>40</v>
      </c>
      <c r="D45" s="72">
        <v>3412.6</v>
      </c>
      <c r="E45" s="73"/>
      <c r="F45" s="77">
        <f t="shared" si="7"/>
        <v>6</v>
      </c>
      <c r="G45" s="81">
        <v>19110.560000000001</v>
      </c>
      <c r="H45" s="82">
        <v>6.31</v>
      </c>
      <c r="I45" s="83">
        <f t="shared" si="5"/>
        <v>30</v>
      </c>
      <c r="J45" s="84">
        <f t="shared" si="6"/>
        <v>95964</v>
      </c>
      <c r="K45" s="74"/>
      <c r="L45" s="74"/>
      <c r="M45" s="74"/>
      <c r="N45" s="73"/>
      <c r="O45" s="85">
        <f t="shared" si="8"/>
        <v>30</v>
      </c>
      <c r="P45" s="86">
        <f t="shared" si="9"/>
        <v>95964</v>
      </c>
    </row>
    <row r="46" spans="1:16" ht="28.8" x14ac:dyDescent="0.3">
      <c r="A46" s="38"/>
      <c r="B46" s="43" t="s">
        <v>57</v>
      </c>
      <c r="C46" s="70" t="s">
        <v>40</v>
      </c>
      <c r="D46" s="72">
        <v>3412.6</v>
      </c>
      <c r="E46" s="73"/>
      <c r="F46" s="77">
        <f t="shared" si="7"/>
        <v>3</v>
      </c>
      <c r="G46" s="81">
        <v>9111.65</v>
      </c>
      <c r="H46" s="82">
        <v>6.31</v>
      </c>
      <c r="I46" s="83">
        <f t="shared" si="5"/>
        <v>15</v>
      </c>
      <c r="J46" s="84">
        <f t="shared" si="6"/>
        <v>45754</v>
      </c>
      <c r="K46" s="74"/>
      <c r="L46" s="74"/>
      <c r="M46" s="74"/>
      <c r="N46" s="73"/>
      <c r="O46" s="85">
        <f t="shared" si="8"/>
        <v>15</v>
      </c>
      <c r="P46" s="86">
        <f t="shared" si="9"/>
        <v>45754</v>
      </c>
    </row>
    <row r="47" spans="1:16" ht="28.8" x14ac:dyDescent="0.3">
      <c r="A47" s="38"/>
      <c r="B47" s="43" t="s">
        <v>58</v>
      </c>
      <c r="C47" s="70" t="s">
        <v>5</v>
      </c>
      <c r="D47" s="72">
        <v>1280</v>
      </c>
      <c r="E47" s="73"/>
      <c r="F47" s="77">
        <f t="shared" si="7"/>
        <v>165</v>
      </c>
      <c r="G47" s="81">
        <v>210675.20000000001</v>
      </c>
      <c r="H47" s="82">
        <v>6.31</v>
      </c>
      <c r="I47" s="83">
        <f t="shared" si="5"/>
        <v>829</v>
      </c>
      <c r="J47" s="84">
        <f t="shared" si="6"/>
        <v>1057905</v>
      </c>
      <c r="K47" s="74"/>
      <c r="L47" s="74"/>
      <c r="M47" s="74"/>
      <c r="N47" s="73"/>
      <c r="O47" s="85">
        <f t="shared" si="8"/>
        <v>829</v>
      </c>
      <c r="P47" s="86">
        <f t="shared" si="9"/>
        <v>1057905</v>
      </c>
    </row>
    <row r="48" spans="1:16" ht="28.8" x14ac:dyDescent="0.3">
      <c r="A48" s="38"/>
      <c r="B48" s="43" t="s">
        <v>59</v>
      </c>
      <c r="C48" s="70" t="s">
        <v>28</v>
      </c>
      <c r="D48" s="72">
        <v>5.82</v>
      </c>
      <c r="E48" s="73"/>
      <c r="F48" s="77">
        <f t="shared" si="7"/>
        <v>1539</v>
      </c>
      <c r="G48" s="81">
        <v>8954.1299999999992</v>
      </c>
      <c r="H48" s="82">
        <v>6.31</v>
      </c>
      <c r="I48" s="83">
        <f t="shared" si="5"/>
        <v>7728</v>
      </c>
      <c r="J48" s="84">
        <f t="shared" si="6"/>
        <v>44963</v>
      </c>
      <c r="K48" s="74"/>
      <c r="L48" s="74"/>
      <c r="M48" s="74"/>
      <c r="N48" s="73"/>
      <c r="O48" s="85">
        <f t="shared" si="8"/>
        <v>7728</v>
      </c>
      <c r="P48" s="86">
        <f t="shared" si="9"/>
        <v>44963</v>
      </c>
    </row>
    <row r="49" spans="1:16" x14ac:dyDescent="0.3">
      <c r="A49" s="38"/>
      <c r="B49" s="43" t="s">
        <v>60</v>
      </c>
      <c r="C49" s="70" t="s">
        <v>5</v>
      </c>
      <c r="D49" s="72">
        <v>1846</v>
      </c>
      <c r="E49" s="73"/>
      <c r="F49" s="77">
        <f t="shared" si="7"/>
        <v>360</v>
      </c>
      <c r="G49" s="81">
        <v>665206.1</v>
      </c>
      <c r="H49" s="82">
        <v>6.31</v>
      </c>
      <c r="I49" s="83">
        <f t="shared" si="5"/>
        <v>1808</v>
      </c>
      <c r="J49" s="84">
        <f t="shared" si="6"/>
        <v>3340331</v>
      </c>
      <c r="K49" s="74"/>
      <c r="L49" s="74"/>
      <c r="M49" s="74"/>
      <c r="N49" s="73"/>
      <c r="O49" s="85">
        <f t="shared" si="8"/>
        <v>1808</v>
      </c>
      <c r="P49" s="86">
        <f t="shared" si="9"/>
        <v>3340331</v>
      </c>
    </row>
    <row r="50" spans="1:16" x14ac:dyDescent="0.3">
      <c r="A50" s="38"/>
      <c r="B50" s="43" t="s">
        <v>61</v>
      </c>
      <c r="C50" s="70" t="s">
        <v>77</v>
      </c>
      <c r="D50" s="72">
        <f>6.8342*1000</f>
        <v>6834.2</v>
      </c>
      <c r="E50" s="73"/>
      <c r="F50" s="77">
        <f t="shared" si="7"/>
        <v>1</v>
      </c>
      <c r="G50" s="81">
        <v>8617.24</v>
      </c>
      <c r="H50" s="82">
        <v>6.31</v>
      </c>
      <c r="I50" s="83">
        <f t="shared" si="5"/>
        <v>5</v>
      </c>
      <c r="J50" s="84">
        <f t="shared" si="6"/>
        <v>43271</v>
      </c>
      <c r="K50" s="74"/>
      <c r="L50" s="74"/>
      <c r="M50" s="74"/>
      <c r="N50" s="73"/>
      <c r="O50" s="85">
        <f t="shared" si="8"/>
        <v>5</v>
      </c>
      <c r="P50" s="86">
        <f t="shared" si="9"/>
        <v>43271</v>
      </c>
    </row>
    <row r="51" spans="1:16" x14ac:dyDescent="0.3">
      <c r="A51" s="38"/>
      <c r="B51" s="43" t="s">
        <v>62</v>
      </c>
      <c r="C51" s="70" t="s">
        <v>17</v>
      </c>
      <c r="D51" s="72">
        <v>60</v>
      </c>
      <c r="E51" s="73"/>
      <c r="F51" s="77">
        <f t="shared" si="7"/>
        <v>56</v>
      </c>
      <c r="G51" s="81">
        <v>3345</v>
      </c>
      <c r="H51" s="82">
        <v>6.31</v>
      </c>
      <c r="I51" s="83">
        <f t="shared" si="5"/>
        <v>281</v>
      </c>
      <c r="J51" s="84">
        <f t="shared" si="6"/>
        <v>16797</v>
      </c>
      <c r="K51" s="74"/>
      <c r="L51" s="74"/>
      <c r="M51" s="74"/>
      <c r="N51" s="73"/>
      <c r="O51" s="85">
        <f t="shared" si="8"/>
        <v>281</v>
      </c>
      <c r="P51" s="86">
        <f t="shared" si="9"/>
        <v>16797</v>
      </c>
    </row>
    <row r="52" spans="1:16" x14ac:dyDescent="0.3">
      <c r="A52" s="38"/>
      <c r="B52" s="43" t="s">
        <v>63</v>
      </c>
      <c r="C52" s="70" t="s">
        <v>28</v>
      </c>
      <c r="D52" s="72">
        <v>1E-4</v>
      </c>
      <c r="E52" s="73"/>
      <c r="F52" s="77">
        <f t="shared" si="7"/>
        <v>50300</v>
      </c>
      <c r="G52" s="81">
        <v>5.03</v>
      </c>
      <c r="H52" s="82">
        <v>6.31</v>
      </c>
      <c r="I52" s="83">
        <f t="shared" si="5"/>
        <v>252581</v>
      </c>
      <c r="J52" s="84">
        <f t="shared" si="6"/>
        <v>25</v>
      </c>
      <c r="K52" s="74"/>
      <c r="L52" s="74"/>
      <c r="M52" s="74"/>
      <c r="N52" s="73"/>
      <c r="O52" s="85">
        <f t="shared" si="8"/>
        <v>252581</v>
      </c>
      <c r="P52" s="86">
        <f t="shared" si="9"/>
        <v>25</v>
      </c>
    </row>
    <row r="53" spans="1:16" ht="28.8" x14ac:dyDescent="0.3">
      <c r="A53" s="38"/>
      <c r="B53" s="43" t="s">
        <v>64</v>
      </c>
      <c r="C53" s="70" t="s">
        <v>28</v>
      </c>
      <c r="D53" s="72">
        <v>5.7000000000000002E-2</v>
      </c>
      <c r="E53" s="73"/>
      <c r="F53" s="77">
        <f t="shared" si="7"/>
        <v>6064</v>
      </c>
      <c r="G53" s="81">
        <v>345.64</v>
      </c>
      <c r="H53" s="82">
        <v>6.31</v>
      </c>
      <c r="I53" s="83">
        <f t="shared" si="5"/>
        <v>30450</v>
      </c>
      <c r="J53" s="84">
        <f t="shared" si="6"/>
        <v>1736</v>
      </c>
      <c r="K53" s="74"/>
      <c r="L53" s="74"/>
      <c r="M53" s="74"/>
      <c r="N53" s="73"/>
      <c r="O53" s="85">
        <f t="shared" si="8"/>
        <v>30450</v>
      </c>
      <c r="P53" s="86">
        <f t="shared" si="9"/>
        <v>1736</v>
      </c>
    </row>
    <row r="54" spans="1:16" ht="30.75" customHeight="1" x14ac:dyDescent="0.3">
      <c r="A54" s="38"/>
      <c r="B54" s="43" t="s">
        <v>65</v>
      </c>
      <c r="C54" s="70" t="s">
        <v>40</v>
      </c>
      <c r="D54" s="72">
        <v>4</v>
      </c>
      <c r="E54" s="73"/>
      <c r="F54" s="77">
        <f t="shared" si="7"/>
        <v>126</v>
      </c>
      <c r="G54" s="81">
        <v>504.56</v>
      </c>
      <c r="H54" s="82">
        <v>6.31</v>
      </c>
      <c r="I54" s="83">
        <f t="shared" si="5"/>
        <v>633</v>
      </c>
      <c r="J54" s="84">
        <f t="shared" si="6"/>
        <v>2534</v>
      </c>
      <c r="K54" s="74"/>
      <c r="L54" s="74"/>
      <c r="M54" s="74"/>
      <c r="N54" s="73"/>
      <c r="O54" s="85">
        <f t="shared" si="8"/>
        <v>633</v>
      </c>
      <c r="P54" s="86">
        <f t="shared" si="9"/>
        <v>2534</v>
      </c>
    </row>
    <row r="55" spans="1:16" ht="57.6" x14ac:dyDescent="0.3">
      <c r="A55" s="38"/>
      <c r="B55" s="43" t="s">
        <v>66</v>
      </c>
      <c r="C55" s="70" t="s">
        <v>26</v>
      </c>
      <c r="D55" s="72">
        <v>12</v>
      </c>
      <c r="E55" s="73"/>
      <c r="F55" s="77">
        <f t="shared" si="7"/>
        <v>3435</v>
      </c>
      <c r="G55" s="81">
        <v>41218.92</v>
      </c>
      <c r="H55" s="82">
        <v>6.31</v>
      </c>
      <c r="I55" s="83">
        <f t="shared" si="5"/>
        <v>17249</v>
      </c>
      <c r="J55" s="84">
        <f t="shared" si="6"/>
        <v>206981</v>
      </c>
      <c r="K55" s="74"/>
      <c r="L55" s="74"/>
      <c r="M55" s="74"/>
      <c r="N55" s="73"/>
      <c r="O55" s="85">
        <f t="shared" si="8"/>
        <v>17249</v>
      </c>
      <c r="P55" s="86">
        <f t="shared" si="9"/>
        <v>206981</v>
      </c>
    </row>
    <row r="56" spans="1:16" ht="43.2" x14ac:dyDescent="0.3">
      <c r="A56" s="38"/>
      <c r="B56" s="43" t="s">
        <v>67</v>
      </c>
      <c r="C56" s="70" t="s">
        <v>28</v>
      </c>
      <c r="D56" s="72">
        <v>0.03</v>
      </c>
      <c r="E56" s="73"/>
      <c r="F56" s="77">
        <f t="shared" si="7"/>
        <v>4865</v>
      </c>
      <c r="G56" s="81">
        <v>145.94</v>
      </c>
      <c r="H56" s="82">
        <v>6.31</v>
      </c>
      <c r="I56" s="83">
        <f t="shared" si="5"/>
        <v>24430</v>
      </c>
      <c r="J56" s="84">
        <f t="shared" si="6"/>
        <v>733</v>
      </c>
      <c r="K56" s="74"/>
      <c r="L56" s="74"/>
      <c r="M56" s="74"/>
      <c r="N56" s="73"/>
      <c r="O56" s="85">
        <f t="shared" si="8"/>
        <v>24430</v>
      </c>
      <c r="P56" s="86">
        <f t="shared" si="9"/>
        <v>733</v>
      </c>
    </row>
    <row r="57" spans="1:16" x14ac:dyDescent="0.3">
      <c r="A57" s="38"/>
      <c r="B57" s="43" t="s">
        <v>68</v>
      </c>
      <c r="C57" s="70" t="s">
        <v>28</v>
      </c>
      <c r="D57" s="72">
        <v>1.6581999999999999</v>
      </c>
      <c r="E57" s="73"/>
      <c r="F57" s="77">
        <f t="shared" si="7"/>
        <v>14903</v>
      </c>
      <c r="G57" s="81">
        <v>24712.78</v>
      </c>
      <c r="H57" s="82">
        <v>6.31</v>
      </c>
      <c r="I57" s="83">
        <f t="shared" si="5"/>
        <v>74835</v>
      </c>
      <c r="J57" s="84">
        <f t="shared" si="6"/>
        <v>124095</v>
      </c>
      <c r="K57" s="74"/>
      <c r="L57" s="74"/>
      <c r="M57" s="74"/>
      <c r="N57" s="73"/>
      <c r="O57" s="85">
        <f t="shared" si="8"/>
        <v>74835</v>
      </c>
      <c r="P57" s="86">
        <f t="shared" si="9"/>
        <v>124095</v>
      </c>
    </row>
    <row r="58" spans="1:16" x14ac:dyDescent="0.3">
      <c r="A58" s="38"/>
      <c r="B58" s="43" t="s">
        <v>69</v>
      </c>
      <c r="C58" s="70" t="s">
        <v>28</v>
      </c>
      <c r="D58" s="72">
        <v>7.1999999999999998E-3</v>
      </c>
      <c r="E58" s="73"/>
      <c r="F58" s="77">
        <f t="shared" si="7"/>
        <v>12849</v>
      </c>
      <c r="G58" s="81">
        <v>92.51</v>
      </c>
      <c r="H58" s="82">
        <v>6.31</v>
      </c>
      <c r="I58" s="83">
        <f t="shared" si="5"/>
        <v>64521</v>
      </c>
      <c r="J58" s="84">
        <f t="shared" si="6"/>
        <v>465</v>
      </c>
      <c r="K58" s="74"/>
      <c r="L58" s="74"/>
      <c r="M58" s="74"/>
      <c r="N58" s="73"/>
      <c r="O58" s="85">
        <f t="shared" si="8"/>
        <v>64521</v>
      </c>
      <c r="P58" s="86">
        <f t="shared" si="9"/>
        <v>465</v>
      </c>
    </row>
    <row r="59" spans="1:16" x14ac:dyDescent="0.3">
      <c r="A59" s="38"/>
      <c r="B59" s="43" t="s">
        <v>70</v>
      </c>
      <c r="C59" s="70" t="s">
        <v>28</v>
      </c>
      <c r="D59" s="72">
        <v>2.5499999999999998E-2</v>
      </c>
      <c r="E59" s="73"/>
      <c r="F59" s="77">
        <f t="shared" si="7"/>
        <v>11891</v>
      </c>
      <c r="G59" s="81">
        <v>303.22000000000003</v>
      </c>
      <c r="H59" s="82">
        <v>6.31</v>
      </c>
      <c r="I59" s="83">
        <f t="shared" si="5"/>
        <v>59711</v>
      </c>
      <c r="J59" s="84">
        <f t="shared" si="6"/>
        <v>1523</v>
      </c>
      <c r="K59" s="74"/>
      <c r="L59" s="74"/>
      <c r="M59" s="74"/>
      <c r="N59" s="73"/>
      <c r="O59" s="85">
        <f t="shared" si="8"/>
        <v>59711</v>
      </c>
      <c r="P59" s="86">
        <f t="shared" si="9"/>
        <v>1523</v>
      </c>
    </row>
    <row r="60" spans="1:16" ht="31.5" customHeight="1" x14ac:dyDescent="0.3">
      <c r="A60" s="38"/>
      <c r="B60" s="43" t="s">
        <v>71</v>
      </c>
      <c r="C60" s="70" t="s">
        <v>40</v>
      </c>
      <c r="D60" s="72">
        <v>1560.32</v>
      </c>
      <c r="E60" s="73"/>
      <c r="F60" s="77">
        <f t="shared" si="7"/>
        <v>38</v>
      </c>
      <c r="G60" s="81">
        <v>58699.24</v>
      </c>
      <c r="H60" s="82">
        <v>6.31</v>
      </c>
      <c r="I60" s="83">
        <f t="shared" si="5"/>
        <v>191</v>
      </c>
      <c r="J60" s="84">
        <f t="shared" si="6"/>
        <v>294758</v>
      </c>
      <c r="K60" s="74"/>
      <c r="L60" s="74"/>
      <c r="M60" s="74"/>
      <c r="N60" s="73"/>
      <c r="O60" s="85">
        <f t="shared" si="8"/>
        <v>191</v>
      </c>
      <c r="P60" s="86">
        <f t="shared" si="9"/>
        <v>294758</v>
      </c>
    </row>
    <row r="61" spans="1:16" x14ac:dyDescent="0.3">
      <c r="A61" s="38"/>
      <c r="B61" s="43" t="s">
        <v>72</v>
      </c>
      <c r="C61" s="70" t="s">
        <v>40</v>
      </c>
      <c r="D61" s="72">
        <v>81</v>
      </c>
      <c r="E61" s="73"/>
      <c r="F61" s="77">
        <f t="shared" si="7"/>
        <v>276</v>
      </c>
      <c r="G61" s="81">
        <v>22342.23</v>
      </c>
      <c r="H61" s="82">
        <v>6.31</v>
      </c>
      <c r="I61" s="83">
        <f t="shared" si="5"/>
        <v>1386</v>
      </c>
      <c r="J61" s="84">
        <f t="shared" si="6"/>
        <v>112191</v>
      </c>
      <c r="K61" s="74"/>
      <c r="L61" s="74"/>
      <c r="M61" s="74"/>
      <c r="N61" s="73"/>
      <c r="O61" s="85">
        <f t="shared" si="8"/>
        <v>1386</v>
      </c>
      <c r="P61" s="86">
        <f t="shared" si="9"/>
        <v>112191</v>
      </c>
    </row>
    <row r="62" spans="1:16" ht="28.8" x14ac:dyDescent="0.3">
      <c r="A62" s="38"/>
      <c r="B62" s="43" t="s">
        <v>73</v>
      </c>
      <c r="C62" s="70" t="s">
        <v>40</v>
      </c>
      <c r="D62" s="72">
        <v>1560.3</v>
      </c>
      <c r="E62" s="73"/>
      <c r="F62" s="77">
        <f t="shared" si="7"/>
        <v>201</v>
      </c>
      <c r="G62" s="81">
        <v>313589.09999999998</v>
      </c>
      <c r="H62" s="82">
        <v>6.31</v>
      </c>
      <c r="I62" s="83">
        <f t="shared" si="5"/>
        <v>1009</v>
      </c>
      <c r="J62" s="84">
        <f t="shared" si="6"/>
        <v>1574687</v>
      </c>
      <c r="K62" s="74"/>
      <c r="L62" s="74"/>
      <c r="M62" s="74"/>
      <c r="N62" s="73"/>
      <c r="O62" s="85">
        <f t="shared" si="8"/>
        <v>1009</v>
      </c>
      <c r="P62" s="86">
        <f t="shared" si="9"/>
        <v>1574687</v>
      </c>
    </row>
    <row r="63" spans="1:16" ht="28.8" x14ac:dyDescent="0.3">
      <c r="A63" s="38"/>
      <c r="B63" s="43" t="s">
        <v>74</v>
      </c>
      <c r="C63" s="70" t="s">
        <v>17</v>
      </c>
      <c r="D63" s="72">
        <v>2289.69</v>
      </c>
      <c r="E63" s="73"/>
      <c r="F63" s="77">
        <f t="shared" si="7"/>
        <v>52</v>
      </c>
      <c r="G63" s="81">
        <v>118605.94</v>
      </c>
      <c r="H63" s="82">
        <v>6.31</v>
      </c>
      <c r="I63" s="83">
        <f t="shared" si="5"/>
        <v>261</v>
      </c>
      <c r="J63" s="84">
        <f t="shared" si="6"/>
        <v>595579</v>
      </c>
      <c r="K63" s="74"/>
      <c r="L63" s="74"/>
      <c r="M63" s="74"/>
      <c r="N63" s="73"/>
      <c r="O63" s="85">
        <f t="shared" si="8"/>
        <v>261</v>
      </c>
      <c r="P63" s="86">
        <f t="shared" si="9"/>
        <v>595579</v>
      </c>
    </row>
    <row r="64" spans="1:16" x14ac:dyDescent="0.3">
      <c r="A64" s="38"/>
      <c r="B64" s="43" t="s">
        <v>75</v>
      </c>
      <c r="C64" s="70" t="s">
        <v>28</v>
      </c>
      <c r="D64" s="72">
        <v>3.3999999999999998E-3</v>
      </c>
      <c r="E64" s="73"/>
      <c r="F64" s="77">
        <f t="shared" si="7"/>
        <v>11635</v>
      </c>
      <c r="G64" s="81">
        <v>39.56</v>
      </c>
      <c r="H64" s="82">
        <v>6.31</v>
      </c>
      <c r="I64" s="83">
        <f t="shared" si="5"/>
        <v>58425</v>
      </c>
      <c r="J64" s="84">
        <f t="shared" si="6"/>
        <v>199</v>
      </c>
      <c r="K64" s="74"/>
      <c r="L64" s="74"/>
      <c r="M64" s="74"/>
      <c r="N64" s="73"/>
      <c r="O64" s="85">
        <f t="shared" si="8"/>
        <v>58425</v>
      </c>
      <c r="P64" s="86">
        <f t="shared" si="9"/>
        <v>199</v>
      </c>
    </row>
    <row r="65" spans="1:16" x14ac:dyDescent="0.3">
      <c r="A65" s="38"/>
      <c r="B65" s="43" t="s">
        <v>76</v>
      </c>
      <c r="C65" s="70" t="s">
        <v>28</v>
      </c>
      <c r="D65" s="72">
        <v>1.5E-3</v>
      </c>
      <c r="E65" s="73"/>
      <c r="F65" s="77">
        <f t="shared" si="7"/>
        <v>10200</v>
      </c>
      <c r="G65" s="81">
        <v>15.3</v>
      </c>
      <c r="H65" s="82">
        <v>6.31</v>
      </c>
      <c r="I65" s="83">
        <f t="shared" si="5"/>
        <v>51219</v>
      </c>
      <c r="J65" s="84">
        <f t="shared" si="6"/>
        <v>77</v>
      </c>
      <c r="K65" s="74"/>
      <c r="L65" s="74"/>
      <c r="M65" s="74"/>
      <c r="N65" s="73"/>
      <c r="O65" s="85">
        <f t="shared" si="8"/>
        <v>51219</v>
      </c>
      <c r="P65" s="86">
        <f t="shared" si="9"/>
        <v>77</v>
      </c>
    </row>
    <row r="66" spans="1:16" x14ac:dyDescent="0.3">
      <c r="A66" s="38"/>
      <c r="B66" s="71" t="s">
        <v>6</v>
      </c>
      <c r="C66" s="71"/>
      <c r="D66" s="71"/>
      <c r="E66" s="71"/>
      <c r="F66" s="71"/>
      <c r="G66" s="71"/>
      <c r="H66" s="71"/>
      <c r="I66" s="71"/>
      <c r="J66" s="40">
        <f>SUM(J18:J65)</f>
        <v>11213074</v>
      </c>
      <c r="K66" s="41"/>
      <c r="L66" s="41">
        <f>SUM(L56:L65)</f>
        <v>0</v>
      </c>
      <c r="M66" s="7"/>
      <c r="N66" s="7"/>
      <c r="O66" s="7"/>
      <c r="P66" s="40">
        <f>SUM(P18:P65)</f>
        <v>11213074</v>
      </c>
    </row>
    <row r="67" spans="1:16" ht="36" x14ac:dyDescent="0.35">
      <c r="A67" s="38"/>
      <c r="B67" s="39" t="s">
        <v>78</v>
      </c>
      <c r="C67" s="38"/>
      <c r="D67" s="38"/>
      <c r="E67" s="38"/>
      <c r="F67" s="38"/>
      <c r="G67" s="38"/>
      <c r="H67" s="38"/>
      <c r="I67" s="38"/>
      <c r="J67" s="38"/>
      <c r="K67" s="5"/>
      <c r="L67" s="5"/>
      <c r="M67" s="5"/>
      <c r="N67" s="38"/>
      <c r="O67" s="38"/>
      <c r="P67" s="38"/>
    </row>
    <row r="68" spans="1:16" ht="28.8" x14ac:dyDescent="0.3">
      <c r="A68" s="38"/>
      <c r="B68" s="43" t="s">
        <v>79</v>
      </c>
      <c r="C68" s="70" t="s">
        <v>17</v>
      </c>
      <c r="D68" s="72">
        <v>7.0000000000000007E-2</v>
      </c>
      <c r="E68" s="73"/>
      <c r="F68" s="77">
        <f t="shared" ref="F68" si="10">ROUND(G68/D68,0)</f>
        <v>2178</v>
      </c>
      <c r="G68" s="81">
        <v>152.46</v>
      </c>
      <c r="H68" s="82">
        <v>6.31</v>
      </c>
      <c r="I68" s="83">
        <f>ROUND(F68*H68*0.7958,0)</f>
        <v>10937</v>
      </c>
      <c r="J68" s="84">
        <f>ROUND(G68*H68*0.7958,0)</f>
        <v>766</v>
      </c>
      <c r="K68" s="74"/>
      <c r="L68" s="74"/>
      <c r="M68" s="74"/>
      <c r="N68" s="73"/>
      <c r="O68" s="85">
        <f t="shared" ref="O68" si="11">I68-K68</f>
        <v>10937</v>
      </c>
      <c r="P68" s="86">
        <f t="shared" ref="P68" si="12">J68-L68</f>
        <v>766</v>
      </c>
    </row>
    <row r="69" spans="1:16" ht="28.8" x14ac:dyDescent="0.3">
      <c r="A69" s="38"/>
      <c r="B69" s="43" t="s">
        <v>34</v>
      </c>
      <c r="C69" s="70" t="s">
        <v>17</v>
      </c>
      <c r="D69" s="72">
        <v>1.76</v>
      </c>
      <c r="E69" s="73"/>
      <c r="F69" s="77">
        <f t="shared" ref="F69:F84" si="13">ROUND(G69/D69,0)</f>
        <v>2539</v>
      </c>
      <c r="G69" s="81">
        <v>4468.2700000000004</v>
      </c>
      <c r="H69" s="82">
        <v>6.31</v>
      </c>
      <c r="I69" s="83">
        <f t="shared" ref="I69:I84" si="14">ROUND(F69*H69*0.7958,0)</f>
        <v>12750</v>
      </c>
      <c r="J69" s="84">
        <f t="shared" ref="J69:J84" si="15">ROUND(G69*H69*0.7958,0)</f>
        <v>22437</v>
      </c>
      <c r="K69" s="74"/>
      <c r="L69" s="74"/>
      <c r="M69" s="74"/>
      <c r="N69" s="73"/>
      <c r="O69" s="85">
        <f t="shared" ref="O69:O84" si="16">I69-K69</f>
        <v>12750</v>
      </c>
      <c r="P69" s="86">
        <f t="shared" ref="P69:P84" si="17">J69-L69</f>
        <v>22437</v>
      </c>
    </row>
    <row r="70" spans="1:16" ht="28.8" x14ac:dyDescent="0.3">
      <c r="A70" s="38"/>
      <c r="B70" s="43" t="s">
        <v>80</v>
      </c>
      <c r="C70" s="70" t="s">
        <v>17</v>
      </c>
      <c r="D70" s="72">
        <v>2.8</v>
      </c>
      <c r="E70" s="73"/>
      <c r="F70" s="77">
        <f t="shared" si="13"/>
        <v>2840</v>
      </c>
      <c r="G70" s="81">
        <v>7952.22</v>
      </c>
      <c r="H70" s="82">
        <v>6.31</v>
      </c>
      <c r="I70" s="83">
        <f t="shared" si="14"/>
        <v>14261</v>
      </c>
      <c r="J70" s="84">
        <f t="shared" si="15"/>
        <v>39932</v>
      </c>
      <c r="K70" s="74"/>
      <c r="L70" s="74"/>
      <c r="M70" s="74"/>
      <c r="N70" s="73"/>
      <c r="O70" s="85">
        <f t="shared" si="16"/>
        <v>14261</v>
      </c>
      <c r="P70" s="86">
        <f t="shared" si="17"/>
        <v>39932</v>
      </c>
    </row>
    <row r="71" spans="1:16" x14ac:dyDescent="0.3">
      <c r="A71" s="38"/>
      <c r="B71" s="43" t="s">
        <v>81</v>
      </c>
      <c r="C71" s="70" t="s">
        <v>28</v>
      </c>
      <c r="D71" s="72">
        <v>2.2000000000000001E-3</v>
      </c>
      <c r="E71" s="73"/>
      <c r="F71" s="77">
        <f t="shared" si="13"/>
        <v>12432</v>
      </c>
      <c r="G71" s="81">
        <v>27.35</v>
      </c>
      <c r="H71" s="82">
        <v>6.31</v>
      </c>
      <c r="I71" s="83">
        <f t="shared" si="14"/>
        <v>62427</v>
      </c>
      <c r="J71" s="84">
        <f t="shared" si="15"/>
        <v>137</v>
      </c>
      <c r="K71" s="74"/>
      <c r="L71" s="74"/>
      <c r="M71" s="74"/>
      <c r="N71" s="73"/>
      <c r="O71" s="85">
        <f t="shared" si="16"/>
        <v>62427</v>
      </c>
      <c r="P71" s="86">
        <f t="shared" si="17"/>
        <v>137</v>
      </c>
    </row>
    <row r="72" spans="1:16" ht="28.8" x14ac:dyDescent="0.3">
      <c r="A72" s="38"/>
      <c r="B72" s="43" t="s">
        <v>43</v>
      </c>
      <c r="C72" s="70" t="s">
        <v>28</v>
      </c>
      <c r="D72" s="72">
        <v>0.16</v>
      </c>
      <c r="E72" s="73"/>
      <c r="F72" s="77">
        <f t="shared" si="13"/>
        <v>7649</v>
      </c>
      <c r="G72" s="81">
        <v>1223.81</v>
      </c>
      <c r="H72" s="82">
        <v>6.31</v>
      </c>
      <c r="I72" s="83">
        <f t="shared" si="14"/>
        <v>38409</v>
      </c>
      <c r="J72" s="84">
        <f t="shared" si="15"/>
        <v>6145</v>
      </c>
      <c r="K72" s="74"/>
      <c r="L72" s="74"/>
      <c r="M72" s="74"/>
      <c r="N72" s="73"/>
      <c r="O72" s="85">
        <f t="shared" si="16"/>
        <v>38409</v>
      </c>
      <c r="P72" s="86">
        <f t="shared" si="17"/>
        <v>6145</v>
      </c>
    </row>
    <row r="73" spans="1:16" x14ac:dyDescent="0.3">
      <c r="A73" s="38"/>
      <c r="B73" s="43" t="s">
        <v>45</v>
      </c>
      <c r="C73" s="70" t="s">
        <v>28</v>
      </c>
      <c r="D73" s="72">
        <v>7.7000000000000002E-3</v>
      </c>
      <c r="E73" s="73"/>
      <c r="F73" s="77">
        <f t="shared" si="13"/>
        <v>16631</v>
      </c>
      <c r="G73" s="81">
        <v>128.06</v>
      </c>
      <c r="H73" s="82">
        <v>6.31</v>
      </c>
      <c r="I73" s="83">
        <f t="shared" si="14"/>
        <v>83513</v>
      </c>
      <c r="J73" s="84">
        <f t="shared" si="15"/>
        <v>643</v>
      </c>
      <c r="K73" s="74"/>
      <c r="L73" s="74"/>
      <c r="M73" s="74"/>
      <c r="N73" s="73"/>
      <c r="O73" s="85">
        <f t="shared" si="16"/>
        <v>83513</v>
      </c>
      <c r="P73" s="86">
        <f t="shared" si="17"/>
        <v>643</v>
      </c>
    </row>
    <row r="74" spans="1:16" x14ac:dyDescent="0.3">
      <c r="A74" s="38"/>
      <c r="B74" s="43" t="s">
        <v>46</v>
      </c>
      <c r="C74" s="70" t="s">
        <v>28</v>
      </c>
      <c r="D74" s="72">
        <v>1.2200000000000001E-2</v>
      </c>
      <c r="E74" s="73"/>
      <c r="F74" s="77">
        <f t="shared" si="13"/>
        <v>2073</v>
      </c>
      <c r="G74" s="81">
        <v>25.29</v>
      </c>
      <c r="H74" s="82">
        <v>6.31</v>
      </c>
      <c r="I74" s="83">
        <f t="shared" si="14"/>
        <v>10410</v>
      </c>
      <c r="J74" s="84">
        <f t="shared" si="15"/>
        <v>127</v>
      </c>
      <c r="K74" s="74"/>
      <c r="L74" s="74"/>
      <c r="M74" s="74"/>
      <c r="N74" s="73"/>
      <c r="O74" s="85">
        <f t="shared" si="16"/>
        <v>10410</v>
      </c>
      <c r="P74" s="86">
        <f t="shared" si="17"/>
        <v>127</v>
      </c>
    </row>
    <row r="75" spans="1:16" x14ac:dyDescent="0.3">
      <c r="A75" s="38"/>
      <c r="B75" s="43" t="s">
        <v>82</v>
      </c>
      <c r="C75" s="70" t="s">
        <v>28</v>
      </c>
      <c r="D75" s="72">
        <v>0.1026</v>
      </c>
      <c r="E75" s="73"/>
      <c r="F75" s="77">
        <f t="shared" si="13"/>
        <v>7554</v>
      </c>
      <c r="G75" s="81">
        <v>775.07</v>
      </c>
      <c r="H75" s="82">
        <v>6.31</v>
      </c>
      <c r="I75" s="83">
        <f t="shared" si="14"/>
        <v>37932</v>
      </c>
      <c r="J75" s="84">
        <f t="shared" si="15"/>
        <v>3892</v>
      </c>
      <c r="K75" s="74"/>
      <c r="L75" s="74"/>
      <c r="M75" s="74"/>
      <c r="N75" s="73"/>
      <c r="O75" s="85">
        <f t="shared" si="16"/>
        <v>37932</v>
      </c>
      <c r="P75" s="86">
        <f t="shared" si="17"/>
        <v>3892</v>
      </c>
    </row>
    <row r="76" spans="1:16" ht="57.6" x14ac:dyDescent="0.3">
      <c r="A76" s="38"/>
      <c r="B76" s="43" t="s">
        <v>83</v>
      </c>
      <c r="C76" s="70" t="s">
        <v>26</v>
      </c>
      <c r="D76" s="72">
        <v>2.177</v>
      </c>
      <c r="E76" s="73"/>
      <c r="F76" s="77">
        <f t="shared" si="13"/>
        <v>94523</v>
      </c>
      <c r="G76" s="81">
        <v>205777.57</v>
      </c>
      <c r="H76" s="82">
        <v>6.31</v>
      </c>
      <c r="I76" s="83">
        <f t="shared" si="14"/>
        <v>474647</v>
      </c>
      <c r="J76" s="84">
        <f t="shared" si="15"/>
        <v>1033312</v>
      </c>
      <c r="K76" s="74"/>
      <c r="L76" s="74"/>
      <c r="M76" s="74"/>
      <c r="N76" s="73"/>
      <c r="O76" s="85">
        <f t="shared" si="16"/>
        <v>474647</v>
      </c>
      <c r="P76" s="86">
        <f t="shared" si="17"/>
        <v>1033312</v>
      </c>
    </row>
    <row r="77" spans="1:16" x14ac:dyDescent="0.3">
      <c r="A77" s="38"/>
      <c r="B77" s="43" t="s">
        <v>84</v>
      </c>
      <c r="C77" s="70" t="s">
        <v>28</v>
      </c>
      <c r="D77" s="72">
        <v>0.02</v>
      </c>
      <c r="E77" s="73"/>
      <c r="F77" s="77">
        <f t="shared" si="13"/>
        <v>6222</v>
      </c>
      <c r="G77" s="81">
        <v>124.44</v>
      </c>
      <c r="H77" s="82">
        <v>6.31</v>
      </c>
      <c r="I77" s="83">
        <f t="shared" si="14"/>
        <v>31244</v>
      </c>
      <c r="J77" s="84">
        <f t="shared" si="15"/>
        <v>625</v>
      </c>
      <c r="K77" s="74"/>
      <c r="L77" s="74"/>
      <c r="M77" s="74"/>
      <c r="N77" s="73"/>
      <c r="O77" s="85">
        <f t="shared" si="16"/>
        <v>31244</v>
      </c>
      <c r="P77" s="86">
        <f t="shared" si="17"/>
        <v>625</v>
      </c>
    </row>
    <row r="78" spans="1:16" x14ac:dyDescent="0.3">
      <c r="A78" s="38"/>
      <c r="B78" s="43" t="s">
        <v>85</v>
      </c>
      <c r="C78" s="70" t="s">
        <v>17</v>
      </c>
      <c r="D78" s="72">
        <v>0.56100000000000005</v>
      </c>
      <c r="E78" s="73"/>
      <c r="F78" s="77">
        <f t="shared" si="13"/>
        <v>516</v>
      </c>
      <c r="G78" s="81">
        <v>289.39999999999998</v>
      </c>
      <c r="H78" s="82">
        <v>6.31</v>
      </c>
      <c r="I78" s="83">
        <f t="shared" si="14"/>
        <v>2591</v>
      </c>
      <c r="J78" s="84">
        <f t="shared" si="15"/>
        <v>1453</v>
      </c>
      <c r="K78" s="74"/>
      <c r="L78" s="74"/>
      <c r="M78" s="74"/>
      <c r="N78" s="73"/>
      <c r="O78" s="85">
        <f t="shared" si="16"/>
        <v>2591</v>
      </c>
      <c r="P78" s="86">
        <f t="shared" si="17"/>
        <v>1453</v>
      </c>
    </row>
    <row r="79" spans="1:16" ht="28.8" x14ac:dyDescent="0.3">
      <c r="A79" s="38"/>
      <c r="B79" s="43" t="s">
        <v>59</v>
      </c>
      <c r="C79" s="70" t="s">
        <v>28</v>
      </c>
      <c r="D79" s="72">
        <v>1.1200000000000001</v>
      </c>
      <c r="E79" s="73"/>
      <c r="F79" s="77">
        <f t="shared" si="13"/>
        <v>1539</v>
      </c>
      <c r="G79" s="81">
        <v>1723.13</v>
      </c>
      <c r="H79" s="82">
        <v>6.31</v>
      </c>
      <c r="I79" s="83">
        <f t="shared" si="14"/>
        <v>7728</v>
      </c>
      <c r="J79" s="84">
        <f t="shared" si="15"/>
        <v>8653</v>
      </c>
      <c r="K79" s="74"/>
      <c r="L79" s="74"/>
      <c r="M79" s="74"/>
      <c r="N79" s="73"/>
      <c r="O79" s="85">
        <f t="shared" si="16"/>
        <v>7728</v>
      </c>
      <c r="P79" s="86">
        <f t="shared" si="17"/>
        <v>8653</v>
      </c>
    </row>
    <row r="80" spans="1:16" ht="28.8" x14ac:dyDescent="0.3">
      <c r="A80" s="38"/>
      <c r="B80" s="43" t="s">
        <v>86</v>
      </c>
      <c r="C80" s="70" t="s">
        <v>28</v>
      </c>
      <c r="D80" s="72">
        <v>0.28000000000000003</v>
      </c>
      <c r="E80" s="73"/>
      <c r="F80" s="77">
        <f t="shared" si="13"/>
        <v>4664</v>
      </c>
      <c r="G80" s="81">
        <v>1305.92</v>
      </c>
      <c r="H80" s="82">
        <v>6.31</v>
      </c>
      <c r="I80" s="83">
        <f t="shared" si="14"/>
        <v>23420</v>
      </c>
      <c r="J80" s="84">
        <f t="shared" si="15"/>
        <v>6558</v>
      </c>
      <c r="K80" s="74"/>
      <c r="L80" s="74"/>
      <c r="M80" s="74"/>
      <c r="N80" s="73"/>
      <c r="O80" s="85">
        <f t="shared" si="16"/>
        <v>23420</v>
      </c>
      <c r="P80" s="86">
        <f t="shared" si="17"/>
        <v>6558</v>
      </c>
    </row>
    <row r="81" spans="1:16" x14ac:dyDescent="0.3">
      <c r="A81" s="38"/>
      <c r="B81" s="43" t="s">
        <v>87</v>
      </c>
      <c r="C81" s="70" t="s">
        <v>28</v>
      </c>
      <c r="D81" s="72">
        <v>1.8E-3</v>
      </c>
      <c r="E81" s="73"/>
      <c r="F81" s="77">
        <f t="shared" si="13"/>
        <v>12533</v>
      </c>
      <c r="G81" s="81">
        <v>22.56</v>
      </c>
      <c r="H81" s="82">
        <v>6.31</v>
      </c>
      <c r="I81" s="83">
        <f t="shared" si="14"/>
        <v>62934</v>
      </c>
      <c r="J81" s="84">
        <f t="shared" si="15"/>
        <v>113</v>
      </c>
      <c r="K81" s="74"/>
      <c r="L81" s="74"/>
      <c r="M81" s="74"/>
      <c r="N81" s="73"/>
      <c r="O81" s="85">
        <f t="shared" si="16"/>
        <v>62934</v>
      </c>
      <c r="P81" s="86">
        <f t="shared" si="17"/>
        <v>113</v>
      </c>
    </row>
    <row r="82" spans="1:16" x14ac:dyDescent="0.3">
      <c r="A82" s="38"/>
      <c r="B82" s="43" t="s">
        <v>88</v>
      </c>
      <c r="C82" s="70" t="s">
        <v>28</v>
      </c>
      <c r="D82" s="72">
        <v>0.1</v>
      </c>
      <c r="E82" s="73"/>
      <c r="F82" s="77">
        <f t="shared" si="13"/>
        <v>12264</v>
      </c>
      <c r="G82" s="81">
        <v>1226.3699999999999</v>
      </c>
      <c r="H82" s="82">
        <v>6.31</v>
      </c>
      <c r="I82" s="83">
        <f t="shared" si="14"/>
        <v>61584</v>
      </c>
      <c r="J82" s="84">
        <f t="shared" si="15"/>
        <v>6158</v>
      </c>
      <c r="K82" s="74"/>
      <c r="L82" s="74"/>
      <c r="M82" s="74"/>
      <c r="N82" s="73"/>
      <c r="O82" s="85">
        <f t="shared" si="16"/>
        <v>61584</v>
      </c>
      <c r="P82" s="86">
        <f t="shared" si="17"/>
        <v>6158</v>
      </c>
    </row>
    <row r="83" spans="1:16" x14ac:dyDescent="0.3">
      <c r="A83" s="38"/>
      <c r="B83" s="43" t="s">
        <v>76</v>
      </c>
      <c r="C83" s="70" t="s">
        <v>28</v>
      </c>
      <c r="D83" s="72">
        <v>8.8000000000000005E-3</v>
      </c>
      <c r="E83" s="73"/>
      <c r="F83" s="77">
        <f t="shared" si="13"/>
        <v>10195</v>
      </c>
      <c r="G83" s="81">
        <v>89.72</v>
      </c>
      <c r="H83" s="82">
        <v>6.31</v>
      </c>
      <c r="I83" s="83">
        <f t="shared" si="14"/>
        <v>51194</v>
      </c>
      <c r="J83" s="84">
        <f t="shared" si="15"/>
        <v>451</v>
      </c>
      <c r="K83" s="74"/>
      <c r="L83" s="74"/>
      <c r="M83" s="74"/>
      <c r="N83" s="73"/>
      <c r="O83" s="85">
        <f t="shared" si="16"/>
        <v>51194</v>
      </c>
      <c r="P83" s="86">
        <f t="shared" si="17"/>
        <v>451</v>
      </c>
    </row>
    <row r="84" spans="1:16" x14ac:dyDescent="0.3">
      <c r="A84" s="38"/>
      <c r="B84" s="43" t="s">
        <v>89</v>
      </c>
      <c r="C84" s="70" t="s">
        <v>17</v>
      </c>
      <c r="D84" s="72">
        <v>3.34</v>
      </c>
      <c r="E84" s="73"/>
      <c r="F84" s="77">
        <f t="shared" si="13"/>
        <v>1442</v>
      </c>
      <c r="G84" s="81">
        <v>4816.78</v>
      </c>
      <c r="H84" s="82">
        <v>6.31</v>
      </c>
      <c r="I84" s="83">
        <f t="shared" si="14"/>
        <v>7241</v>
      </c>
      <c r="J84" s="84">
        <f t="shared" si="15"/>
        <v>24187</v>
      </c>
      <c r="K84" s="74"/>
      <c r="L84" s="74"/>
      <c r="M84" s="74"/>
      <c r="N84" s="73"/>
      <c r="O84" s="85">
        <f t="shared" si="16"/>
        <v>7241</v>
      </c>
      <c r="P84" s="86">
        <f t="shared" si="17"/>
        <v>24187</v>
      </c>
    </row>
    <row r="85" spans="1:16" x14ac:dyDescent="0.3">
      <c r="A85" s="38"/>
      <c r="B85" s="71" t="s">
        <v>6</v>
      </c>
      <c r="C85" s="71"/>
      <c r="D85" s="71"/>
      <c r="E85" s="71"/>
      <c r="F85" s="71"/>
      <c r="G85" s="71"/>
      <c r="H85" s="71"/>
      <c r="I85" s="71"/>
      <c r="J85" s="40">
        <f>SUM(J68:J84)</f>
        <v>1155589</v>
      </c>
      <c r="K85" s="41"/>
      <c r="L85" s="41">
        <f>SUM(L75:L84)</f>
        <v>0</v>
      </c>
      <c r="M85" s="7"/>
      <c r="N85" s="7"/>
      <c r="O85" s="7"/>
      <c r="P85" s="40">
        <f>SUM(P68:P84)</f>
        <v>1155589</v>
      </c>
    </row>
    <row r="86" spans="1:16" ht="36" x14ac:dyDescent="0.3">
      <c r="A86" s="38"/>
      <c r="B86" s="76" t="s">
        <v>90</v>
      </c>
      <c r="C86" s="75"/>
      <c r="D86" s="75"/>
      <c r="E86" s="73"/>
      <c r="F86" s="73"/>
      <c r="G86" s="73"/>
      <c r="H86" s="73"/>
      <c r="I86" s="73"/>
      <c r="J86" s="73"/>
      <c r="K86" s="74"/>
      <c r="L86" s="74"/>
      <c r="M86" s="74"/>
      <c r="N86" s="73"/>
      <c r="O86" s="73"/>
      <c r="P86" s="73"/>
    </row>
    <row r="87" spans="1:16" x14ac:dyDescent="0.3">
      <c r="A87" s="38"/>
      <c r="B87" s="79" t="s">
        <v>91</v>
      </c>
      <c r="C87" s="78" t="s">
        <v>28</v>
      </c>
      <c r="D87" s="80">
        <v>7.0000000000000001E-3</v>
      </c>
      <c r="E87" s="73"/>
      <c r="F87" s="73"/>
      <c r="G87" s="73"/>
      <c r="H87" s="73"/>
      <c r="I87" s="73"/>
      <c r="J87" s="73"/>
      <c r="K87" s="74"/>
      <c r="L87" s="74"/>
      <c r="M87" s="74"/>
      <c r="N87" s="73"/>
      <c r="O87" s="73"/>
      <c r="P87" s="73"/>
    </row>
    <row r="88" spans="1:16" x14ac:dyDescent="0.3">
      <c r="A88" s="38"/>
      <c r="B88" s="79" t="s">
        <v>92</v>
      </c>
      <c r="C88" s="78" t="s">
        <v>28</v>
      </c>
      <c r="D88" s="80">
        <v>6.93</v>
      </c>
      <c r="E88" s="38"/>
      <c r="F88" s="38"/>
      <c r="G88" s="38"/>
      <c r="H88" s="38"/>
      <c r="I88" s="38"/>
      <c r="J88" s="38"/>
      <c r="K88" s="5"/>
      <c r="L88" s="5"/>
      <c r="M88" s="5"/>
      <c r="N88" s="38"/>
      <c r="O88" s="38"/>
      <c r="P88" s="38"/>
    </row>
    <row r="89" spans="1:16" x14ac:dyDescent="0.3">
      <c r="A89" s="38"/>
      <c r="B89" s="79" t="s">
        <v>93</v>
      </c>
      <c r="C89" s="78" t="s">
        <v>17</v>
      </c>
      <c r="D89" s="80">
        <v>1.58</v>
      </c>
      <c r="E89" s="38"/>
      <c r="F89" s="38"/>
      <c r="G89" s="38"/>
      <c r="H89" s="38"/>
      <c r="I89" s="38"/>
      <c r="J89" s="38"/>
      <c r="K89" s="5"/>
      <c r="L89" s="5"/>
      <c r="M89" s="5"/>
      <c r="N89" s="38"/>
      <c r="O89" s="38"/>
      <c r="P89" s="38"/>
    </row>
    <row r="90" spans="1:16" x14ac:dyDescent="0.3">
      <c r="A90" s="38"/>
      <c r="B90" s="79" t="s">
        <v>94</v>
      </c>
      <c r="C90" s="78" t="s">
        <v>28</v>
      </c>
      <c r="D90" s="80">
        <v>5.7000000000000002E-2</v>
      </c>
      <c r="E90" s="38"/>
      <c r="F90" s="38"/>
      <c r="G90" s="38"/>
      <c r="H90" s="38"/>
      <c r="I90" s="38"/>
      <c r="J90" s="38"/>
      <c r="K90" s="5"/>
      <c r="L90" s="5"/>
      <c r="M90" s="5"/>
      <c r="N90" s="38"/>
      <c r="O90" s="38"/>
      <c r="P90" s="38"/>
    </row>
    <row r="91" spans="1:16" x14ac:dyDescent="0.3">
      <c r="A91" s="38"/>
      <c r="B91" s="79" t="s">
        <v>95</v>
      </c>
      <c r="C91" s="78" t="s">
        <v>17</v>
      </c>
      <c r="D91" s="80">
        <v>29.51</v>
      </c>
      <c r="E91" s="38"/>
      <c r="F91" s="38"/>
      <c r="G91" s="38"/>
      <c r="H91" s="38"/>
      <c r="I91" s="38"/>
      <c r="J91" s="38"/>
      <c r="K91" s="5"/>
      <c r="L91" s="5"/>
      <c r="M91" s="5"/>
      <c r="N91" s="38"/>
      <c r="O91" s="38"/>
      <c r="P91" s="38"/>
    </row>
    <row r="92" spans="1:16" x14ac:dyDescent="0.3">
      <c r="A92" s="38"/>
      <c r="B92" s="79" t="s">
        <v>95</v>
      </c>
      <c r="C92" s="78" t="s">
        <v>17</v>
      </c>
      <c r="D92" s="80">
        <v>-29.556999999999999</v>
      </c>
      <c r="E92" s="38"/>
      <c r="F92" s="38"/>
      <c r="G92" s="38"/>
      <c r="H92" s="38"/>
      <c r="I92" s="38"/>
      <c r="J92" s="38"/>
      <c r="K92" s="5"/>
      <c r="L92" s="5"/>
      <c r="M92" s="5"/>
      <c r="N92" s="38"/>
      <c r="O92" s="38"/>
      <c r="P92" s="38"/>
    </row>
    <row r="93" spans="1:16" x14ac:dyDescent="0.3">
      <c r="A93" s="38"/>
      <c r="B93" s="79" t="s">
        <v>96</v>
      </c>
      <c r="C93" s="78" t="s">
        <v>17</v>
      </c>
      <c r="D93" s="80">
        <v>22.026</v>
      </c>
      <c r="E93" s="38"/>
      <c r="F93" s="38"/>
      <c r="G93" s="38"/>
      <c r="H93" s="38"/>
      <c r="I93" s="38"/>
      <c r="J93" s="38"/>
      <c r="K93" s="5"/>
      <c r="L93" s="5"/>
      <c r="M93" s="5"/>
      <c r="N93" s="38"/>
      <c r="O93" s="38"/>
      <c r="P93" s="38"/>
    </row>
    <row r="94" spans="1:16" x14ac:dyDescent="0.3">
      <c r="A94" s="38"/>
      <c r="B94" s="79" t="s">
        <v>97</v>
      </c>
      <c r="C94" s="78" t="s">
        <v>17</v>
      </c>
      <c r="D94" s="80">
        <v>7.5309999999999997</v>
      </c>
      <c r="E94" s="38"/>
      <c r="F94" s="38"/>
      <c r="G94" s="38"/>
      <c r="H94" s="38"/>
      <c r="I94" s="38"/>
      <c r="J94" s="38"/>
      <c r="K94" s="5"/>
      <c r="L94" s="5"/>
      <c r="M94" s="5"/>
      <c r="N94" s="38"/>
      <c r="O94" s="38"/>
      <c r="P94" s="38"/>
    </row>
    <row r="95" spans="1:16" x14ac:dyDescent="0.3">
      <c r="A95" s="38"/>
      <c r="B95" s="79" t="s">
        <v>98</v>
      </c>
      <c r="C95" s="78" t="s">
        <v>17</v>
      </c>
      <c r="D95" s="80">
        <v>14.381</v>
      </c>
      <c r="E95" s="38"/>
      <c r="F95" s="38"/>
      <c r="G95" s="38"/>
      <c r="H95" s="38"/>
      <c r="I95" s="38"/>
      <c r="J95" s="38"/>
      <c r="K95" s="5"/>
      <c r="L95" s="5"/>
      <c r="M95" s="5"/>
      <c r="N95" s="38"/>
      <c r="O95" s="38"/>
      <c r="P95" s="38"/>
    </row>
    <row r="96" spans="1:16" x14ac:dyDescent="0.3">
      <c r="A96" s="38"/>
      <c r="B96" s="79" t="s">
        <v>99</v>
      </c>
      <c r="C96" s="78" t="s">
        <v>17</v>
      </c>
      <c r="D96" s="80">
        <v>14.1</v>
      </c>
      <c r="E96" s="38"/>
      <c r="F96" s="38"/>
      <c r="G96" s="38"/>
      <c r="H96" s="38"/>
      <c r="I96" s="38"/>
      <c r="J96" s="38"/>
      <c r="K96" s="5"/>
      <c r="L96" s="5"/>
      <c r="M96" s="5"/>
      <c r="N96" s="38"/>
      <c r="O96" s="38"/>
      <c r="P96" s="38"/>
    </row>
    <row r="97" spans="1:16" x14ac:dyDescent="0.3">
      <c r="A97" s="38"/>
      <c r="B97" s="79" t="s">
        <v>99</v>
      </c>
      <c r="C97" s="78" t="s">
        <v>17</v>
      </c>
      <c r="D97" s="80">
        <v>-14.076000000000001</v>
      </c>
      <c r="E97" s="38"/>
      <c r="F97" s="38"/>
      <c r="G97" s="38"/>
      <c r="H97" s="38"/>
      <c r="I97" s="38"/>
      <c r="J97" s="38"/>
      <c r="K97" s="5"/>
      <c r="L97" s="5"/>
      <c r="M97" s="5"/>
      <c r="N97" s="38"/>
      <c r="O97" s="38"/>
      <c r="P97" s="38"/>
    </row>
    <row r="98" spans="1:16" x14ac:dyDescent="0.3">
      <c r="A98" s="38"/>
      <c r="B98" s="79" t="s">
        <v>100</v>
      </c>
      <c r="C98" s="78" t="s">
        <v>17</v>
      </c>
      <c r="D98" s="80">
        <v>-55.55</v>
      </c>
      <c r="E98" s="38"/>
      <c r="F98" s="38"/>
      <c r="G98" s="38"/>
      <c r="H98" s="38"/>
      <c r="I98" s="38"/>
      <c r="J98" s="38"/>
      <c r="K98" s="5"/>
      <c r="L98" s="5"/>
      <c r="M98" s="5"/>
      <c r="N98" s="38"/>
      <c r="O98" s="38"/>
      <c r="P98" s="38"/>
    </row>
    <row r="99" spans="1:16" x14ac:dyDescent="0.3">
      <c r="A99" s="38"/>
      <c r="B99" s="79" t="s">
        <v>100</v>
      </c>
      <c r="C99" s="78" t="s">
        <v>17</v>
      </c>
      <c r="D99" s="80">
        <v>55.55</v>
      </c>
      <c r="E99" s="38"/>
      <c r="F99" s="38"/>
      <c r="G99" s="38"/>
      <c r="H99" s="38"/>
      <c r="I99" s="38"/>
      <c r="J99" s="38"/>
      <c r="K99" s="5"/>
      <c r="L99" s="5"/>
      <c r="M99" s="5"/>
      <c r="N99" s="38"/>
      <c r="O99" s="38"/>
      <c r="P99" s="38"/>
    </row>
    <row r="100" spans="1:16" x14ac:dyDescent="0.3">
      <c r="A100" s="38"/>
      <c r="B100" s="79" t="s">
        <v>101</v>
      </c>
      <c r="C100" s="78" t="s">
        <v>17</v>
      </c>
      <c r="D100" s="80">
        <v>-406.43700000000001</v>
      </c>
      <c r="E100" s="38"/>
      <c r="F100" s="38"/>
      <c r="G100" s="38"/>
      <c r="H100" s="38"/>
      <c r="I100" s="38"/>
      <c r="J100" s="38"/>
      <c r="K100" s="5"/>
      <c r="L100" s="5"/>
      <c r="M100" s="5"/>
      <c r="N100" s="38"/>
      <c r="O100" s="38"/>
      <c r="P100" s="38"/>
    </row>
    <row r="101" spans="1:16" x14ac:dyDescent="0.3">
      <c r="A101" s="38"/>
      <c r="B101" s="79" t="s">
        <v>102</v>
      </c>
      <c r="C101" s="78" t="s">
        <v>17</v>
      </c>
      <c r="D101" s="80">
        <v>406.13200000000001</v>
      </c>
      <c r="E101" s="38"/>
      <c r="F101" s="38"/>
      <c r="G101" s="38"/>
      <c r="H101" s="38"/>
      <c r="I101" s="38"/>
      <c r="J101" s="38"/>
      <c r="K101" s="5"/>
      <c r="L101" s="5"/>
      <c r="M101" s="5"/>
      <c r="N101" s="38"/>
      <c r="O101" s="38"/>
      <c r="P101" s="38"/>
    </row>
    <row r="102" spans="1:16" x14ac:dyDescent="0.3">
      <c r="A102" s="38"/>
      <c r="B102" s="79" t="s">
        <v>103</v>
      </c>
      <c r="C102" s="78" t="s">
        <v>17</v>
      </c>
      <c r="D102" s="80">
        <v>0.45900000000000002</v>
      </c>
      <c r="E102" s="38"/>
      <c r="F102" s="38"/>
      <c r="G102" s="38"/>
      <c r="H102" s="38"/>
      <c r="I102" s="38"/>
      <c r="J102" s="38"/>
      <c r="K102" s="5"/>
      <c r="L102" s="5"/>
      <c r="M102" s="5"/>
      <c r="N102" s="38"/>
      <c r="O102" s="38"/>
      <c r="P102" s="38"/>
    </row>
    <row r="103" spans="1:16" x14ac:dyDescent="0.3">
      <c r="A103" s="38"/>
      <c r="B103" s="79" t="s">
        <v>104</v>
      </c>
      <c r="C103" s="78" t="s">
        <v>17</v>
      </c>
      <c r="D103" s="80">
        <v>2.855</v>
      </c>
      <c r="E103" s="38"/>
      <c r="F103" s="38"/>
      <c r="G103" s="38"/>
      <c r="H103" s="38"/>
      <c r="I103" s="38"/>
      <c r="J103" s="38"/>
      <c r="K103" s="5"/>
      <c r="L103" s="5"/>
      <c r="M103" s="5"/>
      <c r="N103" s="38"/>
      <c r="O103" s="38"/>
      <c r="P103" s="38"/>
    </row>
    <row r="104" spans="1:16" x14ac:dyDescent="0.3">
      <c r="A104" s="38"/>
      <c r="B104" s="79" t="s">
        <v>104</v>
      </c>
      <c r="C104" s="78" t="s">
        <v>17</v>
      </c>
      <c r="D104" s="80">
        <v>-2.742</v>
      </c>
      <c r="E104" s="38"/>
      <c r="F104" s="38"/>
      <c r="G104" s="38"/>
      <c r="H104" s="38"/>
      <c r="I104" s="38"/>
      <c r="J104" s="38"/>
      <c r="K104" s="5"/>
      <c r="L104" s="5"/>
      <c r="M104" s="5"/>
      <c r="N104" s="38"/>
      <c r="O104" s="38"/>
      <c r="P104" s="38"/>
    </row>
    <row r="105" spans="1:16" x14ac:dyDescent="0.3">
      <c r="A105" s="38"/>
      <c r="B105" s="79" t="s">
        <v>105</v>
      </c>
      <c r="C105" s="78" t="s">
        <v>17</v>
      </c>
      <c r="D105" s="80">
        <v>2.742</v>
      </c>
      <c r="E105" s="38"/>
      <c r="F105" s="38"/>
      <c r="G105" s="38"/>
      <c r="H105" s="38"/>
      <c r="I105" s="38"/>
      <c r="J105" s="38"/>
      <c r="K105" s="5"/>
      <c r="L105" s="5"/>
      <c r="M105" s="5"/>
      <c r="N105" s="38"/>
      <c r="O105" s="38"/>
      <c r="P105" s="38"/>
    </row>
    <row r="106" spans="1:16" x14ac:dyDescent="0.3">
      <c r="A106" s="38"/>
      <c r="B106" s="79" t="s">
        <v>106</v>
      </c>
      <c r="C106" s="78" t="s">
        <v>17</v>
      </c>
      <c r="D106" s="80">
        <v>406.60500000000002</v>
      </c>
      <c r="E106" s="38"/>
      <c r="F106" s="38"/>
      <c r="G106" s="38"/>
      <c r="H106" s="38"/>
      <c r="I106" s="38"/>
      <c r="J106" s="38"/>
      <c r="K106" s="5"/>
      <c r="L106" s="5"/>
      <c r="M106" s="5"/>
      <c r="N106" s="38"/>
      <c r="O106" s="38"/>
      <c r="P106" s="38"/>
    </row>
    <row r="107" spans="1:16" x14ac:dyDescent="0.3">
      <c r="A107" s="38"/>
      <c r="B107" s="79" t="s">
        <v>107</v>
      </c>
      <c r="C107" s="78" t="s">
        <v>17</v>
      </c>
      <c r="D107" s="80">
        <v>55.6</v>
      </c>
      <c r="E107" s="38"/>
      <c r="F107" s="38"/>
      <c r="G107" s="38"/>
      <c r="H107" s="38"/>
      <c r="I107" s="38"/>
      <c r="J107" s="38"/>
      <c r="K107" s="5"/>
      <c r="L107" s="5"/>
      <c r="M107" s="5"/>
      <c r="N107" s="38"/>
      <c r="O107" s="38"/>
      <c r="P107" s="38"/>
    </row>
    <row r="108" spans="1:16" x14ac:dyDescent="0.3">
      <c r="A108" s="38"/>
      <c r="B108" s="79" t="s">
        <v>108</v>
      </c>
      <c r="C108" s="78" t="s">
        <v>28</v>
      </c>
      <c r="D108" s="80">
        <v>5.8000000000000003E-2</v>
      </c>
      <c r="E108" s="38"/>
      <c r="F108" s="38"/>
      <c r="G108" s="38"/>
      <c r="H108" s="38"/>
      <c r="I108" s="38"/>
      <c r="J108" s="38"/>
      <c r="K108" s="5"/>
      <c r="L108" s="5"/>
      <c r="M108" s="5"/>
      <c r="N108" s="38"/>
      <c r="O108" s="38"/>
      <c r="P108" s="38"/>
    </row>
    <row r="109" spans="1:16" ht="26.4" x14ac:dyDescent="0.3">
      <c r="A109" s="38"/>
      <c r="B109" s="79" t="s">
        <v>109</v>
      </c>
      <c r="C109" s="78" t="s">
        <v>28</v>
      </c>
      <c r="D109" s="80">
        <v>0.254</v>
      </c>
      <c r="E109" s="38"/>
      <c r="F109" s="38"/>
      <c r="G109" s="38"/>
      <c r="H109" s="38"/>
      <c r="I109" s="38"/>
      <c r="J109" s="38"/>
      <c r="K109" s="5"/>
      <c r="L109" s="5"/>
      <c r="M109" s="5"/>
      <c r="N109" s="38"/>
      <c r="O109" s="38"/>
      <c r="P109" s="38"/>
    </row>
    <row r="110" spans="1:16" ht="26.4" x14ac:dyDescent="0.3">
      <c r="A110" s="38"/>
      <c r="B110" s="79" t="s">
        <v>110</v>
      </c>
      <c r="C110" s="78" t="s">
        <v>28</v>
      </c>
      <c r="D110" s="80">
        <v>0.108</v>
      </c>
      <c r="E110" s="38"/>
      <c r="F110" s="38"/>
      <c r="G110" s="38"/>
      <c r="H110" s="38"/>
      <c r="I110" s="38"/>
      <c r="J110" s="38"/>
      <c r="K110" s="5"/>
      <c r="L110" s="5"/>
      <c r="M110" s="5"/>
      <c r="N110" s="38"/>
      <c r="O110" s="38"/>
      <c r="P110" s="38"/>
    </row>
    <row r="111" spans="1:16" x14ac:dyDescent="0.3">
      <c r="A111" s="38"/>
      <c r="B111" s="79" t="s">
        <v>111</v>
      </c>
      <c r="C111" s="78" t="s">
        <v>28</v>
      </c>
      <c r="D111" s="80">
        <v>2.8000000000000001E-2</v>
      </c>
      <c r="E111" s="38"/>
      <c r="F111" s="38"/>
      <c r="G111" s="38"/>
      <c r="H111" s="38"/>
      <c r="I111" s="38"/>
      <c r="J111" s="38"/>
      <c r="K111" s="5"/>
      <c r="L111" s="5"/>
      <c r="M111" s="5"/>
      <c r="N111" s="38"/>
      <c r="O111" s="38"/>
      <c r="P111" s="38"/>
    </row>
    <row r="112" spans="1:16" x14ac:dyDescent="0.3">
      <c r="A112" s="38"/>
      <c r="B112" s="79" t="s">
        <v>112</v>
      </c>
      <c r="C112" s="78" t="s">
        <v>28</v>
      </c>
      <c r="D112" s="80">
        <v>0.248</v>
      </c>
      <c r="E112" s="38"/>
      <c r="F112" s="38"/>
      <c r="G112" s="38"/>
      <c r="H112" s="38"/>
      <c r="I112" s="38"/>
      <c r="J112" s="38"/>
      <c r="K112" s="5"/>
      <c r="L112" s="5"/>
      <c r="M112" s="5"/>
      <c r="N112" s="38"/>
      <c r="O112" s="38"/>
      <c r="P112" s="38"/>
    </row>
    <row r="113" spans="1:16" ht="39.6" x14ac:dyDescent="0.3">
      <c r="A113" s="38"/>
      <c r="B113" s="79" t="s">
        <v>113</v>
      </c>
      <c r="C113" s="78" t="s">
        <v>20</v>
      </c>
      <c r="D113" s="80">
        <v>10.8</v>
      </c>
      <c r="E113" s="38"/>
      <c r="F113" s="38"/>
      <c r="G113" s="38"/>
      <c r="H113" s="38"/>
      <c r="I113" s="38"/>
      <c r="J113" s="38"/>
      <c r="K113" s="5"/>
      <c r="L113" s="5"/>
      <c r="M113" s="5"/>
      <c r="N113" s="38"/>
      <c r="O113" s="38"/>
      <c r="P113" s="38"/>
    </row>
    <row r="114" spans="1:16" ht="39.6" x14ac:dyDescent="0.3">
      <c r="A114" s="38"/>
      <c r="B114" s="79" t="s">
        <v>114</v>
      </c>
      <c r="C114" s="78" t="s">
        <v>20</v>
      </c>
      <c r="D114" s="80">
        <v>7.2</v>
      </c>
      <c r="E114" s="38"/>
      <c r="F114" s="38"/>
      <c r="G114" s="38"/>
      <c r="H114" s="38"/>
      <c r="I114" s="38"/>
      <c r="J114" s="38"/>
      <c r="K114" s="5"/>
      <c r="L114" s="5"/>
      <c r="M114" s="5"/>
      <c r="N114" s="38"/>
      <c r="O114" s="38"/>
      <c r="P114" s="38"/>
    </row>
    <row r="115" spans="1:16" ht="26.4" x14ac:dyDescent="0.3">
      <c r="A115" s="38"/>
      <c r="B115" s="79" t="s">
        <v>115</v>
      </c>
      <c r="C115" s="78" t="s">
        <v>20</v>
      </c>
      <c r="D115" s="80">
        <v>11.3</v>
      </c>
      <c r="E115" s="38"/>
      <c r="F115" s="38"/>
      <c r="G115" s="38"/>
      <c r="H115" s="38"/>
      <c r="I115" s="38"/>
      <c r="J115" s="38"/>
      <c r="K115" s="5"/>
      <c r="L115" s="5"/>
      <c r="M115" s="5"/>
      <c r="N115" s="38"/>
      <c r="O115" s="38"/>
      <c r="P115" s="38"/>
    </row>
    <row r="116" spans="1:16" x14ac:dyDescent="0.3">
      <c r="A116" s="38"/>
      <c r="B116" s="79" t="s">
        <v>116</v>
      </c>
      <c r="C116" s="78" t="s">
        <v>28</v>
      </c>
      <c r="D116" s="80">
        <v>3.2000000000000001E-2</v>
      </c>
      <c r="E116" s="38"/>
      <c r="F116" s="38"/>
      <c r="G116" s="38"/>
      <c r="H116" s="38"/>
      <c r="I116" s="38"/>
      <c r="J116" s="38"/>
      <c r="K116" s="5"/>
      <c r="L116" s="5"/>
      <c r="M116" s="5"/>
      <c r="N116" s="38"/>
      <c r="O116" s="38"/>
      <c r="P116" s="38"/>
    </row>
    <row r="117" spans="1:16" x14ac:dyDescent="0.3">
      <c r="A117" s="38"/>
      <c r="B117" s="79" t="s">
        <v>117</v>
      </c>
      <c r="C117" s="78" t="s">
        <v>16</v>
      </c>
      <c r="D117" s="80">
        <v>7.26</v>
      </c>
      <c r="E117" s="38"/>
      <c r="F117" s="38"/>
      <c r="G117" s="38"/>
      <c r="H117" s="38"/>
      <c r="I117" s="38"/>
      <c r="J117" s="38"/>
      <c r="K117" s="5"/>
      <c r="L117" s="5"/>
      <c r="M117" s="5"/>
      <c r="N117" s="38"/>
      <c r="O117" s="38"/>
      <c r="P117" s="38"/>
    </row>
    <row r="118" spans="1:16" x14ac:dyDescent="0.3">
      <c r="A118" s="38"/>
      <c r="B118" s="79" t="s">
        <v>118</v>
      </c>
      <c r="C118" s="78" t="s">
        <v>28</v>
      </c>
      <c r="D118" s="80"/>
      <c r="E118" s="38"/>
      <c r="F118" s="38"/>
      <c r="G118" s="38"/>
      <c r="H118" s="38"/>
      <c r="I118" s="38"/>
      <c r="J118" s="38"/>
      <c r="K118" s="5"/>
      <c r="L118" s="5"/>
      <c r="M118" s="5"/>
      <c r="N118" s="38"/>
      <c r="O118" s="38"/>
      <c r="P118" s="38"/>
    </row>
    <row r="119" spans="1:16" ht="26.4" x14ac:dyDescent="0.3">
      <c r="A119" s="38"/>
      <c r="B119" s="79" t="s">
        <v>119</v>
      </c>
      <c r="C119" s="78" t="s">
        <v>17</v>
      </c>
      <c r="D119" s="80">
        <v>1.43</v>
      </c>
      <c r="E119" s="38"/>
      <c r="F119" s="38"/>
      <c r="G119" s="38"/>
      <c r="H119" s="38"/>
      <c r="I119" s="38"/>
      <c r="J119" s="38"/>
      <c r="K119" s="5"/>
      <c r="L119" s="5"/>
      <c r="M119" s="5"/>
      <c r="N119" s="38"/>
      <c r="O119" s="38"/>
      <c r="P119" s="38"/>
    </row>
    <row r="120" spans="1:16" x14ac:dyDescent="0.3">
      <c r="A120" s="38"/>
      <c r="B120" s="79" t="s">
        <v>120</v>
      </c>
      <c r="C120" s="78" t="s">
        <v>5</v>
      </c>
      <c r="D120" s="80">
        <v>47.03</v>
      </c>
      <c r="E120" s="38"/>
      <c r="F120" s="38"/>
      <c r="G120" s="38"/>
      <c r="H120" s="38"/>
      <c r="I120" s="38"/>
      <c r="J120" s="38"/>
      <c r="K120" s="5"/>
      <c r="L120" s="5"/>
      <c r="M120" s="5"/>
      <c r="N120" s="38"/>
      <c r="O120" s="38"/>
      <c r="P120" s="38"/>
    </row>
    <row r="121" spans="1:16" ht="26.4" x14ac:dyDescent="0.3">
      <c r="A121" s="38"/>
      <c r="B121" s="79" t="s">
        <v>121</v>
      </c>
      <c r="C121" s="78" t="s">
        <v>17</v>
      </c>
      <c r="D121" s="80">
        <v>3.7999999999999999E-2</v>
      </c>
      <c r="E121" s="38"/>
      <c r="F121" s="38"/>
      <c r="G121" s="38"/>
      <c r="H121" s="38"/>
      <c r="I121" s="38"/>
      <c r="J121" s="38"/>
      <c r="K121" s="5"/>
      <c r="L121" s="5"/>
      <c r="M121" s="5"/>
      <c r="N121" s="38"/>
      <c r="O121" s="38"/>
      <c r="P121" s="38"/>
    </row>
    <row r="122" spans="1:16" ht="26.4" x14ac:dyDescent="0.3">
      <c r="A122" s="38"/>
      <c r="B122" s="79" t="s">
        <v>79</v>
      </c>
      <c r="C122" s="78" t="s">
        <v>17</v>
      </c>
      <c r="D122" s="80">
        <v>0.55300000000000005</v>
      </c>
      <c r="E122" s="38"/>
      <c r="F122" s="38"/>
      <c r="G122" s="38"/>
      <c r="H122" s="38"/>
      <c r="I122" s="38"/>
      <c r="J122" s="38"/>
      <c r="K122" s="5"/>
      <c r="L122" s="5"/>
      <c r="M122" s="5"/>
      <c r="N122" s="38"/>
      <c r="O122" s="38"/>
      <c r="P122" s="38"/>
    </row>
    <row r="123" spans="1:16" ht="26.4" x14ac:dyDescent="0.3">
      <c r="A123" s="38"/>
      <c r="B123" s="79" t="s">
        <v>122</v>
      </c>
      <c r="C123" s="78" t="s">
        <v>17</v>
      </c>
      <c r="D123" s="80">
        <v>0.77100000000000002</v>
      </c>
      <c r="E123" s="38"/>
      <c r="F123" s="38"/>
      <c r="G123" s="38"/>
      <c r="H123" s="38"/>
      <c r="I123" s="38"/>
      <c r="J123" s="38"/>
      <c r="K123" s="5"/>
      <c r="L123" s="5"/>
      <c r="M123" s="5"/>
      <c r="N123" s="38"/>
      <c r="O123" s="38"/>
      <c r="P123" s="38"/>
    </row>
    <row r="124" spans="1:16" ht="26.4" x14ac:dyDescent="0.3">
      <c r="A124" s="38"/>
      <c r="B124" s="79" t="s">
        <v>123</v>
      </c>
      <c r="C124" s="78" t="s">
        <v>17</v>
      </c>
      <c r="D124" s="80">
        <v>1.012</v>
      </c>
      <c r="E124" s="38"/>
      <c r="F124" s="38"/>
      <c r="G124" s="38"/>
      <c r="H124" s="38"/>
      <c r="I124" s="38"/>
      <c r="J124" s="38"/>
      <c r="K124" s="5"/>
      <c r="L124" s="5"/>
      <c r="M124" s="5"/>
      <c r="N124" s="38"/>
      <c r="O124" s="38"/>
      <c r="P124" s="38"/>
    </row>
    <row r="125" spans="1:16" ht="26.4" x14ac:dyDescent="0.3">
      <c r="A125" s="38"/>
      <c r="B125" s="79" t="s">
        <v>124</v>
      </c>
      <c r="C125" s="78" t="s">
        <v>17</v>
      </c>
      <c r="D125" s="80">
        <v>1.42</v>
      </c>
      <c r="E125" s="38"/>
      <c r="F125" s="38"/>
      <c r="G125" s="38"/>
      <c r="H125" s="38"/>
      <c r="I125" s="38"/>
      <c r="J125" s="38"/>
      <c r="K125" s="5"/>
      <c r="L125" s="5"/>
      <c r="M125" s="5"/>
      <c r="N125" s="38"/>
      <c r="O125" s="38"/>
      <c r="P125" s="38"/>
    </row>
    <row r="126" spans="1:16" ht="26.4" x14ac:dyDescent="0.3">
      <c r="A126" s="38"/>
      <c r="B126" s="79" t="s">
        <v>125</v>
      </c>
      <c r="C126" s="78" t="s">
        <v>17</v>
      </c>
      <c r="D126" s="80">
        <v>5.0289999999999999</v>
      </c>
      <c r="E126" s="38"/>
      <c r="F126" s="38"/>
      <c r="G126" s="38"/>
      <c r="H126" s="38"/>
      <c r="I126" s="38"/>
      <c r="J126" s="38"/>
      <c r="K126" s="5"/>
      <c r="L126" s="5"/>
      <c r="M126" s="5"/>
      <c r="N126" s="38"/>
      <c r="O126" s="38"/>
      <c r="P126" s="38"/>
    </row>
    <row r="127" spans="1:16" ht="26.4" x14ac:dyDescent="0.3">
      <c r="A127" s="38"/>
      <c r="B127" s="79" t="s">
        <v>126</v>
      </c>
      <c r="C127" s="78" t="s">
        <v>17</v>
      </c>
      <c r="D127" s="80">
        <v>3.7999999999999999E-2</v>
      </c>
      <c r="E127" s="38"/>
      <c r="F127" s="38"/>
      <c r="G127" s="38"/>
      <c r="H127" s="38"/>
      <c r="I127" s="38"/>
      <c r="J127" s="38"/>
      <c r="K127" s="5"/>
      <c r="L127" s="5"/>
      <c r="M127" s="5"/>
      <c r="N127" s="38"/>
      <c r="O127" s="38"/>
      <c r="P127" s="38"/>
    </row>
    <row r="128" spans="1:16" x14ac:dyDescent="0.3">
      <c r="A128" s="38"/>
      <c r="B128" s="79" t="s">
        <v>127</v>
      </c>
      <c r="C128" s="78" t="s">
        <v>17</v>
      </c>
      <c r="D128" s="80">
        <v>0.96199999999999997</v>
      </c>
      <c r="E128" s="38"/>
      <c r="F128" s="38"/>
      <c r="G128" s="38"/>
      <c r="H128" s="38"/>
      <c r="I128" s="38"/>
      <c r="J128" s="38"/>
      <c r="K128" s="5"/>
      <c r="L128" s="5"/>
      <c r="M128" s="5"/>
      <c r="N128" s="38"/>
      <c r="O128" s="38"/>
      <c r="P128" s="38"/>
    </row>
    <row r="129" spans="1:16" x14ac:dyDescent="0.3">
      <c r="A129" s="38"/>
      <c r="B129" s="79" t="s">
        <v>128</v>
      </c>
      <c r="C129" s="78" t="s">
        <v>40</v>
      </c>
      <c r="D129" s="80">
        <v>17.024000000000001</v>
      </c>
      <c r="E129" s="38"/>
      <c r="F129" s="38"/>
      <c r="G129" s="38"/>
      <c r="H129" s="38"/>
      <c r="I129" s="38"/>
      <c r="J129" s="38"/>
      <c r="K129" s="5"/>
      <c r="L129" s="5"/>
      <c r="M129" s="5"/>
      <c r="N129" s="38"/>
      <c r="O129" s="38"/>
      <c r="P129" s="38"/>
    </row>
    <row r="130" spans="1:16" x14ac:dyDescent="0.3">
      <c r="A130" s="38"/>
      <c r="B130" s="79" t="s">
        <v>129</v>
      </c>
      <c r="C130" s="78" t="s">
        <v>16</v>
      </c>
      <c r="D130" s="80">
        <v>101.72799999999999</v>
      </c>
      <c r="E130" s="38"/>
      <c r="F130" s="38"/>
      <c r="G130" s="38"/>
      <c r="H130" s="38"/>
      <c r="I130" s="38"/>
      <c r="J130" s="38"/>
      <c r="K130" s="5"/>
      <c r="L130" s="5"/>
      <c r="M130" s="5"/>
      <c r="N130" s="38"/>
      <c r="O130" s="38"/>
      <c r="P130" s="38"/>
    </row>
    <row r="131" spans="1:16" x14ac:dyDescent="0.3">
      <c r="A131" s="38"/>
      <c r="B131" s="79" t="s">
        <v>130</v>
      </c>
      <c r="C131" s="78" t="s">
        <v>28</v>
      </c>
      <c r="D131" s="80">
        <v>4.0000000000000001E-3</v>
      </c>
      <c r="E131" s="38"/>
      <c r="F131" s="38"/>
      <c r="G131" s="38"/>
      <c r="H131" s="38"/>
      <c r="I131" s="38"/>
      <c r="J131" s="38"/>
      <c r="K131" s="5"/>
      <c r="L131" s="5"/>
      <c r="M131" s="5"/>
      <c r="N131" s="38"/>
      <c r="O131" s="38"/>
      <c r="P131" s="38"/>
    </row>
    <row r="132" spans="1:16" x14ac:dyDescent="0.3">
      <c r="A132" s="38"/>
      <c r="B132" s="79" t="s">
        <v>131</v>
      </c>
      <c r="C132" s="78" t="s">
        <v>40</v>
      </c>
      <c r="D132" s="80">
        <v>21.3</v>
      </c>
      <c r="E132" s="38"/>
      <c r="F132" s="38"/>
      <c r="G132" s="38"/>
      <c r="H132" s="38"/>
      <c r="I132" s="38"/>
      <c r="J132" s="38"/>
      <c r="K132" s="5"/>
      <c r="L132" s="5"/>
      <c r="M132" s="5"/>
      <c r="N132" s="38"/>
      <c r="O132" s="38"/>
      <c r="P132" s="38"/>
    </row>
    <row r="133" spans="1:16" x14ac:dyDescent="0.3">
      <c r="A133" s="38"/>
      <c r="B133" s="79" t="s">
        <v>132</v>
      </c>
      <c r="C133" s="78" t="s">
        <v>40</v>
      </c>
      <c r="D133" s="80">
        <v>2.67</v>
      </c>
      <c r="E133" s="38"/>
      <c r="F133" s="38"/>
      <c r="G133" s="38"/>
      <c r="H133" s="38"/>
      <c r="I133" s="38"/>
      <c r="J133" s="38"/>
      <c r="K133" s="5"/>
      <c r="L133" s="5"/>
      <c r="M133" s="5"/>
      <c r="N133" s="38"/>
      <c r="O133" s="38"/>
      <c r="P133" s="38"/>
    </row>
    <row r="134" spans="1:16" x14ac:dyDescent="0.3">
      <c r="A134" s="38"/>
      <c r="B134" s="79" t="s">
        <v>133</v>
      </c>
      <c r="C134" s="78" t="s">
        <v>17</v>
      </c>
      <c r="D134" s="80">
        <v>143.44200000000001</v>
      </c>
      <c r="E134" s="38"/>
      <c r="F134" s="38"/>
      <c r="G134" s="38"/>
      <c r="H134" s="38"/>
      <c r="I134" s="38"/>
      <c r="J134" s="38"/>
      <c r="K134" s="5"/>
      <c r="L134" s="5"/>
      <c r="M134" s="5"/>
      <c r="N134" s="38"/>
      <c r="O134" s="38"/>
      <c r="P134" s="38"/>
    </row>
    <row r="135" spans="1:16" ht="26.4" x14ac:dyDescent="0.3">
      <c r="A135" s="38"/>
      <c r="B135" s="79" t="s">
        <v>134</v>
      </c>
      <c r="C135" s="78" t="s">
        <v>28</v>
      </c>
      <c r="D135" s="80">
        <v>3.5000000000000003E-2</v>
      </c>
      <c r="E135" s="38"/>
      <c r="F135" s="38"/>
      <c r="G135" s="38"/>
      <c r="H135" s="38"/>
      <c r="I135" s="38"/>
      <c r="J135" s="38"/>
      <c r="K135" s="5"/>
      <c r="L135" s="5"/>
      <c r="M135" s="5"/>
      <c r="N135" s="38"/>
      <c r="O135" s="38"/>
      <c r="P135" s="38"/>
    </row>
    <row r="136" spans="1:16" ht="26.4" x14ac:dyDescent="0.3">
      <c r="A136" s="38"/>
      <c r="B136" s="79" t="s">
        <v>135</v>
      </c>
      <c r="C136" s="78" t="s">
        <v>28</v>
      </c>
      <c r="D136" s="80">
        <v>3.0000000000000001E-3</v>
      </c>
      <c r="E136" s="38"/>
      <c r="F136" s="38"/>
      <c r="G136" s="38"/>
      <c r="H136" s="38"/>
      <c r="I136" s="38"/>
      <c r="J136" s="38"/>
      <c r="K136" s="5"/>
      <c r="L136" s="5"/>
      <c r="M136" s="5"/>
      <c r="N136" s="38"/>
      <c r="O136" s="38"/>
      <c r="P136" s="38"/>
    </row>
    <row r="137" spans="1:16" x14ac:dyDescent="0.3">
      <c r="A137" s="38"/>
      <c r="B137" s="79" t="s">
        <v>81</v>
      </c>
      <c r="C137" s="78" t="s">
        <v>28</v>
      </c>
      <c r="D137" s="80">
        <v>0.25600000000000001</v>
      </c>
      <c r="E137" s="38"/>
      <c r="F137" s="38"/>
      <c r="G137" s="38"/>
      <c r="H137" s="38"/>
      <c r="I137" s="38"/>
      <c r="J137" s="38"/>
      <c r="K137" s="5"/>
      <c r="L137" s="5"/>
      <c r="M137" s="5"/>
      <c r="N137" s="38"/>
      <c r="O137" s="38"/>
      <c r="P137" s="38"/>
    </row>
    <row r="138" spans="1:16" x14ac:dyDescent="0.3">
      <c r="A138" s="38"/>
      <c r="B138" s="79" t="s">
        <v>136</v>
      </c>
      <c r="C138" s="78" t="s">
        <v>28</v>
      </c>
      <c r="D138" s="80"/>
      <c r="E138" s="38"/>
      <c r="F138" s="38"/>
      <c r="G138" s="38"/>
      <c r="H138" s="38"/>
      <c r="I138" s="38"/>
      <c r="J138" s="38"/>
      <c r="K138" s="5"/>
      <c r="L138" s="5"/>
      <c r="M138" s="5"/>
      <c r="N138" s="38"/>
      <c r="O138" s="38"/>
      <c r="P138" s="38"/>
    </row>
    <row r="139" spans="1:16" x14ac:dyDescent="0.3">
      <c r="A139" s="38"/>
      <c r="B139" s="79" t="s">
        <v>137</v>
      </c>
      <c r="C139" s="78" t="s">
        <v>28</v>
      </c>
      <c r="D139" s="80">
        <v>1E-3</v>
      </c>
      <c r="E139" s="38"/>
      <c r="F139" s="38"/>
      <c r="G139" s="38"/>
      <c r="H139" s="38"/>
      <c r="I139" s="38"/>
      <c r="J139" s="38"/>
      <c r="K139" s="5"/>
      <c r="L139" s="5"/>
      <c r="M139" s="5"/>
      <c r="N139" s="38"/>
      <c r="O139" s="38"/>
      <c r="P139" s="38"/>
    </row>
    <row r="140" spans="1:16" x14ac:dyDescent="0.3">
      <c r="A140" s="38"/>
      <c r="B140" s="79" t="s">
        <v>138</v>
      </c>
      <c r="C140" s="78" t="s">
        <v>28</v>
      </c>
      <c r="D140" s="80">
        <v>1.7999999999999999E-2</v>
      </c>
      <c r="E140" s="38"/>
      <c r="F140" s="38"/>
      <c r="G140" s="38"/>
      <c r="H140" s="38"/>
      <c r="I140" s="38"/>
      <c r="J140" s="38"/>
      <c r="K140" s="5"/>
      <c r="L140" s="5"/>
      <c r="M140" s="5"/>
      <c r="N140" s="38"/>
      <c r="O140" s="38"/>
      <c r="P140" s="38"/>
    </row>
    <row r="141" spans="1:16" ht="26.4" x14ac:dyDescent="0.3">
      <c r="A141" s="38"/>
      <c r="B141" s="79" t="s">
        <v>139</v>
      </c>
      <c r="C141" s="78" t="s">
        <v>40</v>
      </c>
      <c r="D141" s="80">
        <v>24.53</v>
      </c>
      <c r="E141" s="38"/>
      <c r="F141" s="38"/>
      <c r="G141" s="38"/>
      <c r="H141" s="38"/>
      <c r="I141" s="38"/>
      <c r="J141" s="38"/>
      <c r="K141" s="5"/>
      <c r="L141" s="5"/>
      <c r="M141" s="5"/>
      <c r="N141" s="38"/>
      <c r="O141" s="38"/>
      <c r="P141" s="38"/>
    </row>
    <row r="142" spans="1:16" x14ac:dyDescent="0.3">
      <c r="A142" s="38"/>
      <c r="B142" s="79" t="s">
        <v>140</v>
      </c>
      <c r="C142" s="78" t="s">
        <v>141</v>
      </c>
      <c r="D142" s="80">
        <v>2.33</v>
      </c>
      <c r="E142" s="38"/>
      <c r="F142" s="38"/>
      <c r="G142" s="38"/>
      <c r="H142" s="38"/>
      <c r="I142" s="38"/>
      <c r="J142" s="38"/>
      <c r="K142" s="5"/>
      <c r="L142" s="5"/>
      <c r="M142" s="5"/>
      <c r="N142" s="38"/>
      <c r="O142" s="38"/>
      <c r="P142" s="38"/>
    </row>
    <row r="143" spans="1:16" x14ac:dyDescent="0.3">
      <c r="A143" s="38"/>
      <c r="B143" s="79" t="s">
        <v>142</v>
      </c>
      <c r="C143" s="78" t="s">
        <v>28</v>
      </c>
      <c r="D143" s="80">
        <v>1.2E-2</v>
      </c>
      <c r="E143" s="38"/>
      <c r="F143" s="38"/>
      <c r="G143" s="38"/>
      <c r="H143" s="38"/>
      <c r="I143" s="38"/>
      <c r="J143" s="38"/>
      <c r="K143" s="5"/>
      <c r="L143" s="5"/>
      <c r="M143" s="5"/>
      <c r="N143" s="38"/>
      <c r="O143" s="38"/>
      <c r="P143" s="38"/>
    </row>
    <row r="144" spans="1:16" x14ac:dyDescent="0.3">
      <c r="A144" s="38"/>
      <c r="B144" s="79" t="s">
        <v>143</v>
      </c>
      <c r="C144" s="78" t="s">
        <v>28</v>
      </c>
      <c r="D144" s="80">
        <v>5.1189999999999998</v>
      </c>
      <c r="E144" s="38"/>
      <c r="F144" s="38"/>
      <c r="G144" s="38"/>
      <c r="H144" s="38"/>
      <c r="I144" s="38"/>
      <c r="J144" s="38"/>
      <c r="K144" s="5"/>
      <c r="L144" s="5"/>
      <c r="M144" s="5"/>
      <c r="N144" s="38"/>
      <c r="O144" s="38"/>
      <c r="P144" s="38"/>
    </row>
    <row r="145" spans="1:16" x14ac:dyDescent="0.3">
      <c r="A145" s="38"/>
      <c r="B145" s="79" t="s">
        <v>144</v>
      </c>
      <c r="C145" s="78" t="s">
        <v>28</v>
      </c>
      <c r="D145" s="80">
        <v>0.23699999999999999</v>
      </c>
      <c r="E145" s="38"/>
      <c r="F145" s="38"/>
      <c r="G145" s="38"/>
      <c r="H145" s="38"/>
      <c r="I145" s="38"/>
      <c r="J145" s="38"/>
      <c r="K145" s="5"/>
      <c r="L145" s="5"/>
      <c r="M145" s="5"/>
      <c r="N145" s="38"/>
      <c r="O145" s="38"/>
      <c r="P145" s="38"/>
    </row>
    <row r="146" spans="1:16" x14ac:dyDescent="0.3">
      <c r="A146" s="38"/>
      <c r="B146" s="79" t="s">
        <v>145</v>
      </c>
      <c r="C146" s="78" t="s">
        <v>28</v>
      </c>
      <c r="D146" s="80">
        <v>9.0999999999999998E-2</v>
      </c>
      <c r="E146" s="38"/>
      <c r="F146" s="38"/>
      <c r="G146" s="38"/>
      <c r="H146" s="38"/>
      <c r="I146" s="38"/>
      <c r="J146" s="38"/>
      <c r="K146" s="5"/>
      <c r="L146" s="5"/>
      <c r="M146" s="5"/>
      <c r="N146" s="38"/>
      <c r="O146" s="38"/>
      <c r="P146" s="38"/>
    </row>
    <row r="147" spans="1:16" x14ac:dyDescent="0.3">
      <c r="A147" s="38"/>
      <c r="B147" s="79" t="s">
        <v>146</v>
      </c>
      <c r="C147" s="78" t="s">
        <v>28</v>
      </c>
      <c r="D147" s="80">
        <v>-30.837</v>
      </c>
      <c r="E147" s="38"/>
      <c r="F147" s="38"/>
      <c r="G147" s="38"/>
      <c r="H147" s="38"/>
      <c r="I147" s="38"/>
      <c r="J147" s="38"/>
      <c r="K147" s="5"/>
      <c r="L147" s="5"/>
      <c r="M147" s="5"/>
      <c r="N147" s="38"/>
      <c r="O147" s="38"/>
      <c r="P147" s="38"/>
    </row>
    <row r="148" spans="1:16" x14ac:dyDescent="0.3">
      <c r="A148" s="38"/>
      <c r="B148" s="79" t="s">
        <v>147</v>
      </c>
      <c r="C148" s="78" t="s">
        <v>28</v>
      </c>
      <c r="D148" s="80">
        <v>30.873000000000001</v>
      </c>
      <c r="E148" s="38"/>
      <c r="F148" s="38"/>
      <c r="G148" s="38"/>
      <c r="H148" s="38"/>
      <c r="I148" s="38"/>
      <c r="J148" s="38"/>
      <c r="K148" s="5"/>
      <c r="L148" s="5"/>
      <c r="M148" s="5"/>
      <c r="N148" s="38"/>
      <c r="O148" s="38"/>
      <c r="P148" s="38"/>
    </row>
    <row r="149" spans="1:16" x14ac:dyDescent="0.3">
      <c r="A149" s="38"/>
      <c r="B149" s="79" t="s">
        <v>148</v>
      </c>
      <c r="C149" s="78" t="s">
        <v>28</v>
      </c>
      <c r="D149" s="80">
        <v>6.4240000000000004</v>
      </c>
      <c r="E149" s="38"/>
      <c r="F149" s="38"/>
      <c r="G149" s="38"/>
      <c r="H149" s="38"/>
      <c r="I149" s="38"/>
      <c r="J149" s="38"/>
      <c r="K149" s="5"/>
      <c r="L149" s="5"/>
      <c r="M149" s="5"/>
      <c r="N149" s="38"/>
      <c r="O149" s="38"/>
      <c r="P149" s="38"/>
    </row>
    <row r="150" spans="1:16" x14ac:dyDescent="0.3">
      <c r="A150" s="38"/>
      <c r="B150" s="79" t="s">
        <v>148</v>
      </c>
      <c r="C150" s="78" t="s">
        <v>28</v>
      </c>
      <c r="D150" s="80">
        <v>3.6019999999999999</v>
      </c>
      <c r="E150" s="38"/>
      <c r="F150" s="38"/>
      <c r="G150" s="38"/>
      <c r="H150" s="38"/>
      <c r="I150" s="38"/>
      <c r="J150" s="38"/>
      <c r="K150" s="5"/>
      <c r="L150" s="5"/>
      <c r="M150" s="5"/>
      <c r="N150" s="38"/>
      <c r="O150" s="38"/>
      <c r="P150" s="38"/>
    </row>
    <row r="151" spans="1:16" x14ac:dyDescent="0.3">
      <c r="A151" s="38"/>
      <c r="B151" s="79" t="s">
        <v>149</v>
      </c>
      <c r="C151" s="78" t="s">
        <v>28</v>
      </c>
      <c r="D151" s="80">
        <v>13.616</v>
      </c>
      <c r="E151" s="38"/>
      <c r="F151" s="38"/>
      <c r="G151" s="38"/>
      <c r="H151" s="38"/>
      <c r="I151" s="38"/>
      <c r="J151" s="38"/>
      <c r="K151" s="5"/>
      <c r="L151" s="5"/>
      <c r="M151" s="5"/>
      <c r="N151" s="38"/>
      <c r="O151" s="38"/>
      <c r="P151" s="38"/>
    </row>
    <row r="152" spans="1:16" x14ac:dyDescent="0.3">
      <c r="A152" s="38"/>
      <c r="B152" s="79" t="s">
        <v>150</v>
      </c>
      <c r="C152" s="78" t="s">
        <v>28</v>
      </c>
      <c r="D152" s="80">
        <v>9.5310000000000006</v>
      </c>
      <c r="E152" s="38"/>
      <c r="F152" s="38"/>
      <c r="G152" s="38"/>
      <c r="H152" s="38"/>
      <c r="I152" s="38"/>
      <c r="J152" s="38"/>
      <c r="K152" s="5"/>
      <c r="L152" s="5"/>
      <c r="M152" s="5"/>
      <c r="N152" s="38"/>
      <c r="O152" s="38"/>
      <c r="P152" s="38"/>
    </row>
    <row r="153" spans="1:16" x14ac:dyDescent="0.3">
      <c r="A153" s="38"/>
      <c r="B153" s="79" t="s">
        <v>151</v>
      </c>
      <c r="C153" s="78" t="s">
        <v>28</v>
      </c>
      <c r="D153" s="80">
        <v>13.536</v>
      </c>
      <c r="E153" s="38"/>
      <c r="F153" s="38"/>
      <c r="G153" s="38"/>
      <c r="H153" s="38"/>
      <c r="I153" s="38"/>
      <c r="J153" s="38"/>
      <c r="K153" s="5"/>
      <c r="L153" s="5"/>
      <c r="M153" s="5"/>
      <c r="N153" s="38"/>
      <c r="O153" s="38"/>
      <c r="P153" s="38"/>
    </row>
    <row r="154" spans="1:16" x14ac:dyDescent="0.3">
      <c r="A154" s="38"/>
      <c r="B154" s="79" t="s">
        <v>152</v>
      </c>
      <c r="C154" s="78" t="s">
        <v>17</v>
      </c>
      <c r="D154" s="80">
        <v>1.44</v>
      </c>
      <c r="E154" s="38"/>
      <c r="F154" s="38"/>
      <c r="G154" s="38"/>
      <c r="H154" s="38"/>
      <c r="I154" s="38"/>
      <c r="J154" s="38"/>
      <c r="K154" s="5"/>
      <c r="L154" s="5"/>
      <c r="M154" s="5"/>
      <c r="N154" s="38"/>
      <c r="O154" s="38"/>
      <c r="P154" s="38"/>
    </row>
    <row r="155" spans="1:16" x14ac:dyDescent="0.3">
      <c r="A155" s="38"/>
      <c r="B155" s="79" t="s">
        <v>153</v>
      </c>
      <c r="C155" s="78" t="s">
        <v>5</v>
      </c>
      <c r="D155" s="80">
        <v>11.6</v>
      </c>
      <c r="E155" s="38"/>
      <c r="F155" s="38"/>
      <c r="G155" s="38"/>
      <c r="H155" s="38"/>
      <c r="I155" s="38"/>
      <c r="J155" s="38"/>
      <c r="K155" s="5"/>
      <c r="L155" s="5"/>
      <c r="M155" s="5"/>
      <c r="N155" s="38"/>
      <c r="O155" s="38"/>
      <c r="P155" s="38"/>
    </row>
    <row r="156" spans="1:16" x14ac:dyDescent="0.3">
      <c r="A156" s="38"/>
      <c r="B156" s="79" t="s">
        <v>154</v>
      </c>
      <c r="C156" s="78" t="s">
        <v>16</v>
      </c>
      <c r="D156" s="80">
        <v>38.020000000000003</v>
      </c>
      <c r="E156" s="38"/>
      <c r="F156" s="38"/>
      <c r="G156" s="38"/>
      <c r="H156" s="38"/>
      <c r="I156" s="38"/>
      <c r="J156" s="38"/>
      <c r="K156" s="5"/>
      <c r="L156" s="5"/>
      <c r="M156" s="5"/>
      <c r="N156" s="38"/>
      <c r="O156" s="38"/>
      <c r="P156" s="38"/>
    </row>
    <row r="157" spans="1:16" x14ac:dyDescent="0.3">
      <c r="A157" s="38"/>
      <c r="B157" s="79" t="s">
        <v>38</v>
      </c>
      <c r="C157" s="78" t="s">
        <v>28</v>
      </c>
      <c r="D157" s="80">
        <v>1E-3</v>
      </c>
      <c r="E157" s="38"/>
      <c r="F157" s="38"/>
      <c r="G157" s="38"/>
      <c r="H157" s="38"/>
      <c r="I157" s="38"/>
      <c r="J157" s="38"/>
      <c r="K157" s="5"/>
      <c r="L157" s="5"/>
      <c r="M157" s="5"/>
      <c r="N157" s="38"/>
      <c r="O157" s="38"/>
      <c r="P157" s="38"/>
    </row>
    <row r="158" spans="1:16" x14ac:dyDescent="0.3">
      <c r="A158" s="38"/>
      <c r="B158" s="79" t="s">
        <v>155</v>
      </c>
      <c r="C158" s="78" t="s">
        <v>40</v>
      </c>
      <c r="D158" s="80">
        <v>4</v>
      </c>
      <c r="E158" s="38"/>
      <c r="F158" s="38"/>
      <c r="G158" s="38"/>
      <c r="H158" s="38"/>
      <c r="I158" s="38"/>
      <c r="J158" s="38"/>
      <c r="K158" s="5"/>
      <c r="L158" s="5"/>
      <c r="M158" s="5"/>
      <c r="N158" s="38"/>
      <c r="O158" s="38"/>
      <c r="P158" s="38"/>
    </row>
    <row r="159" spans="1:16" x14ac:dyDescent="0.3">
      <c r="A159" s="38"/>
      <c r="B159" s="79" t="s">
        <v>156</v>
      </c>
      <c r="C159" s="78" t="s">
        <v>40</v>
      </c>
      <c r="D159" s="80">
        <v>1</v>
      </c>
      <c r="E159" s="38"/>
      <c r="F159" s="38"/>
      <c r="G159" s="38"/>
      <c r="H159" s="38"/>
      <c r="I159" s="38"/>
      <c r="J159" s="38"/>
      <c r="K159" s="5"/>
      <c r="L159" s="5"/>
      <c r="M159" s="5"/>
      <c r="N159" s="38"/>
      <c r="O159" s="38"/>
      <c r="P159" s="38"/>
    </row>
    <row r="160" spans="1:16" ht="39.6" x14ac:dyDescent="0.3">
      <c r="A160" s="38"/>
      <c r="B160" s="79" t="s">
        <v>157</v>
      </c>
      <c r="C160" s="78" t="s">
        <v>28</v>
      </c>
      <c r="D160" s="80">
        <v>1.4E-2</v>
      </c>
      <c r="E160" s="38"/>
      <c r="F160" s="38"/>
      <c r="G160" s="38"/>
      <c r="H160" s="38"/>
      <c r="I160" s="38"/>
      <c r="J160" s="38"/>
      <c r="K160" s="5"/>
      <c r="L160" s="5"/>
      <c r="M160" s="5"/>
      <c r="N160" s="38"/>
      <c r="O160" s="38"/>
      <c r="P160" s="38"/>
    </row>
    <row r="161" spans="1:16" ht="52.8" x14ac:dyDescent="0.3">
      <c r="A161" s="38"/>
      <c r="B161" s="79" t="s">
        <v>158</v>
      </c>
      <c r="C161" s="78" t="s">
        <v>28</v>
      </c>
      <c r="D161" s="80">
        <v>1.893</v>
      </c>
      <c r="E161" s="38"/>
      <c r="F161" s="38"/>
      <c r="G161" s="38"/>
      <c r="H161" s="38"/>
      <c r="I161" s="38"/>
      <c r="J161" s="38"/>
      <c r="K161" s="5"/>
      <c r="L161" s="5"/>
      <c r="M161" s="5"/>
      <c r="N161" s="38"/>
      <c r="O161" s="38"/>
      <c r="P161" s="38"/>
    </row>
    <row r="162" spans="1:16" x14ac:dyDescent="0.3">
      <c r="A162" s="38"/>
      <c r="B162" s="79" t="s">
        <v>159</v>
      </c>
      <c r="C162" s="78" t="s">
        <v>40</v>
      </c>
      <c r="D162" s="80">
        <v>2.238</v>
      </c>
      <c r="E162" s="38"/>
      <c r="F162" s="38"/>
      <c r="G162" s="38"/>
      <c r="H162" s="38"/>
      <c r="I162" s="38"/>
      <c r="J162" s="38"/>
      <c r="K162" s="5"/>
      <c r="L162" s="5"/>
      <c r="M162" s="5"/>
      <c r="N162" s="38"/>
      <c r="O162" s="38"/>
      <c r="P162" s="38"/>
    </row>
    <row r="163" spans="1:16" ht="26.4" x14ac:dyDescent="0.3">
      <c r="A163" s="38"/>
      <c r="B163" s="79" t="s">
        <v>160</v>
      </c>
      <c r="C163" s="78" t="s">
        <v>40</v>
      </c>
      <c r="D163" s="80">
        <v>2</v>
      </c>
      <c r="E163" s="38"/>
      <c r="F163" s="38"/>
      <c r="G163" s="38"/>
      <c r="H163" s="38"/>
      <c r="I163" s="38"/>
      <c r="J163" s="38"/>
      <c r="K163" s="5"/>
      <c r="L163" s="5"/>
      <c r="M163" s="5"/>
      <c r="N163" s="38"/>
      <c r="O163" s="38"/>
      <c r="P163" s="38"/>
    </row>
    <row r="164" spans="1:16" ht="26.4" x14ac:dyDescent="0.3">
      <c r="A164" s="38"/>
      <c r="B164" s="79" t="s">
        <v>161</v>
      </c>
      <c r="C164" s="78" t="s">
        <v>20</v>
      </c>
      <c r="D164" s="80">
        <v>25.2</v>
      </c>
      <c r="E164" s="38"/>
      <c r="F164" s="38"/>
      <c r="G164" s="38"/>
      <c r="H164" s="38"/>
      <c r="I164" s="38"/>
      <c r="J164" s="38"/>
      <c r="K164" s="5"/>
      <c r="L164" s="5"/>
      <c r="M164" s="5"/>
      <c r="N164" s="38"/>
      <c r="O164" s="38"/>
      <c r="P164" s="38"/>
    </row>
    <row r="165" spans="1:16" ht="26.4" x14ac:dyDescent="0.3">
      <c r="A165" s="38"/>
      <c r="B165" s="79" t="s">
        <v>162</v>
      </c>
      <c r="C165" s="78" t="s">
        <v>40</v>
      </c>
      <c r="D165" s="80">
        <v>32</v>
      </c>
      <c r="E165" s="38"/>
      <c r="F165" s="38"/>
      <c r="G165" s="38"/>
      <c r="H165" s="38"/>
      <c r="I165" s="38"/>
      <c r="J165" s="38"/>
      <c r="K165" s="5"/>
      <c r="L165" s="5"/>
      <c r="M165" s="5"/>
      <c r="N165" s="38"/>
      <c r="O165" s="38"/>
      <c r="P165" s="38"/>
    </row>
    <row r="166" spans="1:16" ht="26.4" x14ac:dyDescent="0.3">
      <c r="A166" s="38"/>
      <c r="B166" s="79" t="s">
        <v>163</v>
      </c>
      <c r="C166" s="78" t="s">
        <v>17</v>
      </c>
      <c r="D166" s="80">
        <v>4.5599999999999996</v>
      </c>
      <c r="E166" s="38"/>
      <c r="F166" s="38"/>
      <c r="G166" s="38"/>
      <c r="H166" s="38"/>
      <c r="I166" s="38"/>
      <c r="J166" s="38"/>
      <c r="K166" s="5"/>
      <c r="L166" s="5"/>
      <c r="M166" s="5"/>
      <c r="N166" s="38"/>
      <c r="O166" s="38"/>
      <c r="P166" s="38"/>
    </row>
    <row r="167" spans="1:16" x14ac:dyDescent="0.3">
      <c r="A167" s="38"/>
      <c r="B167" s="79" t="s">
        <v>164</v>
      </c>
      <c r="C167" s="78" t="s">
        <v>17</v>
      </c>
      <c r="D167" s="80">
        <v>0.91500000000000004</v>
      </c>
      <c r="E167" s="38"/>
      <c r="F167" s="38"/>
      <c r="G167" s="38"/>
      <c r="H167" s="38"/>
      <c r="I167" s="38"/>
      <c r="J167" s="38"/>
      <c r="K167" s="5"/>
      <c r="L167" s="5"/>
      <c r="M167" s="5"/>
      <c r="N167" s="38"/>
      <c r="O167" s="38"/>
      <c r="P167" s="38"/>
    </row>
    <row r="168" spans="1:16" ht="26.4" x14ac:dyDescent="0.3">
      <c r="A168" s="38"/>
      <c r="B168" s="79" t="s">
        <v>165</v>
      </c>
      <c r="C168" s="78" t="s">
        <v>17</v>
      </c>
      <c r="D168" s="80">
        <v>1.4E-2</v>
      </c>
      <c r="E168" s="38"/>
      <c r="F168" s="38"/>
      <c r="G168" s="38"/>
      <c r="H168" s="38"/>
      <c r="I168" s="38"/>
      <c r="J168" s="38"/>
      <c r="K168" s="5"/>
      <c r="L168" s="5"/>
      <c r="M168" s="5"/>
      <c r="N168" s="38"/>
      <c r="O168" s="38"/>
      <c r="P168" s="38"/>
    </row>
    <row r="169" spans="1:16" ht="26.4" x14ac:dyDescent="0.3">
      <c r="A169" s="38"/>
      <c r="B169" s="79" t="s">
        <v>166</v>
      </c>
      <c r="C169" s="78" t="s">
        <v>17</v>
      </c>
      <c r="D169" s="80"/>
      <c r="E169" s="38"/>
      <c r="F169" s="38"/>
      <c r="G169" s="38"/>
      <c r="H169" s="38"/>
      <c r="I169" s="38"/>
      <c r="J169" s="38"/>
      <c r="K169" s="5"/>
      <c r="L169" s="5"/>
      <c r="M169" s="5"/>
      <c r="N169" s="38"/>
      <c r="O169" s="38"/>
      <c r="P169" s="38"/>
    </row>
    <row r="170" spans="1:16" ht="26.4" x14ac:dyDescent="0.3">
      <c r="A170" s="38"/>
      <c r="B170" s="79" t="s">
        <v>167</v>
      </c>
      <c r="C170" s="78" t="s">
        <v>17</v>
      </c>
      <c r="D170" s="80">
        <v>0.25700000000000001</v>
      </c>
      <c r="E170" s="38"/>
      <c r="F170" s="38"/>
      <c r="G170" s="38"/>
      <c r="H170" s="38"/>
      <c r="I170" s="38"/>
      <c r="J170" s="38"/>
      <c r="K170" s="5"/>
      <c r="L170" s="5"/>
      <c r="M170" s="5"/>
      <c r="N170" s="38"/>
      <c r="O170" s="38"/>
      <c r="P170" s="38"/>
    </row>
    <row r="171" spans="1:16" ht="26.4" x14ac:dyDescent="0.3">
      <c r="A171" s="38"/>
      <c r="B171" s="79" t="s">
        <v>168</v>
      </c>
      <c r="C171" s="78" t="s">
        <v>17</v>
      </c>
      <c r="D171" s="80">
        <v>0.88600000000000001</v>
      </c>
      <c r="E171" s="38"/>
      <c r="F171" s="38"/>
      <c r="G171" s="38"/>
      <c r="H171" s="38"/>
      <c r="I171" s="38"/>
      <c r="J171" s="38"/>
      <c r="K171" s="5"/>
      <c r="L171" s="5"/>
      <c r="M171" s="5"/>
      <c r="N171" s="38"/>
      <c r="O171" s="38"/>
      <c r="P171" s="38"/>
    </row>
    <row r="172" spans="1:16" ht="26.4" x14ac:dyDescent="0.3">
      <c r="A172" s="38"/>
      <c r="B172" s="79" t="s">
        <v>169</v>
      </c>
      <c r="C172" s="78" t="s">
        <v>17</v>
      </c>
      <c r="D172" s="80">
        <v>7.39</v>
      </c>
      <c r="E172" s="38"/>
      <c r="F172" s="38"/>
      <c r="G172" s="38"/>
      <c r="H172" s="38"/>
      <c r="I172" s="38"/>
      <c r="J172" s="38"/>
      <c r="K172" s="5"/>
      <c r="L172" s="5"/>
      <c r="M172" s="5"/>
      <c r="N172" s="38"/>
      <c r="O172" s="38"/>
      <c r="P172" s="38"/>
    </row>
    <row r="173" spans="1:16" ht="26.4" x14ac:dyDescent="0.3">
      <c r="A173" s="38"/>
      <c r="B173" s="79" t="s">
        <v>170</v>
      </c>
      <c r="C173" s="78" t="s">
        <v>17</v>
      </c>
      <c r="D173" s="80">
        <v>2E-3</v>
      </c>
      <c r="E173" s="38"/>
      <c r="F173" s="38"/>
      <c r="G173" s="38"/>
      <c r="H173" s="38"/>
      <c r="I173" s="38"/>
      <c r="J173" s="38"/>
      <c r="K173" s="5"/>
      <c r="L173" s="5"/>
      <c r="M173" s="5"/>
      <c r="N173" s="38"/>
      <c r="O173" s="38"/>
      <c r="P173" s="38"/>
    </row>
    <row r="174" spans="1:16" ht="26.4" x14ac:dyDescent="0.3">
      <c r="A174" s="38"/>
      <c r="B174" s="79" t="s">
        <v>171</v>
      </c>
      <c r="C174" s="78" t="s">
        <v>17</v>
      </c>
      <c r="D174" s="80">
        <v>3.83</v>
      </c>
      <c r="E174" s="38"/>
      <c r="F174" s="38"/>
      <c r="G174" s="38"/>
      <c r="H174" s="38"/>
      <c r="I174" s="38"/>
      <c r="J174" s="38"/>
      <c r="K174" s="5"/>
      <c r="L174" s="5"/>
      <c r="M174" s="5"/>
      <c r="N174" s="38"/>
      <c r="O174" s="38"/>
      <c r="P174" s="38"/>
    </row>
    <row r="175" spans="1:16" ht="26.4" x14ac:dyDescent="0.3">
      <c r="A175" s="38"/>
      <c r="B175" s="79" t="s">
        <v>172</v>
      </c>
      <c r="C175" s="78" t="s">
        <v>17</v>
      </c>
      <c r="D175" s="80">
        <v>0.12</v>
      </c>
      <c r="E175" s="38"/>
      <c r="F175" s="38"/>
      <c r="G175" s="38"/>
      <c r="H175" s="38"/>
      <c r="I175" s="38"/>
      <c r="J175" s="38"/>
      <c r="K175" s="5"/>
      <c r="L175" s="5"/>
      <c r="M175" s="5"/>
      <c r="N175" s="38"/>
      <c r="O175" s="38"/>
      <c r="P175" s="38"/>
    </row>
    <row r="176" spans="1:16" x14ac:dyDescent="0.3">
      <c r="A176" s="38"/>
      <c r="B176" s="79" t="s">
        <v>173</v>
      </c>
      <c r="C176" s="78" t="s">
        <v>5</v>
      </c>
      <c r="D176" s="80">
        <v>17</v>
      </c>
      <c r="E176" s="38"/>
      <c r="F176" s="38"/>
      <c r="G176" s="38"/>
      <c r="H176" s="38"/>
      <c r="I176" s="38"/>
      <c r="J176" s="38"/>
      <c r="K176" s="5"/>
      <c r="L176" s="5"/>
      <c r="M176" s="5"/>
      <c r="N176" s="38"/>
      <c r="O176" s="38"/>
      <c r="P176" s="38"/>
    </row>
    <row r="177" spans="1:16" x14ac:dyDescent="0.3">
      <c r="A177" s="38"/>
      <c r="B177" s="79" t="s">
        <v>174</v>
      </c>
      <c r="C177" s="78" t="s">
        <v>175</v>
      </c>
      <c r="D177" s="80">
        <v>9.41</v>
      </c>
      <c r="E177" s="38"/>
      <c r="F177" s="38"/>
      <c r="G177" s="38"/>
      <c r="H177" s="38"/>
      <c r="I177" s="38"/>
      <c r="J177" s="38"/>
      <c r="K177" s="5"/>
      <c r="L177" s="5"/>
      <c r="M177" s="5"/>
      <c r="N177" s="38"/>
      <c r="O177" s="38"/>
      <c r="P177" s="38"/>
    </row>
    <row r="178" spans="1:16" x14ac:dyDescent="0.3">
      <c r="A178" s="38"/>
      <c r="B178" s="79" t="s">
        <v>176</v>
      </c>
      <c r="C178" s="78" t="s">
        <v>40</v>
      </c>
      <c r="D178" s="80">
        <v>269.7</v>
      </c>
      <c r="E178" s="38"/>
      <c r="F178" s="38"/>
      <c r="G178" s="38"/>
      <c r="H178" s="38"/>
      <c r="I178" s="38"/>
      <c r="J178" s="38"/>
      <c r="K178" s="5"/>
      <c r="L178" s="5"/>
      <c r="M178" s="5"/>
      <c r="N178" s="38"/>
      <c r="O178" s="38"/>
      <c r="P178" s="38"/>
    </row>
    <row r="179" spans="1:16" x14ac:dyDescent="0.3">
      <c r="A179" s="38"/>
      <c r="B179" s="79" t="s">
        <v>177</v>
      </c>
      <c r="C179" s="78" t="s">
        <v>40</v>
      </c>
      <c r="D179" s="80">
        <v>124.82</v>
      </c>
      <c r="E179" s="38"/>
      <c r="F179" s="38"/>
      <c r="G179" s="38"/>
      <c r="H179" s="38"/>
      <c r="I179" s="38"/>
      <c r="J179" s="38"/>
      <c r="K179" s="5"/>
      <c r="L179" s="5"/>
      <c r="M179" s="5"/>
      <c r="N179" s="38"/>
      <c r="O179" s="38"/>
      <c r="P179" s="38"/>
    </row>
    <row r="180" spans="1:16" x14ac:dyDescent="0.3">
      <c r="A180" s="38"/>
      <c r="B180" s="79" t="s">
        <v>178</v>
      </c>
      <c r="C180" s="78" t="s">
        <v>40</v>
      </c>
      <c r="D180" s="80">
        <v>1488</v>
      </c>
      <c r="E180" s="38"/>
      <c r="F180" s="38"/>
      <c r="G180" s="38"/>
      <c r="H180" s="38"/>
      <c r="I180" s="38"/>
      <c r="J180" s="38"/>
      <c r="K180" s="5"/>
      <c r="L180" s="5"/>
      <c r="M180" s="5"/>
      <c r="N180" s="38"/>
      <c r="O180" s="38"/>
      <c r="P180" s="38"/>
    </row>
    <row r="181" spans="1:16" x14ac:dyDescent="0.3">
      <c r="A181" s="38"/>
      <c r="B181" s="79" t="s">
        <v>179</v>
      </c>
      <c r="C181" s="78" t="s">
        <v>28</v>
      </c>
      <c r="D181" s="80">
        <v>0.192</v>
      </c>
      <c r="E181" s="38"/>
      <c r="F181" s="38"/>
      <c r="G181" s="38"/>
      <c r="H181" s="38"/>
      <c r="I181" s="38"/>
      <c r="J181" s="38"/>
      <c r="K181" s="5"/>
      <c r="L181" s="5"/>
      <c r="M181" s="5"/>
      <c r="N181" s="38"/>
      <c r="O181" s="38"/>
      <c r="P181" s="38"/>
    </row>
    <row r="182" spans="1:16" ht="39.6" x14ac:dyDescent="0.3">
      <c r="A182" s="38"/>
      <c r="B182" s="79" t="s">
        <v>180</v>
      </c>
      <c r="C182" s="78" t="s">
        <v>181</v>
      </c>
      <c r="D182" s="80">
        <v>3.6999999999999998E-2</v>
      </c>
      <c r="E182" s="38"/>
      <c r="F182" s="38"/>
      <c r="G182" s="38"/>
      <c r="H182" s="38"/>
      <c r="I182" s="38"/>
      <c r="J182" s="38"/>
      <c r="K182" s="5"/>
      <c r="L182" s="5"/>
      <c r="M182" s="5"/>
      <c r="N182" s="38"/>
      <c r="O182" s="38"/>
      <c r="P182" s="38"/>
    </row>
    <row r="183" spans="1:16" x14ac:dyDescent="0.3">
      <c r="A183" s="38"/>
      <c r="B183" s="79" t="s">
        <v>182</v>
      </c>
      <c r="C183" s="78" t="s">
        <v>28</v>
      </c>
      <c r="D183" s="80"/>
      <c r="E183" s="38"/>
      <c r="F183" s="38"/>
      <c r="G183" s="38"/>
      <c r="H183" s="38"/>
      <c r="I183" s="38"/>
      <c r="J183" s="38"/>
      <c r="K183" s="5"/>
      <c r="L183" s="5"/>
      <c r="M183" s="5"/>
      <c r="N183" s="38"/>
      <c r="O183" s="38"/>
      <c r="P183" s="38"/>
    </row>
    <row r="184" spans="1:16" x14ac:dyDescent="0.3">
      <c r="A184" s="38"/>
      <c r="B184" s="79" t="s">
        <v>183</v>
      </c>
      <c r="C184" s="78" t="s">
        <v>28</v>
      </c>
      <c r="D184" s="80">
        <v>0.439</v>
      </c>
      <c r="E184" s="38"/>
      <c r="F184" s="38"/>
      <c r="G184" s="38"/>
      <c r="H184" s="38"/>
      <c r="I184" s="38"/>
      <c r="J184" s="38"/>
      <c r="K184" s="5"/>
      <c r="L184" s="5"/>
      <c r="M184" s="5"/>
      <c r="N184" s="38"/>
      <c r="O184" s="38"/>
      <c r="P184" s="38"/>
    </row>
    <row r="185" spans="1:16" x14ac:dyDescent="0.3">
      <c r="A185" s="38"/>
      <c r="B185" s="79" t="s">
        <v>184</v>
      </c>
      <c r="C185" s="78" t="s">
        <v>37</v>
      </c>
      <c r="D185" s="80">
        <v>29.6</v>
      </c>
      <c r="E185" s="38"/>
      <c r="F185" s="38"/>
      <c r="G185" s="38"/>
      <c r="H185" s="38"/>
      <c r="I185" s="38"/>
      <c r="J185" s="38"/>
      <c r="K185" s="5"/>
      <c r="L185" s="5"/>
      <c r="M185" s="5"/>
      <c r="N185" s="38"/>
      <c r="O185" s="38"/>
      <c r="P185" s="38"/>
    </row>
    <row r="186" spans="1:16" x14ac:dyDescent="0.3">
      <c r="A186" s="38"/>
      <c r="B186" s="79" t="s">
        <v>185</v>
      </c>
      <c r="C186" s="78" t="s">
        <v>17</v>
      </c>
      <c r="D186" s="80">
        <v>11.907</v>
      </c>
      <c r="E186" s="38"/>
      <c r="F186" s="38"/>
      <c r="G186" s="38"/>
      <c r="H186" s="38"/>
      <c r="I186" s="38"/>
      <c r="J186" s="38"/>
      <c r="K186" s="5"/>
      <c r="L186" s="5"/>
      <c r="M186" s="5"/>
      <c r="N186" s="38"/>
      <c r="O186" s="38"/>
      <c r="P186" s="38"/>
    </row>
    <row r="187" spans="1:16" x14ac:dyDescent="0.3">
      <c r="A187" s="38"/>
      <c r="B187" s="79" t="s">
        <v>186</v>
      </c>
      <c r="C187" s="78" t="s">
        <v>16</v>
      </c>
      <c r="D187" s="80">
        <v>36.200000000000003</v>
      </c>
      <c r="E187" s="38"/>
      <c r="F187" s="38"/>
      <c r="G187" s="38"/>
      <c r="H187" s="38"/>
      <c r="I187" s="38"/>
      <c r="J187" s="38"/>
      <c r="K187" s="5"/>
      <c r="L187" s="5"/>
      <c r="M187" s="5"/>
      <c r="N187" s="38"/>
      <c r="O187" s="38"/>
      <c r="P187" s="38"/>
    </row>
    <row r="188" spans="1:16" x14ac:dyDescent="0.3">
      <c r="A188" s="38"/>
      <c r="B188" s="79" t="s">
        <v>187</v>
      </c>
      <c r="C188" s="78" t="s">
        <v>40</v>
      </c>
      <c r="D188" s="80">
        <v>212</v>
      </c>
      <c r="E188" s="38"/>
      <c r="F188" s="38"/>
      <c r="G188" s="38"/>
      <c r="H188" s="38"/>
      <c r="I188" s="38"/>
      <c r="J188" s="38"/>
      <c r="K188" s="5"/>
      <c r="L188" s="5"/>
      <c r="M188" s="5"/>
      <c r="N188" s="38"/>
      <c r="O188" s="38"/>
      <c r="P188" s="38"/>
    </row>
    <row r="189" spans="1:16" ht="26.4" x14ac:dyDescent="0.3">
      <c r="A189" s="38"/>
      <c r="B189" s="79" t="s">
        <v>188</v>
      </c>
      <c r="C189" s="78" t="s">
        <v>20</v>
      </c>
      <c r="D189" s="80">
        <v>38.1</v>
      </c>
      <c r="E189" s="38"/>
      <c r="F189" s="38"/>
      <c r="G189" s="38"/>
      <c r="H189" s="38"/>
      <c r="I189" s="38"/>
      <c r="J189" s="38"/>
      <c r="K189" s="5"/>
      <c r="L189" s="5"/>
      <c r="M189" s="5"/>
      <c r="N189" s="38"/>
      <c r="O189" s="38"/>
      <c r="P189" s="38"/>
    </row>
    <row r="190" spans="1:16" ht="52.8" x14ac:dyDescent="0.3">
      <c r="A190" s="38"/>
      <c r="B190" s="79" t="s">
        <v>189</v>
      </c>
      <c r="C190" s="78" t="s">
        <v>28</v>
      </c>
      <c r="D190" s="80">
        <v>1.7000000000000001E-2</v>
      </c>
      <c r="E190" s="38"/>
      <c r="F190" s="38"/>
      <c r="G190" s="38"/>
      <c r="H190" s="38"/>
      <c r="I190" s="38"/>
      <c r="J190" s="38"/>
      <c r="K190" s="5"/>
      <c r="L190" s="5"/>
      <c r="M190" s="5"/>
      <c r="N190" s="38"/>
      <c r="O190" s="38"/>
      <c r="P190" s="38"/>
    </row>
    <row r="191" spans="1:16" ht="39.6" x14ac:dyDescent="0.3">
      <c r="A191" s="38"/>
      <c r="B191" s="79" t="s">
        <v>190</v>
      </c>
      <c r="C191" s="78" t="s">
        <v>28</v>
      </c>
      <c r="D191" s="80">
        <v>0.252</v>
      </c>
      <c r="E191" s="38"/>
      <c r="F191" s="38"/>
      <c r="G191" s="38"/>
      <c r="H191" s="38"/>
      <c r="I191" s="38"/>
      <c r="J191" s="38"/>
      <c r="K191" s="5"/>
      <c r="L191" s="5"/>
      <c r="M191" s="5"/>
      <c r="N191" s="38"/>
      <c r="O191" s="38"/>
      <c r="P191" s="38"/>
    </row>
    <row r="192" spans="1:16" x14ac:dyDescent="0.3">
      <c r="A192" s="38"/>
      <c r="B192" s="79" t="s">
        <v>191</v>
      </c>
      <c r="C192" s="78" t="s">
        <v>28</v>
      </c>
      <c r="D192" s="80">
        <v>0.29799999999999999</v>
      </c>
      <c r="E192" s="38"/>
      <c r="F192" s="38"/>
      <c r="G192" s="38"/>
      <c r="H192" s="38"/>
      <c r="I192" s="38"/>
      <c r="J192" s="38"/>
      <c r="K192" s="5"/>
      <c r="L192" s="5"/>
      <c r="M192" s="5"/>
      <c r="N192" s="38"/>
      <c r="O192" s="38"/>
      <c r="P192" s="38"/>
    </row>
    <row r="193" spans="1:16" x14ac:dyDescent="0.3">
      <c r="A193" s="38"/>
      <c r="B193" s="79" t="s">
        <v>192</v>
      </c>
      <c r="C193" s="78" t="s">
        <v>28</v>
      </c>
      <c r="D193" s="80">
        <v>8.0000000000000002E-3</v>
      </c>
      <c r="E193" s="38"/>
      <c r="F193" s="38"/>
      <c r="G193" s="38"/>
      <c r="H193" s="38"/>
      <c r="I193" s="38"/>
      <c r="J193" s="38"/>
      <c r="K193" s="5"/>
      <c r="L193" s="5"/>
      <c r="M193" s="5"/>
      <c r="N193" s="38"/>
      <c r="O193" s="38"/>
      <c r="P193" s="38"/>
    </row>
    <row r="194" spans="1:16" x14ac:dyDescent="0.3">
      <c r="A194" s="38"/>
      <c r="B194" s="79" t="s">
        <v>45</v>
      </c>
      <c r="C194" s="78" t="s">
        <v>28</v>
      </c>
      <c r="D194" s="80">
        <v>4.0000000000000001E-3</v>
      </c>
      <c r="E194" s="38"/>
      <c r="F194" s="38"/>
      <c r="G194" s="38"/>
      <c r="H194" s="38"/>
      <c r="I194" s="38"/>
      <c r="J194" s="38"/>
      <c r="K194" s="5"/>
      <c r="L194" s="5"/>
      <c r="M194" s="5"/>
      <c r="N194" s="38"/>
      <c r="O194" s="38"/>
      <c r="P194" s="38"/>
    </row>
    <row r="195" spans="1:16" ht="26.4" x14ac:dyDescent="0.3">
      <c r="A195" s="38"/>
      <c r="B195" s="79" t="s">
        <v>193</v>
      </c>
      <c r="C195" s="78" t="s">
        <v>40</v>
      </c>
      <c r="D195" s="80">
        <v>744</v>
      </c>
      <c r="E195" s="38"/>
      <c r="F195" s="38"/>
      <c r="G195" s="38"/>
      <c r="H195" s="38"/>
      <c r="I195" s="38"/>
      <c r="J195" s="38"/>
      <c r="K195" s="5"/>
      <c r="L195" s="5"/>
      <c r="M195" s="5"/>
      <c r="N195" s="38"/>
      <c r="O195" s="38"/>
      <c r="P195" s="38"/>
    </row>
    <row r="196" spans="1:16" x14ac:dyDescent="0.3">
      <c r="A196" s="38"/>
      <c r="B196" s="79" t="s">
        <v>194</v>
      </c>
      <c r="C196" s="78" t="s">
        <v>28</v>
      </c>
      <c r="D196" s="80">
        <v>3.1E-2</v>
      </c>
      <c r="E196" s="38"/>
      <c r="F196" s="38"/>
      <c r="G196" s="38"/>
      <c r="H196" s="38"/>
      <c r="I196" s="38"/>
      <c r="J196" s="38"/>
      <c r="K196" s="5"/>
      <c r="L196" s="5"/>
      <c r="M196" s="5"/>
      <c r="N196" s="38"/>
      <c r="O196" s="38"/>
      <c r="P196" s="38"/>
    </row>
    <row r="197" spans="1:16" x14ac:dyDescent="0.3">
      <c r="A197" s="38"/>
      <c r="B197" s="79" t="s">
        <v>195</v>
      </c>
      <c r="C197" s="78" t="s">
        <v>5</v>
      </c>
      <c r="D197" s="80">
        <v>320.44</v>
      </c>
      <c r="E197" s="38"/>
      <c r="F197" s="38"/>
      <c r="G197" s="38"/>
      <c r="H197" s="38"/>
      <c r="I197" s="38"/>
      <c r="J197" s="38"/>
      <c r="K197" s="5"/>
      <c r="L197" s="5"/>
      <c r="M197" s="5"/>
      <c r="N197" s="38"/>
      <c r="O197" s="38"/>
      <c r="P197" s="38"/>
    </row>
    <row r="198" spans="1:16" x14ac:dyDescent="0.3">
      <c r="A198" s="38"/>
      <c r="B198" s="79" t="s">
        <v>196</v>
      </c>
      <c r="C198" s="78" t="s">
        <v>5</v>
      </c>
      <c r="D198" s="80">
        <v>55.1</v>
      </c>
      <c r="E198" s="38"/>
      <c r="F198" s="38"/>
      <c r="G198" s="38"/>
      <c r="H198" s="38"/>
      <c r="I198" s="38"/>
      <c r="J198" s="38"/>
      <c r="K198" s="5"/>
      <c r="L198" s="5"/>
      <c r="M198" s="5"/>
      <c r="N198" s="38"/>
      <c r="O198" s="38"/>
      <c r="P198" s="38"/>
    </row>
    <row r="199" spans="1:16" x14ac:dyDescent="0.3">
      <c r="A199" s="38"/>
      <c r="B199" s="79" t="s">
        <v>197</v>
      </c>
      <c r="C199" s="78" t="s">
        <v>5</v>
      </c>
      <c r="D199" s="80">
        <v>11.7</v>
      </c>
      <c r="E199" s="38"/>
      <c r="F199" s="38"/>
      <c r="G199" s="38"/>
      <c r="H199" s="38"/>
      <c r="I199" s="38"/>
      <c r="J199" s="38"/>
      <c r="K199" s="5"/>
      <c r="L199" s="5"/>
      <c r="M199" s="5"/>
      <c r="N199" s="38"/>
      <c r="O199" s="38"/>
      <c r="P199" s="38"/>
    </row>
    <row r="200" spans="1:16" x14ac:dyDescent="0.3">
      <c r="A200" s="38"/>
      <c r="B200" s="79" t="s">
        <v>198</v>
      </c>
      <c r="C200" s="78" t="s">
        <v>199</v>
      </c>
      <c r="D200" s="80">
        <v>149</v>
      </c>
      <c r="E200" s="38"/>
      <c r="F200" s="38"/>
      <c r="G200" s="38"/>
      <c r="H200" s="38"/>
      <c r="I200" s="38"/>
      <c r="J200" s="38"/>
      <c r="K200" s="5"/>
      <c r="L200" s="5"/>
      <c r="M200" s="5"/>
      <c r="N200" s="38"/>
      <c r="O200" s="38"/>
      <c r="P200" s="38"/>
    </row>
    <row r="201" spans="1:16" x14ac:dyDescent="0.3">
      <c r="A201" s="38"/>
      <c r="B201" s="79" t="s">
        <v>200</v>
      </c>
      <c r="C201" s="78" t="s">
        <v>5</v>
      </c>
      <c r="D201" s="80">
        <v>34.299999999999997</v>
      </c>
      <c r="E201" s="38"/>
      <c r="F201" s="38"/>
      <c r="G201" s="38"/>
      <c r="H201" s="38"/>
      <c r="I201" s="38"/>
      <c r="J201" s="38"/>
      <c r="K201" s="5"/>
      <c r="L201" s="5"/>
      <c r="M201" s="5"/>
      <c r="N201" s="38"/>
      <c r="O201" s="38"/>
      <c r="P201" s="38"/>
    </row>
    <row r="202" spans="1:16" x14ac:dyDescent="0.3">
      <c r="A202" s="38"/>
      <c r="B202" s="79" t="s">
        <v>201</v>
      </c>
      <c r="C202" s="78" t="s">
        <v>5</v>
      </c>
      <c r="D202" s="80">
        <v>315.25</v>
      </c>
      <c r="E202" s="38"/>
      <c r="F202" s="38"/>
      <c r="G202" s="38"/>
      <c r="H202" s="38"/>
      <c r="I202" s="38"/>
      <c r="J202" s="38"/>
      <c r="K202" s="5"/>
      <c r="L202" s="5"/>
      <c r="M202" s="5"/>
      <c r="N202" s="38"/>
      <c r="O202" s="38"/>
      <c r="P202" s="38"/>
    </row>
    <row r="203" spans="1:16" ht="26.4" x14ac:dyDescent="0.3">
      <c r="A203" s="38"/>
      <c r="B203" s="79" t="s">
        <v>202</v>
      </c>
      <c r="C203" s="78" t="s">
        <v>5</v>
      </c>
      <c r="D203" s="80">
        <v>227.33</v>
      </c>
      <c r="E203" s="38"/>
      <c r="F203" s="38"/>
      <c r="G203" s="38"/>
      <c r="H203" s="38"/>
      <c r="I203" s="38"/>
      <c r="J203" s="38"/>
      <c r="K203" s="5"/>
      <c r="L203" s="5"/>
      <c r="M203" s="5"/>
      <c r="N203" s="38"/>
      <c r="O203" s="38"/>
      <c r="P203" s="38"/>
    </row>
    <row r="204" spans="1:16" ht="26.4" x14ac:dyDescent="0.3">
      <c r="A204" s="38"/>
      <c r="B204" s="79" t="s">
        <v>203</v>
      </c>
      <c r="C204" s="78" t="s">
        <v>17</v>
      </c>
      <c r="D204" s="80">
        <v>0.12</v>
      </c>
      <c r="E204" s="38"/>
      <c r="F204" s="38"/>
      <c r="G204" s="38"/>
      <c r="H204" s="38"/>
      <c r="I204" s="38"/>
      <c r="J204" s="38"/>
      <c r="K204" s="5"/>
      <c r="L204" s="5"/>
      <c r="M204" s="5"/>
      <c r="N204" s="38"/>
      <c r="O204" s="38"/>
      <c r="P204" s="38"/>
    </row>
    <row r="205" spans="1:16" ht="26.4" x14ac:dyDescent="0.3">
      <c r="A205" s="38"/>
      <c r="B205" s="79" t="s">
        <v>204</v>
      </c>
      <c r="C205" s="78" t="s">
        <v>17</v>
      </c>
      <c r="D205" s="80">
        <v>0.379</v>
      </c>
      <c r="E205" s="38"/>
      <c r="F205" s="38"/>
      <c r="G205" s="38"/>
      <c r="H205" s="38"/>
      <c r="I205" s="38"/>
      <c r="J205" s="38"/>
      <c r="K205" s="5"/>
      <c r="L205" s="5"/>
      <c r="M205" s="5"/>
      <c r="N205" s="38"/>
      <c r="O205" s="38"/>
      <c r="P205" s="38"/>
    </row>
    <row r="206" spans="1:16" x14ac:dyDescent="0.3">
      <c r="A206" s="38"/>
      <c r="B206" s="79" t="s">
        <v>205</v>
      </c>
      <c r="C206" s="78" t="s">
        <v>20</v>
      </c>
      <c r="D206" s="80">
        <v>864.4</v>
      </c>
      <c r="E206" s="38"/>
      <c r="F206" s="38"/>
      <c r="G206" s="38"/>
      <c r="H206" s="38"/>
      <c r="I206" s="38"/>
      <c r="J206" s="38"/>
      <c r="K206" s="5"/>
      <c r="L206" s="5"/>
      <c r="M206" s="5"/>
      <c r="N206" s="38"/>
      <c r="O206" s="38"/>
      <c r="P206" s="38"/>
    </row>
    <row r="207" spans="1:16" ht="39.6" x14ac:dyDescent="0.3">
      <c r="A207" s="38"/>
      <c r="B207" s="79" t="s">
        <v>206</v>
      </c>
      <c r="C207" s="78" t="s">
        <v>20</v>
      </c>
      <c r="D207" s="80">
        <v>0.6</v>
      </c>
      <c r="E207" s="38"/>
      <c r="F207" s="38"/>
      <c r="G207" s="38"/>
      <c r="H207" s="38"/>
      <c r="I207" s="38"/>
      <c r="J207" s="38"/>
      <c r="K207" s="5"/>
      <c r="L207" s="5"/>
      <c r="M207" s="5"/>
      <c r="N207" s="38"/>
      <c r="O207" s="38"/>
      <c r="P207" s="38"/>
    </row>
    <row r="208" spans="1:16" x14ac:dyDescent="0.3">
      <c r="A208" s="38"/>
      <c r="B208" s="79" t="s">
        <v>207</v>
      </c>
      <c r="C208" s="78" t="s">
        <v>28</v>
      </c>
      <c r="D208" s="80">
        <v>3.8460000000000001</v>
      </c>
      <c r="E208" s="38"/>
      <c r="F208" s="38"/>
      <c r="G208" s="38"/>
      <c r="H208" s="38"/>
      <c r="I208" s="38"/>
      <c r="J208" s="38"/>
      <c r="K208" s="5"/>
      <c r="L208" s="5"/>
      <c r="M208" s="5"/>
      <c r="N208" s="38"/>
      <c r="O208" s="38"/>
      <c r="P208" s="38"/>
    </row>
    <row r="209" spans="1:16" x14ac:dyDescent="0.3">
      <c r="A209" s="38"/>
      <c r="B209" s="79" t="s">
        <v>208</v>
      </c>
      <c r="C209" s="78" t="s">
        <v>28</v>
      </c>
      <c r="D209" s="80">
        <v>2.8000000000000001E-2</v>
      </c>
      <c r="E209" s="38"/>
      <c r="F209" s="38"/>
      <c r="G209" s="38"/>
      <c r="H209" s="38"/>
      <c r="I209" s="38"/>
      <c r="J209" s="38"/>
      <c r="K209" s="5"/>
      <c r="L209" s="5"/>
      <c r="M209" s="5"/>
      <c r="N209" s="38"/>
      <c r="O209" s="38"/>
      <c r="P209" s="38"/>
    </row>
    <row r="210" spans="1:16" x14ac:dyDescent="0.3">
      <c r="A210" s="38"/>
      <c r="B210" s="79" t="s">
        <v>209</v>
      </c>
      <c r="C210" s="78" t="s">
        <v>20</v>
      </c>
      <c r="D210" s="80">
        <v>395.03</v>
      </c>
      <c r="E210" s="38"/>
      <c r="F210" s="38"/>
      <c r="G210" s="38"/>
      <c r="H210" s="38"/>
      <c r="I210" s="38"/>
      <c r="J210" s="38"/>
      <c r="K210" s="5"/>
      <c r="L210" s="5"/>
      <c r="M210" s="5"/>
      <c r="N210" s="38"/>
      <c r="O210" s="38"/>
      <c r="P210" s="38"/>
    </row>
    <row r="211" spans="1:16" x14ac:dyDescent="0.3">
      <c r="A211" s="38"/>
      <c r="B211" s="79" t="s">
        <v>210</v>
      </c>
      <c r="C211" s="78" t="s">
        <v>28</v>
      </c>
      <c r="D211" s="80">
        <v>0.124</v>
      </c>
      <c r="E211" s="38"/>
      <c r="F211" s="38"/>
      <c r="G211" s="38"/>
      <c r="H211" s="38"/>
      <c r="I211" s="38"/>
      <c r="J211" s="38"/>
      <c r="K211" s="5"/>
      <c r="L211" s="5"/>
      <c r="M211" s="5"/>
      <c r="N211" s="38"/>
      <c r="O211" s="38"/>
      <c r="P211" s="38"/>
    </row>
    <row r="212" spans="1:16" x14ac:dyDescent="0.3">
      <c r="A212" s="38"/>
      <c r="B212" s="79" t="s">
        <v>211</v>
      </c>
      <c r="C212" s="78" t="s">
        <v>5</v>
      </c>
      <c r="D212" s="80">
        <v>61</v>
      </c>
      <c r="E212" s="38"/>
      <c r="F212" s="38"/>
      <c r="G212" s="38"/>
      <c r="H212" s="38"/>
      <c r="I212" s="38"/>
      <c r="J212" s="38"/>
      <c r="K212" s="5"/>
      <c r="L212" s="5"/>
      <c r="M212" s="5"/>
      <c r="N212" s="38"/>
      <c r="O212" s="38"/>
      <c r="P212" s="38"/>
    </row>
    <row r="213" spans="1:16" x14ac:dyDescent="0.3">
      <c r="A213" s="38"/>
      <c r="B213" s="79" t="s">
        <v>212</v>
      </c>
      <c r="C213" s="78" t="s">
        <v>199</v>
      </c>
      <c r="D213" s="80">
        <v>89.3</v>
      </c>
      <c r="E213" s="38"/>
      <c r="F213" s="38"/>
      <c r="G213" s="38"/>
      <c r="H213" s="38"/>
      <c r="I213" s="38"/>
      <c r="J213" s="38"/>
      <c r="K213" s="5"/>
      <c r="L213" s="5"/>
      <c r="M213" s="5"/>
      <c r="N213" s="38"/>
      <c r="O213" s="38"/>
      <c r="P213" s="38"/>
    </row>
    <row r="214" spans="1:16" x14ac:dyDescent="0.3">
      <c r="A214" s="38"/>
      <c r="B214" s="79" t="s">
        <v>213</v>
      </c>
      <c r="C214" s="78" t="s">
        <v>199</v>
      </c>
      <c r="D214" s="80">
        <v>25.5</v>
      </c>
      <c r="E214" s="38"/>
      <c r="F214" s="38"/>
      <c r="G214" s="38"/>
      <c r="H214" s="38"/>
      <c r="I214" s="38"/>
      <c r="J214" s="38"/>
      <c r="K214" s="5"/>
      <c r="L214" s="5"/>
      <c r="M214" s="5"/>
      <c r="N214" s="38"/>
      <c r="O214" s="38"/>
      <c r="P214" s="38"/>
    </row>
    <row r="215" spans="1:16" x14ac:dyDescent="0.3">
      <c r="A215" s="38"/>
      <c r="B215" s="79" t="s">
        <v>214</v>
      </c>
      <c r="C215" s="78" t="s">
        <v>40</v>
      </c>
      <c r="D215" s="80">
        <v>17.024000000000001</v>
      </c>
      <c r="E215" s="38"/>
      <c r="F215" s="38"/>
      <c r="G215" s="38"/>
      <c r="H215" s="38"/>
      <c r="I215" s="38"/>
      <c r="J215" s="38"/>
      <c r="K215" s="5"/>
      <c r="L215" s="5"/>
      <c r="M215" s="5"/>
      <c r="N215" s="38"/>
      <c r="O215" s="38"/>
      <c r="P215" s="38"/>
    </row>
    <row r="216" spans="1:16" ht="26.4" x14ac:dyDescent="0.3">
      <c r="A216" s="38"/>
      <c r="B216" s="79" t="s">
        <v>215</v>
      </c>
      <c r="C216" s="78" t="s">
        <v>28</v>
      </c>
      <c r="D216" s="80">
        <v>9.4E-2</v>
      </c>
      <c r="E216" s="38"/>
      <c r="F216" s="38"/>
      <c r="G216" s="38"/>
      <c r="H216" s="38"/>
      <c r="I216" s="38"/>
      <c r="J216" s="38"/>
      <c r="K216" s="5"/>
      <c r="L216" s="5"/>
      <c r="M216" s="5"/>
      <c r="N216" s="38"/>
      <c r="O216" s="38"/>
      <c r="P216" s="38"/>
    </row>
    <row r="217" spans="1:16" x14ac:dyDescent="0.3">
      <c r="A217" s="38"/>
      <c r="B217" s="79" t="s">
        <v>216</v>
      </c>
      <c r="C217" s="78" t="s">
        <v>17</v>
      </c>
      <c r="D217" s="80">
        <v>0.47099999999999997</v>
      </c>
      <c r="E217" s="38"/>
      <c r="F217" s="38"/>
      <c r="G217" s="38"/>
      <c r="H217" s="38"/>
      <c r="I217" s="38"/>
      <c r="J217" s="38"/>
      <c r="K217" s="5"/>
      <c r="L217" s="5"/>
      <c r="M217" s="5"/>
      <c r="N217" s="38"/>
      <c r="O217" s="38"/>
      <c r="P217" s="38"/>
    </row>
    <row r="218" spans="1:16" x14ac:dyDescent="0.3">
      <c r="A218" s="38"/>
      <c r="B218" s="79" t="s">
        <v>217</v>
      </c>
      <c r="C218" s="78" t="s">
        <v>28</v>
      </c>
      <c r="D218" s="80">
        <v>2E-3</v>
      </c>
      <c r="E218" s="38"/>
      <c r="F218" s="38"/>
      <c r="G218" s="38"/>
      <c r="H218" s="38"/>
      <c r="I218" s="38"/>
      <c r="J218" s="38"/>
      <c r="K218" s="5"/>
      <c r="L218" s="5"/>
      <c r="M218" s="5"/>
      <c r="N218" s="38"/>
      <c r="O218" s="38"/>
      <c r="P218" s="38"/>
    </row>
    <row r="219" spans="1:16" ht="39.6" x14ac:dyDescent="0.3">
      <c r="A219" s="38"/>
      <c r="B219" s="79" t="s">
        <v>218</v>
      </c>
      <c r="C219" s="78" t="s">
        <v>28</v>
      </c>
      <c r="D219" s="80">
        <v>0.38700000000000001</v>
      </c>
      <c r="E219" s="38"/>
      <c r="F219" s="38"/>
      <c r="G219" s="38"/>
      <c r="H219" s="38"/>
      <c r="I219" s="38"/>
      <c r="J219" s="38"/>
      <c r="K219" s="5"/>
      <c r="L219" s="5"/>
      <c r="M219" s="5"/>
      <c r="N219" s="38"/>
      <c r="O219" s="38"/>
      <c r="P219" s="38"/>
    </row>
    <row r="220" spans="1:16" ht="39.6" x14ac:dyDescent="0.3">
      <c r="A220" s="38"/>
      <c r="B220" s="79" t="s">
        <v>218</v>
      </c>
      <c r="C220" s="78" t="s">
        <v>28</v>
      </c>
      <c r="D220" s="80">
        <v>0.114</v>
      </c>
      <c r="E220" s="38"/>
      <c r="F220" s="38"/>
      <c r="G220" s="38"/>
      <c r="H220" s="38"/>
      <c r="I220" s="38"/>
      <c r="J220" s="38"/>
      <c r="K220" s="5"/>
      <c r="L220" s="5"/>
      <c r="M220" s="5"/>
      <c r="N220" s="38"/>
      <c r="O220" s="38"/>
      <c r="P220" s="38"/>
    </row>
    <row r="221" spans="1:16" ht="39.6" x14ac:dyDescent="0.3">
      <c r="A221" s="38"/>
      <c r="B221" s="79" t="s">
        <v>219</v>
      </c>
      <c r="C221" s="78" t="s">
        <v>28</v>
      </c>
      <c r="D221" s="80">
        <v>3.0000000000000001E-3</v>
      </c>
      <c r="E221" s="38"/>
      <c r="F221" s="38"/>
      <c r="G221" s="38"/>
      <c r="H221" s="38"/>
      <c r="I221" s="38"/>
      <c r="J221" s="38"/>
      <c r="K221" s="5"/>
      <c r="L221" s="5"/>
      <c r="M221" s="5"/>
      <c r="N221" s="38"/>
      <c r="O221" s="38"/>
      <c r="P221" s="38"/>
    </row>
    <row r="222" spans="1:16" x14ac:dyDescent="0.3">
      <c r="A222" s="38"/>
      <c r="B222" s="79" t="s">
        <v>220</v>
      </c>
      <c r="C222" s="78" t="s">
        <v>16</v>
      </c>
      <c r="D222" s="80">
        <v>13.24</v>
      </c>
      <c r="E222" s="38"/>
      <c r="F222" s="38"/>
      <c r="G222" s="38"/>
      <c r="H222" s="38"/>
      <c r="I222" s="38"/>
      <c r="J222" s="38"/>
      <c r="K222" s="5"/>
      <c r="L222" s="5"/>
      <c r="M222" s="5"/>
      <c r="N222" s="38"/>
      <c r="O222" s="38"/>
      <c r="P222" s="38"/>
    </row>
    <row r="223" spans="1:16" x14ac:dyDescent="0.3">
      <c r="A223" s="38"/>
      <c r="B223" s="79" t="s">
        <v>221</v>
      </c>
      <c r="C223" s="78" t="s">
        <v>20</v>
      </c>
      <c r="D223" s="80">
        <v>56.5</v>
      </c>
      <c r="E223" s="38"/>
      <c r="F223" s="38"/>
      <c r="G223" s="38"/>
      <c r="H223" s="38"/>
      <c r="I223" s="38"/>
      <c r="J223" s="38"/>
      <c r="K223" s="5"/>
      <c r="L223" s="5"/>
      <c r="M223" s="5"/>
      <c r="N223" s="38"/>
      <c r="O223" s="38"/>
      <c r="P223" s="38"/>
    </row>
    <row r="224" spans="1:16" x14ac:dyDescent="0.3">
      <c r="A224" s="38"/>
      <c r="B224" s="79" t="s">
        <v>222</v>
      </c>
      <c r="C224" s="78" t="s">
        <v>28</v>
      </c>
      <c r="D224" s="80">
        <v>1.7999999999999999E-2</v>
      </c>
      <c r="E224" s="38"/>
      <c r="F224" s="38"/>
      <c r="G224" s="38"/>
      <c r="H224" s="38"/>
      <c r="I224" s="38"/>
      <c r="J224" s="38"/>
      <c r="K224" s="5"/>
      <c r="L224" s="5"/>
      <c r="M224" s="5"/>
      <c r="N224" s="38"/>
      <c r="O224" s="38"/>
      <c r="P224" s="38"/>
    </row>
    <row r="225" spans="1:16" ht="26.4" x14ac:dyDescent="0.3">
      <c r="A225" s="38"/>
      <c r="B225" s="79" t="s">
        <v>223</v>
      </c>
      <c r="C225" s="78" t="s">
        <v>40</v>
      </c>
      <c r="D225" s="80">
        <v>0.48</v>
      </c>
      <c r="E225" s="38"/>
      <c r="F225" s="38"/>
      <c r="G225" s="38"/>
      <c r="H225" s="38"/>
      <c r="I225" s="38"/>
      <c r="J225" s="38"/>
      <c r="K225" s="5"/>
      <c r="L225" s="5"/>
      <c r="M225" s="5"/>
      <c r="N225" s="38"/>
      <c r="O225" s="38"/>
      <c r="P225" s="38"/>
    </row>
    <row r="226" spans="1:16" x14ac:dyDescent="0.3">
      <c r="A226" s="38"/>
      <c r="B226" s="79" t="s">
        <v>224</v>
      </c>
      <c r="C226" s="78" t="s">
        <v>40</v>
      </c>
      <c r="D226" s="80">
        <v>2.37</v>
      </c>
      <c r="E226" s="38"/>
      <c r="F226" s="38"/>
      <c r="G226" s="38"/>
      <c r="H226" s="38"/>
      <c r="I226" s="38"/>
      <c r="J226" s="38"/>
      <c r="K226" s="5"/>
      <c r="L226" s="5"/>
      <c r="M226" s="5"/>
      <c r="N226" s="38"/>
      <c r="O226" s="38"/>
      <c r="P226" s="38"/>
    </row>
    <row r="227" spans="1:16" x14ac:dyDescent="0.3">
      <c r="A227" s="38"/>
      <c r="B227" s="79" t="s">
        <v>225</v>
      </c>
      <c r="C227" s="78" t="s">
        <v>17</v>
      </c>
      <c r="D227" s="80">
        <v>2.048</v>
      </c>
      <c r="E227" s="38"/>
      <c r="F227" s="38"/>
      <c r="G227" s="38"/>
      <c r="H227" s="38"/>
      <c r="I227" s="38"/>
      <c r="J227" s="38"/>
      <c r="K227" s="5"/>
      <c r="L227" s="5"/>
      <c r="M227" s="5"/>
      <c r="N227" s="38"/>
      <c r="O227" s="38"/>
      <c r="P227" s="38"/>
    </row>
    <row r="228" spans="1:16" ht="26.4" x14ac:dyDescent="0.3">
      <c r="A228" s="38"/>
      <c r="B228" s="79" t="s">
        <v>226</v>
      </c>
      <c r="C228" s="78" t="s">
        <v>20</v>
      </c>
      <c r="D228" s="80">
        <v>255</v>
      </c>
      <c r="E228" s="38"/>
      <c r="F228" s="38"/>
      <c r="G228" s="38"/>
      <c r="H228" s="38"/>
      <c r="I228" s="38"/>
      <c r="J228" s="38"/>
      <c r="K228" s="5"/>
      <c r="L228" s="5"/>
      <c r="M228" s="5"/>
      <c r="N228" s="38"/>
      <c r="O228" s="38"/>
      <c r="P228" s="38"/>
    </row>
    <row r="229" spans="1:16" ht="26.4" x14ac:dyDescent="0.3">
      <c r="A229" s="38"/>
      <c r="B229" s="79" t="s">
        <v>227</v>
      </c>
      <c r="C229" s="78" t="s">
        <v>20</v>
      </c>
      <c r="D229" s="80">
        <v>360</v>
      </c>
      <c r="E229" s="38"/>
      <c r="F229" s="38"/>
      <c r="G229" s="38"/>
      <c r="H229" s="38"/>
      <c r="I229" s="38"/>
      <c r="J229" s="38"/>
      <c r="K229" s="5"/>
      <c r="L229" s="5"/>
      <c r="M229" s="5"/>
      <c r="N229" s="38"/>
      <c r="O229" s="38"/>
      <c r="P229" s="38"/>
    </row>
    <row r="230" spans="1:16" ht="26.4" x14ac:dyDescent="0.3">
      <c r="A230" s="38"/>
      <c r="B230" s="79" t="s">
        <v>228</v>
      </c>
      <c r="C230" s="78" t="s">
        <v>20</v>
      </c>
      <c r="D230" s="80">
        <v>15.74</v>
      </c>
      <c r="E230" s="38"/>
      <c r="F230" s="38"/>
      <c r="G230" s="38"/>
      <c r="H230" s="38"/>
      <c r="I230" s="38"/>
      <c r="J230" s="38"/>
      <c r="K230" s="5"/>
      <c r="L230" s="5"/>
      <c r="M230" s="5"/>
      <c r="N230" s="38"/>
      <c r="O230" s="38"/>
      <c r="P230" s="38"/>
    </row>
    <row r="231" spans="1:16" ht="26.4" x14ac:dyDescent="0.3">
      <c r="A231" s="38"/>
      <c r="B231" s="79" t="s">
        <v>229</v>
      </c>
      <c r="C231" s="78" t="s">
        <v>20</v>
      </c>
      <c r="D231" s="80">
        <v>36.6</v>
      </c>
      <c r="E231" s="38"/>
      <c r="F231" s="38"/>
      <c r="G231" s="38"/>
      <c r="H231" s="38"/>
      <c r="I231" s="38"/>
      <c r="J231" s="38"/>
      <c r="K231" s="5"/>
      <c r="L231" s="5"/>
      <c r="M231" s="5"/>
      <c r="N231" s="38"/>
      <c r="O231" s="38"/>
      <c r="P231" s="38"/>
    </row>
    <row r="232" spans="1:16" ht="26.4" x14ac:dyDescent="0.3">
      <c r="A232" s="38"/>
      <c r="B232" s="79" t="s">
        <v>230</v>
      </c>
      <c r="C232" s="78" t="s">
        <v>20</v>
      </c>
      <c r="D232" s="80">
        <v>22</v>
      </c>
      <c r="E232" s="38"/>
      <c r="F232" s="38"/>
      <c r="G232" s="38"/>
      <c r="H232" s="38"/>
      <c r="I232" s="38"/>
      <c r="J232" s="38"/>
      <c r="K232" s="5"/>
      <c r="L232" s="5"/>
      <c r="M232" s="5"/>
      <c r="N232" s="38"/>
      <c r="O232" s="38"/>
      <c r="P232" s="38"/>
    </row>
    <row r="233" spans="1:16" ht="26.4" x14ac:dyDescent="0.3">
      <c r="A233" s="38"/>
      <c r="B233" s="79" t="s">
        <v>231</v>
      </c>
      <c r="C233" s="78" t="s">
        <v>17</v>
      </c>
      <c r="D233" s="80">
        <v>8.3000000000000007</v>
      </c>
      <c r="E233" s="38"/>
      <c r="F233" s="38"/>
      <c r="G233" s="38"/>
      <c r="H233" s="38"/>
      <c r="I233" s="38"/>
      <c r="J233" s="38"/>
      <c r="K233" s="5"/>
      <c r="L233" s="5"/>
      <c r="M233" s="5"/>
      <c r="N233" s="38"/>
      <c r="O233" s="38"/>
      <c r="P233" s="38"/>
    </row>
    <row r="234" spans="1:16" ht="26.4" x14ac:dyDescent="0.3">
      <c r="A234" s="38"/>
      <c r="B234" s="79" t="s">
        <v>232</v>
      </c>
      <c r="C234" s="78" t="s">
        <v>17</v>
      </c>
      <c r="D234" s="80">
        <v>26.6</v>
      </c>
      <c r="E234" s="38"/>
      <c r="F234" s="38"/>
      <c r="G234" s="38"/>
      <c r="H234" s="38"/>
      <c r="I234" s="38"/>
      <c r="J234" s="38"/>
      <c r="K234" s="5"/>
      <c r="L234" s="5"/>
      <c r="M234" s="5"/>
      <c r="N234" s="38"/>
      <c r="O234" s="38"/>
      <c r="P234" s="38"/>
    </row>
    <row r="235" spans="1:16" ht="26.4" x14ac:dyDescent="0.3">
      <c r="A235" s="38"/>
      <c r="B235" s="79" t="s">
        <v>233</v>
      </c>
      <c r="C235" s="78" t="s">
        <v>17</v>
      </c>
      <c r="D235" s="80">
        <v>21.695399999999999</v>
      </c>
      <c r="E235" s="38"/>
      <c r="F235" s="38"/>
      <c r="G235" s="38"/>
      <c r="H235" s="38"/>
      <c r="I235" s="38"/>
      <c r="J235" s="38"/>
      <c r="K235" s="5"/>
      <c r="L235" s="5"/>
      <c r="M235" s="5"/>
      <c r="N235" s="38"/>
      <c r="O235" s="38"/>
      <c r="P235" s="38"/>
    </row>
    <row r="236" spans="1:16" x14ac:dyDescent="0.3">
      <c r="A236" s="38"/>
      <c r="B236" s="79" t="s">
        <v>234</v>
      </c>
      <c r="C236" s="78" t="s">
        <v>17</v>
      </c>
      <c r="D236" s="80">
        <v>3.56</v>
      </c>
      <c r="E236" s="38"/>
      <c r="F236" s="38"/>
      <c r="G236" s="38"/>
      <c r="H236" s="38"/>
      <c r="I236" s="38"/>
      <c r="J236" s="38"/>
      <c r="K236" s="5"/>
      <c r="L236" s="5"/>
      <c r="M236" s="5"/>
      <c r="N236" s="38"/>
      <c r="O236" s="38"/>
      <c r="P236" s="38"/>
    </row>
    <row r="237" spans="1:16" x14ac:dyDescent="0.3">
      <c r="A237" s="38"/>
      <c r="B237" s="79" t="s">
        <v>235</v>
      </c>
      <c r="C237" s="78" t="s">
        <v>40</v>
      </c>
      <c r="D237" s="80">
        <v>8.1199999999999992</v>
      </c>
      <c r="E237" s="38"/>
      <c r="F237" s="38"/>
      <c r="G237" s="38"/>
      <c r="H237" s="38"/>
      <c r="I237" s="38"/>
      <c r="J237" s="38"/>
      <c r="K237" s="5"/>
      <c r="L237" s="5"/>
      <c r="M237" s="5"/>
      <c r="N237" s="38"/>
      <c r="O237" s="38"/>
      <c r="P237" s="38"/>
    </row>
    <row r="238" spans="1:16" x14ac:dyDescent="0.3">
      <c r="A238" s="38"/>
      <c r="B238" s="79" t="s">
        <v>84</v>
      </c>
      <c r="C238" s="78" t="s">
        <v>28</v>
      </c>
      <c r="D238" s="80">
        <v>0.33800000000000002</v>
      </c>
      <c r="E238" s="38"/>
      <c r="F238" s="38"/>
      <c r="G238" s="38"/>
      <c r="H238" s="38"/>
      <c r="I238" s="38"/>
      <c r="J238" s="38"/>
      <c r="K238" s="5"/>
      <c r="L238" s="5"/>
      <c r="M238" s="5"/>
      <c r="N238" s="38"/>
      <c r="O238" s="38"/>
      <c r="P238" s="38"/>
    </row>
    <row r="239" spans="1:16" x14ac:dyDescent="0.3">
      <c r="A239" s="38"/>
      <c r="B239" s="79" t="s">
        <v>236</v>
      </c>
      <c r="C239" s="78" t="s">
        <v>28</v>
      </c>
      <c r="D239" s="80">
        <v>1E-3</v>
      </c>
      <c r="E239" s="38"/>
      <c r="F239" s="38"/>
      <c r="G239" s="38"/>
      <c r="H239" s="38"/>
      <c r="I239" s="38"/>
      <c r="J239" s="38"/>
      <c r="K239" s="5"/>
      <c r="L239" s="5"/>
      <c r="M239" s="5"/>
      <c r="N239" s="38"/>
      <c r="O239" s="38"/>
      <c r="P239" s="38"/>
    </row>
    <row r="240" spans="1:16" x14ac:dyDescent="0.3">
      <c r="A240" s="38"/>
      <c r="B240" s="79" t="s">
        <v>237</v>
      </c>
      <c r="C240" s="78" t="s">
        <v>28</v>
      </c>
      <c r="D240" s="80">
        <v>0.157</v>
      </c>
      <c r="E240" s="38"/>
      <c r="F240" s="38"/>
      <c r="G240" s="38"/>
      <c r="H240" s="38"/>
      <c r="I240" s="38"/>
      <c r="J240" s="38"/>
      <c r="K240" s="5"/>
      <c r="L240" s="5"/>
      <c r="M240" s="5"/>
      <c r="N240" s="38"/>
      <c r="O240" s="38"/>
      <c r="P240" s="38"/>
    </row>
    <row r="241" spans="1:16" ht="26.4" x14ac:dyDescent="0.3">
      <c r="A241" s="38"/>
      <c r="B241" s="79" t="s">
        <v>238</v>
      </c>
      <c r="C241" s="78" t="s">
        <v>28</v>
      </c>
      <c r="D241" s="80">
        <v>0.154</v>
      </c>
      <c r="E241" s="38"/>
      <c r="F241" s="38"/>
      <c r="G241" s="38"/>
      <c r="H241" s="38"/>
      <c r="I241" s="38"/>
      <c r="J241" s="38"/>
      <c r="K241" s="5"/>
      <c r="L241" s="5"/>
      <c r="M241" s="5"/>
      <c r="N241" s="38"/>
      <c r="O241" s="38"/>
      <c r="P241" s="38"/>
    </row>
    <row r="242" spans="1:16" ht="26.4" x14ac:dyDescent="0.3">
      <c r="A242" s="38"/>
      <c r="B242" s="79" t="s">
        <v>239</v>
      </c>
      <c r="C242" s="78" t="s">
        <v>28</v>
      </c>
      <c r="D242" s="80">
        <v>1.4999999999999999E-2</v>
      </c>
      <c r="E242" s="38"/>
      <c r="F242" s="38"/>
      <c r="G242" s="38"/>
      <c r="H242" s="38"/>
      <c r="I242" s="38"/>
      <c r="J242" s="38"/>
      <c r="K242" s="5"/>
      <c r="L242" s="5"/>
      <c r="M242" s="5"/>
      <c r="N242" s="38"/>
      <c r="O242" s="38"/>
      <c r="P242" s="38"/>
    </row>
    <row r="243" spans="1:16" x14ac:dyDescent="0.3">
      <c r="A243" s="38"/>
      <c r="B243" s="79" t="s">
        <v>240</v>
      </c>
      <c r="C243" s="78" t="s">
        <v>28</v>
      </c>
      <c r="D243" s="80">
        <v>0.155</v>
      </c>
      <c r="E243" s="38"/>
      <c r="F243" s="38"/>
      <c r="G243" s="38"/>
      <c r="H243" s="38"/>
      <c r="I243" s="38"/>
      <c r="J243" s="38"/>
      <c r="K243" s="5"/>
      <c r="L243" s="5"/>
      <c r="M243" s="5"/>
      <c r="N243" s="38"/>
      <c r="O243" s="38"/>
      <c r="P243" s="38"/>
    </row>
    <row r="244" spans="1:16" x14ac:dyDescent="0.3">
      <c r="A244" s="38"/>
      <c r="B244" s="79" t="s">
        <v>241</v>
      </c>
      <c r="C244" s="78" t="s">
        <v>28</v>
      </c>
      <c r="D244" s="80">
        <v>0.05</v>
      </c>
      <c r="E244" s="38"/>
      <c r="F244" s="38"/>
      <c r="G244" s="38"/>
      <c r="H244" s="38"/>
      <c r="I244" s="38"/>
      <c r="J244" s="38"/>
      <c r="K244" s="5"/>
      <c r="L244" s="5"/>
      <c r="M244" s="5"/>
      <c r="N244" s="38"/>
      <c r="O244" s="38"/>
      <c r="P244" s="38"/>
    </row>
    <row r="245" spans="1:16" x14ac:dyDescent="0.3">
      <c r="A245" s="38"/>
      <c r="B245" s="79" t="s">
        <v>242</v>
      </c>
      <c r="C245" s="78" t="s">
        <v>28</v>
      </c>
      <c r="D245" s="80">
        <v>8.9999999999999993E-3</v>
      </c>
      <c r="E245" s="38"/>
      <c r="F245" s="38"/>
      <c r="G245" s="38"/>
      <c r="H245" s="38"/>
      <c r="I245" s="38"/>
      <c r="J245" s="38"/>
      <c r="K245" s="5"/>
      <c r="L245" s="5"/>
      <c r="M245" s="5"/>
      <c r="N245" s="38"/>
      <c r="O245" s="38"/>
      <c r="P245" s="38"/>
    </row>
    <row r="246" spans="1:16" ht="26.4" x14ac:dyDescent="0.3">
      <c r="A246" s="38"/>
      <c r="B246" s="79" t="s">
        <v>243</v>
      </c>
      <c r="C246" s="78" t="s">
        <v>5</v>
      </c>
      <c r="D246" s="80">
        <v>0.52800000000000002</v>
      </c>
      <c r="E246" s="38"/>
      <c r="F246" s="38"/>
      <c r="G246" s="38"/>
      <c r="H246" s="38"/>
      <c r="I246" s="38"/>
      <c r="J246" s="38"/>
      <c r="K246" s="5"/>
      <c r="L246" s="5"/>
      <c r="M246" s="5"/>
      <c r="N246" s="38"/>
      <c r="O246" s="38"/>
      <c r="P246" s="38"/>
    </row>
    <row r="247" spans="1:16" x14ac:dyDescent="0.3">
      <c r="A247" s="38"/>
      <c r="B247" s="79" t="s">
        <v>244</v>
      </c>
      <c r="C247" s="78" t="s">
        <v>16</v>
      </c>
      <c r="D247" s="80">
        <v>0.81599999999999995</v>
      </c>
      <c r="E247" s="38"/>
      <c r="F247" s="38"/>
      <c r="G247" s="38"/>
      <c r="H247" s="38"/>
      <c r="I247" s="38"/>
      <c r="J247" s="38"/>
      <c r="K247" s="5"/>
      <c r="L247" s="5"/>
      <c r="M247" s="5"/>
      <c r="N247" s="38"/>
      <c r="O247" s="38"/>
      <c r="P247" s="38"/>
    </row>
    <row r="248" spans="1:16" x14ac:dyDescent="0.3">
      <c r="A248" s="38"/>
      <c r="B248" s="79" t="s">
        <v>245</v>
      </c>
      <c r="C248" s="78" t="s">
        <v>5</v>
      </c>
      <c r="D248" s="80">
        <v>164.92</v>
      </c>
      <c r="E248" s="38"/>
      <c r="F248" s="38"/>
      <c r="G248" s="38"/>
      <c r="H248" s="38"/>
      <c r="I248" s="38"/>
      <c r="J248" s="38"/>
      <c r="K248" s="5"/>
      <c r="L248" s="5"/>
      <c r="M248" s="5"/>
      <c r="N248" s="38"/>
      <c r="O248" s="38"/>
      <c r="P248" s="38"/>
    </row>
    <row r="249" spans="1:16" x14ac:dyDescent="0.3">
      <c r="A249" s="38"/>
      <c r="B249" s="79" t="s">
        <v>246</v>
      </c>
      <c r="C249" s="78" t="s">
        <v>5</v>
      </c>
      <c r="D249" s="80">
        <v>425</v>
      </c>
      <c r="E249" s="38"/>
      <c r="F249" s="38"/>
      <c r="G249" s="38"/>
      <c r="H249" s="38"/>
      <c r="I249" s="38"/>
      <c r="J249" s="38"/>
      <c r="K249" s="5"/>
      <c r="L249" s="5"/>
      <c r="M249" s="5"/>
      <c r="N249" s="38"/>
      <c r="O249" s="38"/>
      <c r="P249" s="38"/>
    </row>
    <row r="250" spans="1:16" x14ac:dyDescent="0.3">
      <c r="A250" s="38"/>
      <c r="B250" s="79" t="s">
        <v>247</v>
      </c>
      <c r="C250" s="78" t="s">
        <v>5</v>
      </c>
      <c r="D250" s="80">
        <v>444.7</v>
      </c>
      <c r="E250" s="38"/>
      <c r="F250" s="38"/>
      <c r="G250" s="38"/>
      <c r="H250" s="38"/>
      <c r="I250" s="38"/>
      <c r="J250" s="38"/>
      <c r="K250" s="5"/>
      <c r="L250" s="5"/>
      <c r="M250" s="5"/>
      <c r="N250" s="38"/>
      <c r="O250" s="38"/>
      <c r="P250" s="38"/>
    </row>
    <row r="251" spans="1:16" x14ac:dyDescent="0.3">
      <c r="A251" s="38"/>
      <c r="B251" s="79" t="s">
        <v>248</v>
      </c>
      <c r="C251" s="78" t="s">
        <v>17</v>
      </c>
      <c r="D251" s="80">
        <v>18</v>
      </c>
      <c r="E251" s="38"/>
      <c r="F251" s="38"/>
      <c r="G251" s="38"/>
      <c r="H251" s="38"/>
      <c r="I251" s="38"/>
      <c r="J251" s="38"/>
      <c r="K251" s="5"/>
      <c r="L251" s="5"/>
      <c r="M251" s="5"/>
      <c r="N251" s="38"/>
      <c r="O251" s="38"/>
      <c r="P251" s="38"/>
    </row>
    <row r="252" spans="1:16" x14ac:dyDescent="0.3">
      <c r="A252" s="38"/>
      <c r="B252" s="79" t="s">
        <v>85</v>
      </c>
      <c r="C252" s="78" t="s">
        <v>17</v>
      </c>
      <c r="D252" s="80">
        <v>8.81</v>
      </c>
      <c r="E252" s="38"/>
      <c r="F252" s="38"/>
      <c r="G252" s="38"/>
      <c r="H252" s="38"/>
      <c r="I252" s="38"/>
      <c r="J252" s="38"/>
      <c r="K252" s="5"/>
      <c r="L252" s="5"/>
      <c r="M252" s="5"/>
      <c r="N252" s="38"/>
      <c r="O252" s="38"/>
      <c r="P252" s="38"/>
    </row>
    <row r="253" spans="1:16" x14ac:dyDescent="0.3">
      <c r="A253" s="38"/>
      <c r="B253" s="79" t="s">
        <v>249</v>
      </c>
      <c r="C253" s="78" t="s">
        <v>17</v>
      </c>
      <c r="D253" s="80">
        <v>19.259</v>
      </c>
      <c r="E253" s="38"/>
      <c r="F253" s="38"/>
      <c r="G253" s="38"/>
      <c r="H253" s="38"/>
      <c r="I253" s="38"/>
      <c r="J253" s="38"/>
      <c r="K253" s="5"/>
      <c r="L253" s="5"/>
      <c r="M253" s="5"/>
      <c r="N253" s="38"/>
      <c r="O253" s="38"/>
      <c r="P253" s="38"/>
    </row>
    <row r="254" spans="1:16" x14ac:dyDescent="0.3">
      <c r="A254" s="38"/>
      <c r="B254" s="79" t="s">
        <v>250</v>
      </c>
      <c r="C254" s="78" t="s">
        <v>17</v>
      </c>
      <c r="D254" s="80">
        <v>0.2</v>
      </c>
      <c r="E254" s="38"/>
      <c r="F254" s="38"/>
      <c r="G254" s="38"/>
      <c r="H254" s="38"/>
      <c r="I254" s="38"/>
      <c r="J254" s="38"/>
      <c r="K254" s="5"/>
      <c r="L254" s="5"/>
      <c r="M254" s="5"/>
      <c r="N254" s="38"/>
      <c r="O254" s="38"/>
      <c r="P254" s="38"/>
    </row>
    <row r="255" spans="1:16" x14ac:dyDescent="0.3">
      <c r="A255" s="38"/>
      <c r="B255" s="79" t="s">
        <v>251</v>
      </c>
      <c r="C255" s="78" t="s">
        <v>17</v>
      </c>
      <c r="D255" s="80">
        <v>29</v>
      </c>
      <c r="E255" s="38"/>
      <c r="F255" s="38"/>
      <c r="G255" s="38"/>
      <c r="H255" s="38"/>
      <c r="I255" s="38"/>
      <c r="J255" s="38"/>
      <c r="K255" s="5"/>
      <c r="L255" s="5"/>
      <c r="M255" s="5"/>
      <c r="N255" s="38"/>
      <c r="O255" s="38"/>
      <c r="P255" s="38"/>
    </row>
    <row r="256" spans="1:16" x14ac:dyDescent="0.3">
      <c r="A256" s="38"/>
      <c r="B256" s="79" t="s">
        <v>252</v>
      </c>
      <c r="C256" s="78" t="s">
        <v>17</v>
      </c>
      <c r="D256" s="80">
        <v>1E-3</v>
      </c>
      <c r="E256" s="38"/>
      <c r="F256" s="38"/>
      <c r="G256" s="38"/>
      <c r="H256" s="38"/>
      <c r="I256" s="38"/>
      <c r="J256" s="38"/>
      <c r="K256" s="5"/>
      <c r="L256" s="5"/>
      <c r="M256" s="5"/>
      <c r="N256" s="38"/>
      <c r="O256" s="38"/>
      <c r="P256" s="38"/>
    </row>
    <row r="257" spans="1:16" x14ac:dyDescent="0.3">
      <c r="A257" s="38"/>
      <c r="B257" s="79" t="s">
        <v>253</v>
      </c>
      <c r="C257" s="78" t="s">
        <v>17</v>
      </c>
      <c r="D257" s="80">
        <v>3.9180000000000001</v>
      </c>
      <c r="E257" s="38"/>
      <c r="F257" s="38"/>
      <c r="G257" s="38"/>
      <c r="H257" s="38"/>
      <c r="I257" s="38"/>
      <c r="J257" s="38"/>
      <c r="K257" s="5"/>
      <c r="L257" s="5"/>
      <c r="M257" s="5"/>
      <c r="N257" s="38"/>
      <c r="O257" s="38"/>
      <c r="P257" s="38"/>
    </row>
    <row r="258" spans="1:16" x14ac:dyDescent="0.3">
      <c r="A258" s="38"/>
      <c r="B258" s="79" t="s">
        <v>254</v>
      </c>
      <c r="C258" s="78" t="s">
        <v>17</v>
      </c>
      <c r="D258" s="80">
        <v>0.73199999999999998</v>
      </c>
      <c r="E258" s="38"/>
      <c r="F258" s="38"/>
      <c r="G258" s="38"/>
      <c r="H258" s="38"/>
      <c r="I258" s="38"/>
      <c r="J258" s="38"/>
      <c r="K258" s="5"/>
      <c r="L258" s="5"/>
      <c r="M258" s="5"/>
      <c r="N258" s="38"/>
      <c r="O258" s="38"/>
      <c r="P258" s="38"/>
    </row>
    <row r="259" spans="1:16" x14ac:dyDescent="0.3">
      <c r="A259" s="38"/>
      <c r="B259" s="79" t="s">
        <v>255</v>
      </c>
      <c r="C259" s="78" t="s">
        <v>28</v>
      </c>
      <c r="D259" s="80">
        <v>3.5000000000000003E-2</v>
      </c>
      <c r="E259" s="38"/>
      <c r="F259" s="38"/>
      <c r="G259" s="38"/>
      <c r="H259" s="38"/>
      <c r="I259" s="38"/>
      <c r="J259" s="38"/>
      <c r="K259" s="5"/>
      <c r="L259" s="5"/>
      <c r="M259" s="5"/>
      <c r="N259" s="38"/>
      <c r="O259" s="38"/>
      <c r="P259" s="38"/>
    </row>
    <row r="260" spans="1:16" x14ac:dyDescent="0.3">
      <c r="A260" s="38"/>
      <c r="B260" s="79" t="s">
        <v>256</v>
      </c>
      <c r="C260" s="78" t="s">
        <v>5</v>
      </c>
      <c r="D260" s="80">
        <v>122</v>
      </c>
      <c r="E260" s="38"/>
      <c r="F260" s="38"/>
      <c r="G260" s="38"/>
      <c r="H260" s="38"/>
      <c r="I260" s="38"/>
      <c r="J260" s="38"/>
      <c r="K260" s="5"/>
      <c r="L260" s="5"/>
      <c r="M260" s="5"/>
      <c r="N260" s="38"/>
      <c r="O260" s="38"/>
      <c r="P260" s="38"/>
    </row>
    <row r="261" spans="1:16" x14ac:dyDescent="0.3">
      <c r="A261" s="38"/>
      <c r="B261" s="79" t="s">
        <v>257</v>
      </c>
      <c r="C261" s="78" t="s">
        <v>20</v>
      </c>
      <c r="D261" s="80">
        <v>389.62</v>
      </c>
      <c r="E261" s="38"/>
      <c r="F261" s="38"/>
      <c r="G261" s="38"/>
      <c r="H261" s="38"/>
      <c r="I261" s="38"/>
      <c r="J261" s="38"/>
      <c r="K261" s="5"/>
      <c r="L261" s="5"/>
      <c r="M261" s="5"/>
      <c r="N261" s="38"/>
      <c r="O261" s="38"/>
      <c r="P261" s="38"/>
    </row>
    <row r="262" spans="1:16" x14ac:dyDescent="0.3">
      <c r="A262" s="38"/>
      <c r="B262" s="79" t="s">
        <v>258</v>
      </c>
      <c r="C262" s="78" t="s">
        <v>20</v>
      </c>
      <c r="D262" s="80">
        <v>247.5</v>
      </c>
      <c r="E262" s="38"/>
      <c r="F262" s="38"/>
      <c r="G262" s="38"/>
      <c r="H262" s="38"/>
      <c r="I262" s="38"/>
      <c r="J262" s="38"/>
      <c r="K262" s="5"/>
      <c r="L262" s="5"/>
      <c r="M262" s="5"/>
      <c r="N262" s="38"/>
      <c r="O262" s="38"/>
      <c r="P262" s="38"/>
    </row>
    <row r="263" spans="1:16" ht="26.4" x14ac:dyDescent="0.3">
      <c r="A263" s="38"/>
      <c r="B263" s="79" t="s">
        <v>259</v>
      </c>
      <c r="C263" s="78" t="s">
        <v>40</v>
      </c>
      <c r="D263" s="80">
        <v>140</v>
      </c>
      <c r="E263" s="38"/>
      <c r="F263" s="38"/>
      <c r="G263" s="38"/>
      <c r="H263" s="38"/>
      <c r="I263" s="38"/>
      <c r="J263" s="38"/>
      <c r="K263" s="5"/>
      <c r="L263" s="5"/>
      <c r="M263" s="5"/>
      <c r="N263" s="38"/>
      <c r="O263" s="38"/>
      <c r="P263" s="38"/>
    </row>
    <row r="264" spans="1:16" ht="26.4" x14ac:dyDescent="0.3">
      <c r="A264" s="38"/>
      <c r="B264" s="79" t="s">
        <v>260</v>
      </c>
      <c r="C264" s="78" t="s">
        <v>40</v>
      </c>
      <c r="D264" s="80">
        <v>92</v>
      </c>
      <c r="E264" s="38"/>
      <c r="F264" s="38"/>
      <c r="G264" s="38"/>
      <c r="H264" s="38"/>
      <c r="I264" s="38"/>
      <c r="J264" s="38"/>
      <c r="K264" s="5"/>
      <c r="L264" s="5"/>
      <c r="M264" s="5"/>
      <c r="N264" s="38"/>
      <c r="O264" s="38"/>
      <c r="P264" s="38"/>
    </row>
    <row r="265" spans="1:16" x14ac:dyDescent="0.3">
      <c r="A265" s="38"/>
      <c r="B265" s="79" t="s">
        <v>261</v>
      </c>
      <c r="C265" s="78" t="s">
        <v>20</v>
      </c>
      <c r="D265" s="80">
        <v>5.72</v>
      </c>
      <c r="E265" s="38"/>
      <c r="F265" s="38"/>
      <c r="G265" s="38"/>
      <c r="H265" s="38"/>
      <c r="I265" s="38"/>
      <c r="J265" s="38"/>
      <c r="K265" s="5"/>
      <c r="L265" s="5"/>
      <c r="M265" s="5"/>
      <c r="N265" s="38"/>
      <c r="O265" s="38"/>
      <c r="P265" s="38"/>
    </row>
    <row r="266" spans="1:16" x14ac:dyDescent="0.3">
      <c r="A266" s="38"/>
      <c r="B266" s="79" t="s">
        <v>262</v>
      </c>
      <c r="C266" s="78" t="s">
        <v>26</v>
      </c>
      <c r="D266" s="80">
        <v>5</v>
      </c>
      <c r="E266" s="38"/>
      <c r="F266" s="38"/>
      <c r="G266" s="38"/>
      <c r="H266" s="38"/>
      <c r="I266" s="38"/>
      <c r="J266" s="38"/>
      <c r="K266" s="5"/>
      <c r="L266" s="5"/>
      <c r="M266" s="5"/>
      <c r="N266" s="38"/>
      <c r="O266" s="38"/>
      <c r="P266" s="38"/>
    </row>
    <row r="267" spans="1:16" ht="26.4" x14ac:dyDescent="0.3">
      <c r="A267" s="38"/>
      <c r="B267" s="79" t="s">
        <v>263</v>
      </c>
      <c r="C267" s="78" t="s">
        <v>26</v>
      </c>
      <c r="D267" s="80">
        <v>6</v>
      </c>
      <c r="E267" s="38"/>
      <c r="F267" s="38"/>
      <c r="G267" s="38"/>
      <c r="H267" s="38"/>
      <c r="I267" s="38"/>
      <c r="J267" s="38"/>
      <c r="K267" s="5"/>
      <c r="L267" s="5"/>
      <c r="M267" s="5"/>
      <c r="N267" s="38"/>
      <c r="O267" s="38"/>
      <c r="P267" s="38"/>
    </row>
    <row r="268" spans="1:16" ht="26.4" x14ac:dyDescent="0.3">
      <c r="A268" s="38"/>
      <c r="B268" s="79" t="s">
        <v>264</v>
      </c>
      <c r="C268" s="78" t="s">
        <v>26</v>
      </c>
      <c r="D268" s="80">
        <v>1</v>
      </c>
      <c r="E268" s="38"/>
      <c r="F268" s="38"/>
      <c r="G268" s="38"/>
      <c r="H268" s="38"/>
      <c r="I268" s="38"/>
      <c r="J268" s="38"/>
      <c r="K268" s="5"/>
      <c r="L268" s="5"/>
      <c r="M268" s="5"/>
      <c r="N268" s="38"/>
      <c r="O268" s="38"/>
      <c r="P268" s="38"/>
    </row>
    <row r="269" spans="1:16" ht="26.4" x14ac:dyDescent="0.3">
      <c r="A269" s="38"/>
      <c r="B269" s="79" t="s">
        <v>265</v>
      </c>
      <c r="C269" s="78" t="s">
        <v>26</v>
      </c>
      <c r="D269" s="80">
        <v>10</v>
      </c>
      <c r="E269" s="38"/>
      <c r="F269" s="38"/>
      <c r="G269" s="38"/>
      <c r="H269" s="38"/>
      <c r="I269" s="38"/>
      <c r="J269" s="38"/>
      <c r="K269" s="5"/>
      <c r="L269" s="5"/>
      <c r="M269" s="5"/>
      <c r="N269" s="38"/>
      <c r="O269" s="38"/>
      <c r="P269" s="38"/>
    </row>
    <row r="270" spans="1:16" x14ac:dyDescent="0.3">
      <c r="A270" s="38"/>
      <c r="B270" s="79" t="s">
        <v>266</v>
      </c>
      <c r="C270" s="78" t="s">
        <v>28</v>
      </c>
      <c r="D270" s="80"/>
      <c r="E270" s="38"/>
      <c r="F270" s="38"/>
      <c r="G270" s="38"/>
      <c r="H270" s="38"/>
      <c r="I270" s="38"/>
      <c r="J270" s="38"/>
      <c r="K270" s="5"/>
      <c r="L270" s="5"/>
      <c r="M270" s="5"/>
      <c r="N270" s="38"/>
      <c r="O270" s="38"/>
      <c r="P270" s="38"/>
    </row>
    <row r="271" spans="1:16" x14ac:dyDescent="0.3">
      <c r="A271" s="38"/>
      <c r="B271" s="79" t="s">
        <v>267</v>
      </c>
      <c r="C271" s="78" t="s">
        <v>16</v>
      </c>
      <c r="D271" s="80">
        <v>649</v>
      </c>
      <c r="E271" s="38"/>
      <c r="F271" s="38"/>
      <c r="G271" s="38"/>
      <c r="H271" s="38"/>
      <c r="I271" s="38"/>
      <c r="J271" s="38"/>
      <c r="K271" s="5"/>
      <c r="L271" s="5"/>
      <c r="M271" s="5"/>
      <c r="N271" s="38"/>
      <c r="O271" s="38"/>
      <c r="P271" s="38"/>
    </row>
    <row r="272" spans="1:16" x14ac:dyDescent="0.3">
      <c r="A272" s="38"/>
      <c r="B272" s="79" t="s">
        <v>268</v>
      </c>
      <c r="C272" s="78" t="s">
        <v>28</v>
      </c>
      <c r="D272" s="80">
        <v>3.008</v>
      </c>
      <c r="E272" s="38"/>
      <c r="F272" s="38"/>
      <c r="G272" s="38"/>
      <c r="H272" s="38"/>
      <c r="I272" s="38"/>
      <c r="J272" s="38"/>
      <c r="K272" s="5"/>
      <c r="L272" s="5"/>
      <c r="M272" s="5"/>
      <c r="N272" s="38"/>
      <c r="O272" s="38"/>
      <c r="P272" s="38"/>
    </row>
    <row r="273" spans="1:16" ht="26.4" x14ac:dyDescent="0.3">
      <c r="A273" s="38"/>
      <c r="B273" s="79" t="s">
        <v>269</v>
      </c>
      <c r="C273" s="78" t="s">
        <v>28</v>
      </c>
      <c r="D273" s="80">
        <v>1.7450000000000001</v>
      </c>
      <c r="E273" s="38"/>
      <c r="F273" s="38"/>
      <c r="G273" s="38"/>
      <c r="H273" s="38"/>
      <c r="I273" s="38"/>
      <c r="J273" s="38"/>
      <c r="K273" s="5"/>
      <c r="L273" s="5"/>
      <c r="M273" s="5"/>
      <c r="N273" s="38"/>
      <c r="O273" s="38"/>
      <c r="P273" s="38"/>
    </row>
    <row r="274" spans="1:16" x14ac:dyDescent="0.3">
      <c r="A274" s="38"/>
      <c r="B274" s="79" t="s">
        <v>270</v>
      </c>
      <c r="C274" s="78" t="s">
        <v>20</v>
      </c>
      <c r="D274" s="80">
        <v>1</v>
      </c>
      <c r="E274" s="38"/>
      <c r="F274" s="38"/>
      <c r="G274" s="38"/>
      <c r="H274" s="38"/>
      <c r="I274" s="38"/>
      <c r="J274" s="38"/>
      <c r="K274" s="5"/>
      <c r="L274" s="5"/>
      <c r="M274" s="5"/>
      <c r="N274" s="38"/>
      <c r="O274" s="38"/>
      <c r="P274" s="38"/>
    </row>
    <row r="275" spans="1:16" x14ac:dyDescent="0.3">
      <c r="A275" s="38"/>
      <c r="B275" s="79" t="s">
        <v>271</v>
      </c>
      <c r="C275" s="78" t="s">
        <v>40</v>
      </c>
      <c r="D275" s="80">
        <v>2.17</v>
      </c>
      <c r="E275" s="38"/>
      <c r="F275" s="38"/>
      <c r="G275" s="38"/>
      <c r="H275" s="38"/>
      <c r="I275" s="38"/>
      <c r="J275" s="38"/>
      <c r="K275" s="5"/>
      <c r="L275" s="5"/>
      <c r="M275" s="5"/>
      <c r="N275" s="38"/>
      <c r="O275" s="38"/>
      <c r="P275" s="38"/>
    </row>
    <row r="276" spans="1:16" x14ac:dyDescent="0.3">
      <c r="A276" s="38"/>
      <c r="B276" s="79" t="s">
        <v>272</v>
      </c>
      <c r="C276" s="78" t="s">
        <v>273</v>
      </c>
      <c r="D276" s="80">
        <v>3.32</v>
      </c>
      <c r="E276" s="38"/>
      <c r="F276" s="38"/>
      <c r="G276" s="38"/>
      <c r="H276" s="38"/>
      <c r="I276" s="38"/>
      <c r="J276" s="38"/>
      <c r="K276" s="5"/>
      <c r="L276" s="5"/>
      <c r="M276" s="5"/>
      <c r="N276" s="38"/>
      <c r="O276" s="38"/>
      <c r="P276" s="38"/>
    </row>
    <row r="277" spans="1:16" x14ac:dyDescent="0.3">
      <c r="A277" s="38"/>
      <c r="B277" s="79" t="s">
        <v>274</v>
      </c>
      <c r="C277" s="78" t="s">
        <v>20</v>
      </c>
      <c r="D277" s="80">
        <v>1394.261</v>
      </c>
      <c r="E277" s="38"/>
      <c r="F277" s="38"/>
      <c r="G277" s="38"/>
      <c r="H277" s="38"/>
      <c r="I277" s="38"/>
      <c r="J277" s="38"/>
      <c r="K277" s="5"/>
      <c r="L277" s="5"/>
      <c r="M277" s="5"/>
      <c r="N277" s="38"/>
      <c r="O277" s="38"/>
      <c r="P277" s="38"/>
    </row>
    <row r="278" spans="1:16" x14ac:dyDescent="0.3">
      <c r="A278" s="38"/>
      <c r="B278" s="79" t="s">
        <v>275</v>
      </c>
      <c r="C278" s="78" t="s">
        <v>20</v>
      </c>
      <c r="D278" s="80">
        <v>11.2</v>
      </c>
      <c r="E278" s="38"/>
      <c r="F278" s="38"/>
      <c r="G278" s="38"/>
      <c r="H278" s="38"/>
      <c r="I278" s="38"/>
      <c r="J278" s="38"/>
      <c r="K278" s="5"/>
      <c r="L278" s="5"/>
      <c r="M278" s="5"/>
      <c r="N278" s="38"/>
      <c r="O278" s="38"/>
      <c r="P278" s="38"/>
    </row>
    <row r="279" spans="1:16" ht="39.6" x14ac:dyDescent="0.3">
      <c r="A279" s="38"/>
      <c r="B279" s="79" t="s">
        <v>276</v>
      </c>
      <c r="C279" s="78" t="s">
        <v>5</v>
      </c>
      <c r="D279" s="80">
        <v>9.33</v>
      </c>
      <c r="E279" s="38"/>
      <c r="F279" s="38"/>
      <c r="G279" s="38"/>
      <c r="H279" s="38"/>
      <c r="I279" s="38"/>
      <c r="J279" s="38"/>
      <c r="K279" s="5"/>
      <c r="L279" s="5"/>
      <c r="M279" s="5"/>
      <c r="N279" s="38"/>
      <c r="O279" s="38"/>
      <c r="P279" s="38"/>
    </row>
    <row r="280" spans="1:16" ht="39.6" x14ac:dyDescent="0.3">
      <c r="A280" s="38"/>
      <c r="B280" s="79" t="s">
        <v>277</v>
      </c>
      <c r="C280" s="78" t="s">
        <v>5</v>
      </c>
      <c r="D280" s="80">
        <v>44.2</v>
      </c>
      <c r="E280" s="38"/>
      <c r="F280" s="38"/>
      <c r="G280" s="38"/>
      <c r="H280" s="38"/>
      <c r="I280" s="38"/>
      <c r="J280" s="38"/>
      <c r="K280" s="5"/>
      <c r="L280" s="5"/>
      <c r="M280" s="5"/>
      <c r="N280" s="38"/>
      <c r="O280" s="38"/>
      <c r="P280" s="38"/>
    </row>
    <row r="281" spans="1:16" ht="26.4" x14ac:dyDescent="0.3">
      <c r="A281" s="38"/>
      <c r="B281" s="79" t="s">
        <v>278</v>
      </c>
      <c r="C281" s="78" t="s">
        <v>5</v>
      </c>
      <c r="D281" s="80">
        <v>11.832000000000001</v>
      </c>
      <c r="E281" s="38"/>
      <c r="F281" s="38"/>
      <c r="G281" s="38"/>
      <c r="H281" s="38"/>
      <c r="I281" s="38"/>
      <c r="J281" s="38"/>
      <c r="K281" s="5"/>
      <c r="L281" s="5"/>
      <c r="M281" s="5"/>
      <c r="N281" s="38"/>
      <c r="O281" s="38"/>
      <c r="P281" s="38"/>
    </row>
    <row r="282" spans="1:16" ht="26.4" x14ac:dyDescent="0.3">
      <c r="A282" s="38"/>
      <c r="B282" s="79" t="s">
        <v>279</v>
      </c>
      <c r="C282" s="78" t="s">
        <v>5</v>
      </c>
      <c r="D282" s="80">
        <v>9.4860000000000007</v>
      </c>
      <c r="E282" s="38"/>
      <c r="F282" s="38"/>
      <c r="G282" s="38"/>
      <c r="H282" s="38"/>
      <c r="I282" s="38"/>
      <c r="J282" s="38"/>
      <c r="K282" s="5"/>
      <c r="L282" s="5"/>
      <c r="M282" s="5"/>
      <c r="N282" s="38"/>
      <c r="O282" s="38"/>
      <c r="P282" s="38"/>
    </row>
    <row r="283" spans="1:16" x14ac:dyDescent="0.3">
      <c r="A283" s="38"/>
      <c r="B283" s="79" t="s">
        <v>280</v>
      </c>
      <c r="C283" s="78" t="s">
        <v>28</v>
      </c>
      <c r="D283" s="80">
        <v>2E-3</v>
      </c>
      <c r="E283" s="38"/>
      <c r="F283" s="38"/>
      <c r="G283" s="38"/>
      <c r="H283" s="38"/>
      <c r="I283" s="38"/>
      <c r="J283" s="38"/>
      <c r="K283" s="5"/>
      <c r="L283" s="5"/>
      <c r="M283" s="5"/>
      <c r="N283" s="38"/>
      <c r="O283" s="38"/>
      <c r="P283" s="38"/>
    </row>
    <row r="284" spans="1:16" ht="26.4" x14ac:dyDescent="0.3">
      <c r="A284" s="38"/>
      <c r="B284" s="79" t="s">
        <v>281</v>
      </c>
      <c r="C284" s="78" t="s">
        <v>199</v>
      </c>
      <c r="D284" s="80">
        <v>117</v>
      </c>
      <c r="E284" s="38"/>
      <c r="F284" s="38"/>
      <c r="G284" s="38"/>
      <c r="H284" s="38"/>
      <c r="I284" s="38"/>
      <c r="J284" s="38"/>
      <c r="K284" s="5"/>
      <c r="L284" s="5"/>
      <c r="M284" s="5"/>
      <c r="N284" s="38"/>
      <c r="O284" s="38"/>
      <c r="P284" s="38"/>
    </row>
    <row r="285" spans="1:16" x14ac:dyDescent="0.3">
      <c r="A285" s="38"/>
      <c r="B285" s="79" t="s">
        <v>282</v>
      </c>
      <c r="C285" s="78" t="s">
        <v>20</v>
      </c>
      <c r="D285" s="80">
        <v>247</v>
      </c>
      <c r="E285" s="38"/>
      <c r="F285" s="38"/>
      <c r="G285" s="38"/>
      <c r="H285" s="38"/>
      <c r="I285" s="38"/>
      <c r="J285" s="38"/>
      <c r="K285" s="5"/>
      <c r="L285" s="5"/>
      <c r="M285" s="5"/>
      <c r="N285" s="38"/>
      <c r="O285" s="38"/>
      <c r="P285" s="38"/>
    </row>
    <row r="286" spans="1:16" x14ac:dyDescent="0.3">
      <c r="A286" s="38"/>
      <c r="B286" s="79" t="s">
        <v>283</v>
      </c>
      <c r="C286" s="78" t="s">
        <v>28</v>
      </c>
      <c r="D286" s="80">
        <v>3.0000000000000001E-3</v>
      </c>
      <c r="E286" s="38"/>
      <c r="F286" s="38"/>
      <c r="G286" s="38"/>
      <c r="H286" s="38"/>
      <c r="I286" s="38"/>
      <c r="J286" s="38"/>
      <c r="K286" s="5"/>
      <c r="L286" s="5"/>
      <c r="M286" s="5"/>
      <c r="N286" s="38"/>
      <c r="O286" s="38"/>
      <c r="P286" s="38"/>
    </row>
    <row r="287" spans="1:16" x14ac:dyDescent="0.3">
      <c r="A287" s="38"/>
      <c r="B287" s="79" t="s">
        <v>284</v>
      </c>
      <c r="C287" s="78" t="s">
        <v>20</v>
      </c>
      <c r="D287" s="80">
        <v>3.97</v>
      </c>
      <c r="E287" s="38"/>
      <c r="F287" s="38"/>
      <c r="G287" s="38"/>
      <c r="H287" s="38"/>
      <c r="I287" s="38"/>
      <c r="J287" s="38"/>
      <c r="K287" s="5"/>
      <c r="L287" s="5"/>
      <c r="M287" s="5"/>
      <c r="N287" s="38"/>
      <c r="O287" s="38"/>
      <c r="P287" s="38"/>
    </row>
    <row r="288" spans="1:16" x14ac:dyDescent="0.3">
      <c r="A288" s="38"/>
      <c r="B288" s="79" t="s">
        <v>285</v>
      </c>
      <c r="C288" s="78" t="s">
        <v>16</v>
      </c>
      <c r="D288" s="80">
        <v>40</v>
      </c>
      <c r="E288" s="38"/>
      <c r="F288" s="38"/>
      <c r="G288" s="38"/>
      <c r="H288" s="38"/>
      <c r="I288" s="38"/>
      <c r="J288" s="38"/>
      <c r="K288" s="5"/>
      <c r="L288" s="5"/>
      <c r="M288" s="5"/>
      <c r="N288" s="38"/>
      <c r="O288" s="38"/>
      <c r="P288" s="38"/>
    </row>
    <row r="289" spans="1:16" x14ac:dyDescent="0.3">
      <c r="A289" s="38"/>
      <c r="B289" s="79" t="s">
        <v>286</v>
      </c>
      <c r="C289" s="78" t="s">
        <v>16</v>
      </c>
      <c r="D289" s="80">
        <v>293.41000000000003</v>
      </c>
      <c r="E289" s="38"/>
      <c r="F289" s="38"/>
      <c r="G289" s="38"/>
      <c r="H289" s="38"/>
      <c r="I289" s="38"/>
      <c r="J289" s="38"/>
      <c r="K289" s="5"/>
      <c r="L289" s="5"/>
      <c r="M289" s="5"/>
      <c r="N289" s="38"/>
      <c r="O289" s="38"/>
      <c r="P289" s="38"/>
    </row>
    <row r="290" spans="1:16" x14ac:dyDescent="0.3">
      <c r="A290" s="38"/>
      <c r="B290" s="79" t="s">
        <v>287</v>
      </c>
      <c r="C290" s="78" t="s">
        <v>28</v>
      </c>
      <c r="D290" s="80">
        <v>0.24099999999999999</v>
      </c>
      <c r="E290" s="38"/>
      <c r="F290" s="38"/>
      <c r="G290" s="38"/>
      <c r="H290" s="38"/>
      <c r="I290" s="38"/>
      <c r="J290" s="38"/>
      <c r="K290" s="5"/>
      <c r="L290" s="5"/>
      <c r="M290" s="5"/>
      <c r="N290" s="38"/>
      <c r="O290" s="38"/>
      <c r="P290" s="38"/>
    </row>
    <row r="291" spans="1:16" x14ac:dyDescent="0.3">
      <c r="A291" s="38"/>
      <c r="B291" s="79" t="s">
        <v>288</v>
      </c>
      <c r="C291" s="78" t="s">
        <v>28</v>
      </c>
      <c r="D291" s="80">
        <v>2.3E-2</v>
      </c>
      <c r="E291" s="38"/>
      <c r="F291" s="38"/>
      <c r="G291" s="38"/>
      <c r="H291" s="38"/>
      <c r="I291" s="38"/>
      <c r="J291" s="38"/>
      <c r="K291" s="5"/>
      <c r="L291" s="5"/>
      <c r="M291" s="5"/>
      <c r="N291" s="38"/>
      <c r="O291" s="38"/>
      <c r="P291" s="38"/>
    </row>
    <row r="292" spans="1:16" x14ac:dyDescent="0.3">
      <c r="A292" s="38"/>
      <c r="B292" s="79" t="s">
        <v>289</v>
      </c>
      <c r="C292" s="78" t="s">
        <v>40</v>
      </c>
      <c r="D292" s="80">
        <v>2933</v>
      </c>
      <c r="E292" s="38"/>
      <c r="F292" s="38"/>
      <c r="G292" s="38"/>
      <c r="H292" s="38"/>
      <c r="I292" s="38"/>
      <c r="J292" s="38"/>
      <c r="K292" s="5"/>
      <c r="L292" s="5"/>
      <c r="M292" s="5"/>
      <c r="N292" s="38"/>
      <c r="O292" s="38"/>
      <c r="P292" s="38"/>
    </row>
    <row r="293" spans="1:16" x14ac:dyDescent="0.3">
      <c r="A293" s="38"/>
      <c r="B293" s="79" t="s">
        <v>290</v>
      </c>
      <c r="C293" s="78" t="s">
        <v>40</v>
      </c>
      <c r="D293" s="80">
        <v>6104</v>
      </c>
      <c r="E293" s="38"/>
      <c r="F293" s="38"/>
      <c r="G293" s="38"/>
      <c r="H293" s="38"/>
      <c r="I293" s="38"/>
      <c r="J293" s="38"/>
      <c r="K293" s="5"/>
      <c r="L293" s="5"/>
      <c r="M293" s="5"/>
      <c r="N293" s="38"/>
      <c r="O293" s="38"/>
      <c r="P293" s="38"/>
    </row>
    <row r="294" spans="1:16" x14ac:dyDescent="0.3">
      <c r="A294" s="38"/>
      <c r="B294" s="79" t="s">
        <v>291</v>
      </c>
      <c r="C294" s="78" t="s">
        <v>40</v>
      </c>
      <c r="D294" s="80">
        <v>898</v>
      </c>
      <c r="E294" s="38"/>
      <c r="F294" s="38"/>
      <c r="G294" s="38"/>
      <c r="H294" s="38"/>
      <c r="I294" s="38"/>
      <c r="J294" s="38"/>
      <c r="K294" s="5"/>
      <c r="L294" s="5"/>
      <c r="M294" s="5"/>
      <c r="N294" s="38"/>
      <c r="O294" s="38"/>
      <c r="P294" s="38"/>
    </row>
    <row r="295" spans="1:16" x14ac:dyDescent="0.3">
      <c r="A295" s="38"/>
      <c r="B295" s="79" t="s">
        <v>292</v>
      </c>
      <c r="C295" s="78" t="s">
        <v>28</v>
      </c>
      <c r="D295" s="80"/>
      <c r="E295" s="38"/>
      <c r="F295" s="38"/>
      <c r="G295" s="38"/>
      <c r="H295" s="38"/>
      <c r="I295" s="38"/>
      <c r="J295" s="38"/>
      <c r="K295" s="5"/>
      <c r="L295" s="5"/>
      <c r="M295" s="5"/>
      <c r="N295" s="38"/>
      <c r="O295" s="38"/>
      <c r="P295" s="38"/>
    </row>
    <row r="296" spans="1:16" x14ac:dyDescent="0.3">
      <c r="A296" s="38"/>
      <c r="B296" s="79" t="s">
        <v>293</v>
      </c>
      <c r="C296" s="78" t="s">
        <v>40</v>
      </c>
      <c r="D296" s="80">
        <v>6168</v>
      </c>
      <c r="E296" s="38"/>
      <c r="F296" s="38"/>
      <c r="G296" s="38"/>
      <c r="H296" s="38"/>
      <c r="I296" s="38"/>
      <c r="J296" s="38"/>
      <c r="K296" s="5"/>
      <c r="L296" s="5"/>
      <c r="M296" s="5"/>
      <c r="N296" s="38"/>
      <c r="O296" s="38"/>
      <c r="P296" s="38"/>
    </row>
    <row r="297" spans="1:16" x14ac:dyDescent="0.3">
      <c r="A297" s="38"/>
      <c r="B297" s="79" t="s">
        <v>294</v>
      </c>
      <c r="C297" s="78" t="s">
        <v>175</v>
      </c>
      <c r="D297" s="80">
        <v>20.7</v>
      </c>
      <c r="E297" s="38"/>
      <c r="F297" s="38"/>
      <c r="G297" s="38"/>
      <c r="H297" s="38"/>
      <c r="I297" s="38"/>
      <c r="J297" s="38"/>
      <c r="K297" s="5"/>
      <c r="L297" s="5"/>
      <c r="M297" s="5"/>
      <c r="N297" s="38"/>
      <c r="O297" s="38"/>
      <c r="P297" s="38"/>
    </row>
    <row r="298" spans="1:16" ht="26.4" x14ac:dyDescent="0.3">
      <c r="A298" s="38"/>
      <c r="B298" s="79" t="s">
        <v>295</v>
      </c>
      <c r="C298" s="78" t="s">
        <v>175</v>
      </c>
      <c r="D298" s="80">
        <v>313</v>
      </c>
      <c r="E298" s="38"/>
      <c r="F298" s="38"/>
      <c r="G298" s="38"/>
      <c r="H298" s="38"/>
      <c r="I298" s="38"/>
      <c r="J298" s="38"/>
      <c r="K298" s="5"/>
      <c r="L298" s="5"/>
      <c r="M298" s="5"/>
      <c r="N298" s="38"/>
      <c r="O298" s="38"/>
      <c r="P298" s="38"/>
    </row>
    <row r="299" spans="1:16" x14ac:dyDescent="0.3">
      <c r="A299" s="38"/>
      <c r="B299" s="79" t="s">
        <v>296</v>
      </c>
      <c r="C299" s="78" t="s">
        <v>20</v>
      </c>
      <c r="D299" s="80">
        <v>212.16499999999999</v>
      </c>
      <c r="E299" s="38"/>
      <c r="F299" s="38"/>
      <c r="G299" s="38"/>
      <c r="H299" s="38"/>
      <c r="I299" s="38"/>
      <c r="J299" s="38"/>
      <c r="K299" s="5"/>
      <c r="L299" s="5"/>
      <c r="M299" s="5"/>
      <c r="N299" s="38"/>
      <c r="O299" s="38"/>
      <c r="P299" s="38"/>
    </row>
    <row r="300" spans="1:16" x14ac:dyDescent="0.3">
      <c r="A300" s="38"/>
      <c r="B300" s="79" t="s">
        <v>297</v>
      </c>
      <c r="C300" s="78" t="s">
        <v>20</v>
      </c>
      <c r="D300" s="80">
        <v>1.1100000000000001</v>
      </c>
      <c r="E300" s="38"/>
      <c r="F300" s="38"/>
      <c r="G300" s="38"/>
      <c r="H300" s="38"/>
      <c r="I300" s="38"/>
      <c r="J300" s="38"/>
      <c r="K300" s="5"/>
      <c r="L300" s="5"/>
      <c r="M300" s="5"/>
      <c r="N300" s="38"/>
      <c r="O300" s="38"/>
      <c r="P300" s="38"/>
    </row>
    <row r="301" spans="1:16" x14ac:dyDescent="0.3">
      <c r="A301" s="38"/>
      <c r="B301" s="79" t="s">
        <v>298</v>
      </c>
      <c r="C301" s="78" t="s">
        <v>28</v>
      </c>
      <c r="D301" s="80">
        <v>0.38800000000000001</v>
      </c>
      <c r="E301" s="38"/>
      <c r="F301" s="38"/>
      <c r="G301" s="38"/>
      <c r="H301" s="38"/>
      <c r="I301" s="38"/>
      <c r="J301" s="38"/>
      <c r="K301" s="5"/>
      <c r="L301" s="5"/>
      <c r="M301" s="5"/>
      <c r="N301" s="38"/>
      <c r="O301" s="38"/>
      <c r="P301" s="38"/>
    </row>
    <row r="302" spans="1:16" x14ac:dyDescent="0.3">
      <c r="A302" s="38"/>
      <c r="B302" s="79" t="s">
        <v>299</v>
      </c>
      <c r="C302" s="78" t="s">
        <v>28</v>
      </c>
      <c r="D302" s="80">
        <v>8.0000000000000002E-3</v>
      </c>
      <c r="E302" s="38"/>
      <c r="F302" s="38"/>
      <c r="G302" s="38"/>
      <c r="H302" s="38"/>
      <c r="I302" s="38"/>
      <c r="J302" s="38"/>
      <c r="K302" s="5"/>
      <c r="L302" s="5"/>
      <c r="M302" s="5"/>
      <c r="N302" s="38"/>
      <c r="O302" s="38"/>
      <c r="P302" s="38"/>
    </row>
    <row r="303" spans="1:16" x14ac:dyDescent="0.3">
      <c r="A303" s="38"/>
      <c r="B303" s="79" t="s">
        <v>300</v>
      </c>
      <c r="C303" s="78" t="s">
        <v>28</v>
      </c>
      <c r="D303" s="80">
        <v>1.0999999999999999E-2</v>
      </c>
      <c r="E303" s="38"/>
      <c r="F303" s="38"/>
      <c r="G303" s="38"/>
      <c r="H303" s="38"/>
      <c r="I303" s="38"/>
      <c r="J303" s="38"/>
      <c r="K303" s="5"/>
      <c r="L303" s="5"/>
      <c r="M303" s="5"/>
      <c r="N303" s="38"/>
      <c r="O303" s="38"/>
      <c r="P303" s="38"/>
    </row>
    <row r="304" spans="1:16" x14ac:dyDescent="0.3">
      <c r="A304" s="38"/>
      <c r="B304" s="79" t="s">
        <v>301</v>
      </c>
      <c r="C304" s="78" t="s">
        <v>28</v>
      </c>
      <c r="D304" s="80">
        <v>2.3E-2</v>
      </c>
      <c r="E304" s="38"/>
      <c r="F304" s="38"/>
      <c r="G304" s="38"/>
      <c r="H304" s="38"/>
      <c r="I304" s="38"/>
      <c r="J304" s="38"/>
      <c r="K304" s="5"/>
      <c r="L304" s="5"/>
      <c r="M304" s="5"/>
      <c r="N304" s="38"/>
      <c r="O304" s="38"/>
      <c r="P304" s="38"/>
    </row>
    <row r="305" spans="1:16" x14ac:dyDescent="0.3">
      <c r="A305" s="38"/>
      <c r="B305" s="79" t="s">
        <v>302</v>
      </c>
      <c r="C305" s="78" t="s">
        <v>28</v>
      </c>
      <c r="D305" s="80">
        <v>4.9000000000000002E-2</v>
      </c>
      <c r="E305" s="38"/>
      <c r="F305" s="38"/>
      <c r="G305" s="38"/>
      <c r="H305" s="38"/>
      <c r="I305" s="38"/>
      <c r="J305" s="38"/>
      <c r="K305" s="5"/>
      <c r="L305" s="5"/>
      <c r="M305" s="5"/>
      <c r="N305" s="38"/>
      <c r="O305" s="38"/>
      <c r="P305" s="38"/>
    </row>
  </sheetData>
  <mergeCells count="11">
    <mergeCell ref="K2:L3"/>
    <mergeCell ref="O2:P3"/>
    <mergeCell ref="A2:A4"/>
    <mergeCell ref="F2:J2"/>
    <mergeCell ref="F3:G3"/>
    <mergeCell ref="H3:H4"/>
    <mergeCell ref="I3:J3"/>
    <mergeCell ref="B2:B4"/>
    <mergeCell ref="C2:C4"/>
    <mergeCell ref="D2:D4"/>
    <mergeCell ref="E2:E4"/>
  </mergeCells>
  <pageMargins left="0.7" right="0.7" top="0.75" bottom="0.75" header="0.3" footer="0.3"/>
  <pageSetup paperSize="9" scale="5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183"/>
  <sheetViews>
    <sheetView zoomScale="80" zoomScaleNormal="80" zoomScaleSheetLayoutView="77" workbookViewId="0">
      <pane ySplit="4" topLeftCell="A5" activePane="bottomLeft" state="frozen"/>
      <selection activeCell="B58" activeCellId="1" sqref="A20:B21 B58"/>
      <selection pane="bottomLeft" activeCell="B58" activeCellId="1" sqref="A20:B21 B58"/>
    </sheetView>
  </sheetViews>
  <sheetFormatPr defaultRowHeight="18" outlineLevelRow="2" x14ac:dyDescent="0.35"/>
  <cols>
    <col min="1" max="1" width="6.109375" customWidth="1"/>
    <col min="2" max="2" width="75.109375" customWidth="1"/>
    <col min="3" max="3" width="8.88671875" style="106" customWidth="1"/>
    <col min="4" max="4" width="12.44140625" style="108" customWidth="1"/>
    <col min="5" max="5" width="16" customWidth="1"/>
    <col min="6" max="6" width="12.44140625" style="106" customWidth="1"/>
    <col min="7" max="7" width="16.5546875" style="112" customWidth="1"/>
    <col min="8" max="8" width="9.88671875" style="106" customWidth="1"/>
    <col min="9" max="9" width="10.44140625" style="108" customWidth="1"/>
    <col min="10" max="10" width="11.6640625" style="106" customWidth="1"/>
    <col min="11" max="11" width="16.33203125" style="90" customWidth="1"/>
    <col min="12" max="12" width="9.44140625" style="106" customWidth="1"/>
    <col min="13" max="13" width="11.33203125" style="108" customWidth="1"/>
    <col min="14" max="14" width="11.109375" style="106" customWidth="1"/>
    <col min="15" max="15" width="16.33203125" style="120" customWidth="1"/>
    <col min="16" max="16" width="8.88671875" customWidth="1"/>
    <col min="17" max="17" width="12.44140625" style="91" customWidth="1"/>
    <col min="18" max="18" width="11.5546875" customWidth="1"/>
    <col min="19" max="19" width="16.33203125" style="90" customWidth="1"/>
    <col min="20" max="20" width="11.33203125" style="91" customWidth="1"/>
    <col min="21" max="21" width="11.44140625" style="1" customWidth="1"/>
    <col min="22" max="22" width="18.5546875" style="94" customWidth="1"/>
    <col min="23" max="23" width="11.88671875" style="91" customWidth="1"/>
    <col min="24" max="24" width="14.33203125" style="1" customWidth="1"/>
    <col min="25" max="25" width="18" style="94" customWidth="1"/>
    <col min="26" max="26" width="10.5546875" style="102" customWidth="1"/>
    <col min="27" max="27" width="10.5546875" style="1" customWidth="1"/>
    <col min="28" max="28" width="15.33203125" style="131" customWidth="1"/>
    <col min="29" max="29" width="10.5546875" style="102" customWidth="1"/>
    <col min="30" max="30" width="10.5546875" customWidth="1"/>
    <col min="31" max="31" width="15.5546875" style="131" customWidth="1"/>
    <col min="33" max="33" width="12.109375" customWidth="1"/>
  </cols>
  <sheetData>
    <row r="1" spans="1:31" ht="23.4" x14ac:dyDescent="0.35">
      <c r="B1" s="133" t="s">
        <v>322</v>
      </c>
      <c r="G1" s="106"/>
      <c r="K1" s="130"/>
      <c r="O1" s="108"/>
      <c r="R1" s="130"/>
      <c r="S1" s="130"/>
      <c r="T1" s="130"/>
      <c r="U1" s="130"/>
      <c r="V1" s="130"/>
      <c r="W1" s="130"/>
      <c r="X1" s="130"/>
      <c r="Y1" s="130"/>
      <c r="AA1" s="130"/>
      <c r="AB1" s="130"/>
      <c r="AD1" s="130"/>
      <c r="AE1" s="130"/>
    </row>
    <row r="2" spans="1:31" ht="25.5" customHeight="1" x14ac:dyDescent="0.3">
      <c r="A2" s="1213" t="s">
        <v>13</v>
      </c>
      <c r="B2" s="1219" t="s">
        <v>1</v>
      </c>
      <c r="C2" s="1222" t="s">
        <v>0</v>
      </c>
      <c r="D2" s="1249" t="s">
        <v>4</v>
      </c>
      <c r="E2" s="1223" t="s">
        <v>11</v>
      </c>
      <c r="F2" s="1245" t="s">
        <v>303</v>
      </c>
      <c r="G2" s="1246"/>
      <c r="H2" s="1227" t="s">
        <v>304</v>
      </c>
      <c r="I2" s="1228"/>
      <c r="J2" s="1228"/>
      <c r="K2" s="1228"/>
      <c r="L2" s="1228"/>
      <c r="M2" s="1228"/>
      <c r="N2" s="1228"/>
      <c r="O2" s="1228"/>
      <c r="P2" s="1228"/>
      <c r="Q2" s="1228"/>
      <c r="R2" s="1228"/>
      <c r="S2" s="1229"/>
      <c r="T2" s="1230" t="s">
        <v>321</v>
      </c>
      <c r="U2" s="1231"/>
      <c r="V2" s="1231"/>
      <c r="W2" s="1231"/>
      <c r="X2" s="1231"/>
      <c r="Y2" s="1232"/>
      <c r="Z2" s="1233" t="s">
        <v>318</v>
      </c>
      <c r="AA2" s="1234"/>
      <c r="AB2" s="1234"/>
      <c r="AC2" s="1234"/>
      <c r="AD2" s="1234"/>
      <c r="AE2" s="1235"/>
    </row>
    <row r="3" spans="1:31" ht="42.75" customHeight="1" x14ac:dyDescent="0.3">
      <c r="A3" s="1214"/>
      <c r="B3" s="1220"/>
      <c r="C3" s="1222"/>
      <c r="D3" s="1249"/>
      <c r="E3" s="1223"/>
      <c r="F3" s="1247"/>
      <c r="G3" s="1248"/>
      <c r="H3" s="1236" t="s">
        <v>305</v>
      </c>
      <c r="I3" s="1237"/>
      <c r="J3" s="1237"/>
      <c r="K3" s="1238"/>
      <c r="L3" s="1236" t="s">
        <v>306</v>
      </c>
      <c r="M3" s="1237"/>
      <c r="N3" s="1237"/>
      <c r="O3" s="1238"/>
      <c r="P3" s="1236" t="s">
        <v>307</v>
      </c>
      <c r="Q3" s="1237"/>
      <c r="R3" s="1237"/>
      <c r="S3" s="1238"/>
      <c r="T3" s="1239" t="s">
        <v>313</v>
      </c>
      <c r="U3" s="1240"/>
      <c r="V3" s="1241"/>
      <c r="W3" s="1239" t="s">
        <v>314</v>
      </c>
      <c r="X3" s="1240"/>
      <c r="Y3" s="1241"/>
      <c r="Z3" s="1242" t="s">
        <v>319</v>
      </c>
      <c r="AA3" s="1243"/>
      <c r="AB3" s="1244"/>
      <c r="AC3" s="1242" t="s">
        <v>320</v>
      </c>
      <c r="AD3" s="1243"/>
      <c r="AE3" s="1244"/>
    </row>
    <row r="4" spans="1:31" ht="31.2" x14ac:dyDescent="0.3">
      <c r="A4" s="1215"/>
      <c r="B4" s="1221"/>
      <c r="C4" s="1222"/>
      <c r="D4" s="1249"/>
      <c r="E4" s="1223"/>
      <c r="F4" s="16" t="s">
        <v>308</v>
      </c>
      <c r="G4" s="15" t="s">
        <v>310</v>
      </c>
      <c r="H4" s="88" t="s">
        <v>312</v>
      </c>
      <c r="I4" s="88" t="s">
        <v>311</v>
      </c>
      <c r="J4" s="88" t="s">
        <v>317</v>
      </c>
      <c r="K4" s="129" t="s">
        <v>309</v>
      </c>
      <c r="L4" s="88" t="s">
        <v>312</v>
      </c>
      <c r="M4" s="88" t="s">
        <v>311</v>
      </c>
      <c r="N4" s="88" t="s">
        <v>317</v>
      </c>
      <c r="O4" s="117" t="s">
        <v>310</v>
      </c>
      <c r="P4" s="88" t="s">
        <v>312</v>
      </c>
      <c r="Q4" s="88" t="s">
        <v>311</v>
      </c>
      <c r="R4" s="88" t="s">
        <v>317</v>
      </c>
      <c r="S4" s="128" t="s">
        <v>310</v>
      </c>
      <c r="T4" s="87" t="s">
        <v>311</v>
      </c>
      <c r="U4" s="14" t="s">
        <v>317</v>
      </c>
      <c r="V4" s="14" t="s">
        <v>315</v>
      </c>
      <c r="W4" s="87" t="s">
        <v>311</v>
      </c>
      <c r="X4" s="14" t="s">
        <v>317</v>
      </c>
      <c r="Y4" s="14" t="s">
        <v>316</v>
      </c>
      <c r="Z4" s="132" t="s">
        <v>311</v>
      </c>
      <c r="AA4" s="132" t="s">
        <v>317</v>
      </c>
      <c r="AB4" s="132" t="s">
        <v>316</v>
      </c>
      <c r="AC4" s="132" t="s">
        <v>311</v>
      </c>
      <c r="AD4" s="132" t="s">
        <v>317</v>
      </c>
      <c r="AE4" s="132" t="s">
        <v>316</v>
      </c>
    </row>
    <row r="5" spans="1:31" s="95" customFormat="1" x14ac:dyDescent="0.35">
      <c r="A5" s="98"/>
      <c r="B5" s="113"/>
      <c r="C5" s="107"/>
      <c r="D5" s="109"/>
      <c r="E5" s="98"/>
      <c r="F5" s="107"/>
      <c r="G5" s="111"/>
      <c r="H5" s="107"/>
      <c r="I5" s="109"/>
      <c r="J5" s="107"/>
      <c r="K5" s="97"/>
      <c r="L5" s="107"/>
      <c r="M5" s="109"/>
      <c r="N5" s="107"/>
      <c r="O5" s="119"/>
      <c r="P5" s="98"/>
      <c r="Q5" s="96"/>
      <c r="R5" s="99"/>
      <c r="S5" s="97"/>
      <c r="T5" s="96"/>
      <c r="U5" s="100"/>
      <c r="V5" s="100"/>
      <c r="W5" s="96"/>
      <c r="X5" s="100"/>
      <c r="Y5" s="100"/>
      <c r="Z5" s="105"/>
      <c r="AA5" s="100"/>
      <c r="AB5" s="100"/>
      <c r="AC5" s="105"/>
      <c r="AD5" s="100"/>
      <c r="AE5" s="100"/>
    </row>
    <row r="6" spans="1:31" ht="20.25" customHeight="1" x14ac:dyDescent="0.3">
      <c r="A6" s="18"/>
      <c r="B6" s="1224" t="s">
        <v>743</v>
      </c>
      <c r="C6" s="1225"/>
      <c r="D6" s="1225"/>
      <c r="E6" s="1225"/>
      <c r="F6" s="1226"/>
      <c r="G6" s="122">
        <f>SUM(G7:G8)</f>
        <v>941.77</v>
      </c>
      <c r="H6" s="21"/>
      <c r="I6" s="21"/>
      <c r="J6" s="21"/>
      <c r="K6" s="123">
        <f>SUM(K7:K8)</f>
        <v>0</v>
      </c>
      <c r="L6" s="21"/>
      <c r="M6" s="21"/>
      <c r="N6" s="21"/>
      <c r="O6" s="123">
        <f>SUM(O7:O8)</f>
        <v>0</v>
      </c>
      <c r="P6" s="21"/>
      <c r="Q6" s="21"/>
      <c r="R6" s="21"/>
      <c r="S6" s="123">
        <f>SUM(S7:S8)</f>
        <v>4660</v>
      </c>
      <c r="T6" s="21"/>
      <c r="U6" s="25"/>
      <c r="V6" s="14"/>
      <c r="W6" s="21"/>
      <c r="X6" s="25"/>
      <c r="Y6" s="14"/>
      <c r="Z6" s="103"/>
      <c r="AA6" s="25"/>
      <c r="AB6" s="132"/>
      <c r="AC6" s="103"/>
      <c r="AD6" s="25"/>
      <c r="AE6" s="132"/>
    </row>
    <row r="7" spans="1:31" outlineLevel="2" x14ac:dyDescent="0.35">
      <c r="B7" s="135" t="s">
        <v>760</v>
      </c>
      <c r="C7" s="44" t="s">
        <v>5</v>
      </c>
      <c r="D7" s="45">
        <v>80</v>
      </c>
      <c r="E7" s="64"/>
      <c r="F7" s="110">
        <f t="shared" ref="F7:F17" si="0">ROUND(G7/D7,0)</f>
        <v>9</v>
      </c>
      <c r="G7" s="139">
        <v>733.6</v>
      </c>
      <c r="H7" s="116"/>
      <c r="I7" s="115"/>
      <c r="J7" s="110">
        <f t="shared" ref="J7:J17" si="1">ROUND(F7*H7*0.7958,0)</f>
        <v>0</v>
      </c>
      <c r="K7" s="114">
        <f t="shared" ref="K7:K17" si="2">ROUND(I7*H7*F7*0.7958,0)</f>
        <v>0</v>
      </c>
      <c r="L7" s="116"/>
      <c r="M7" s="115"/>
      <c r="N7" s="110">
        <f t="shared" ref="N7:N17" si="3">ROUND(F7*L7*0.7958,0)</f>
        <v>0</v>
      </c>
      <c r="O7" s="118">
        <f t="shared" ref="O7:O17" si="4">ROUND(M7*L7*F7*0.7958,0)</f>
        <v>0</v>
      </c>
      <c r="P7" s="136">
        <v>6.31</v>
      </c>
      <c r="Q7" s="92">
        <f t="shared" ref="Q7:Q17" si="5">D7-I7-M7</f>
        <v>80</v>
      </c>
      <c r="R7" s="47">
        <f t="shared" ref="R7:R17" si="6">ROUND(F7*P7*0.7958,0)</f>
        <v>45</v>
      </c>
      <c r="S7" s="89">
        <f t="shared" ref="S7:S17" si="7">ROUND(Q7*P7*F7*0.7958,0)</f>
        <v>3615</v>
      </c>
      <c r="T7" s="93"/>
      <c r="U7" s="137"/>
      <c r="V7" s="134"/>
      <c r="W7" s="93"/>
      <c r="X7" s="137"/>
      <c r="Y7" s="134"/>
      <c r="Z7" s="104"/>
      <c r="AA7" s="5"/>
      <c r="AB7" s="101">
        <f t="shared" ref="AB7:AB17" si="8">ROUND(Z7*AA7,0)</f>
        <v>0</v>
      </c>
      <c r="AC7" s="138"/>
      <c r="AD7" s="42"/>
      <c r="AE7" s="101">
        <f t="shared" ref="AE7:AE17" si="9">ROUND(AC7*AD7,0)</f>
        <v>0</v>
      </c>
    </row>
    <row r="8" spans="1:31" outlineLevel="2" x14ac:dyDescent="0.35">
      <c r="B8" s="135" t="s">
        <v>730</v>
      </c>
      <c r="C8" s="44" t="s">
        <v>28</v>
      </c>
      <c r="D8" s="45">
        <v>4.3400000000000001E-2</v>
      </c>
      <c r="E8" s="64"/>
      <c r="F8" s="110">
        <f t="shared" si="0"/>
        <v>4797</v>
      </c>
      <c r="G8" s="139">
        <v>208.17</v>
      </c>
      <c r="H8" s="116"/>
      <c r="I8" s="115"/>
      <c r="J8" s="110">
        <f t="shared" si="1"/>
        <v>0</v>
      </c>
      <c r="K8" s="114">
        <f t="shared" si="2"/>
        <v>0</v>
      </c>
      <c r="L8" s="116"/>
      <c r="M8" s="115"/>
      <c r="N8" s="110">
        <f t="shared" si="3"/>
        <v>0</v>
      </c>
      <c r="O8" s="118">
        <f t="shared" si="4"/>
        <v>0</v>
      </c>
      <c r="P8" s="136">
        <v>6.31</v>
      </c>
      <c r="Q8" s="92">
        <f t="shared" si="5"/>
        <v>4.3400000000000001E-2</v>
      </c>
      <c r="R8" s="47">
        <f t="shared" si="6"/>
        <v>24088</v>
      </c>
      <c r="S8" s="89">
        <f t="shared" si="7"/>
        <v>1045</v>
      </c>
      <c r="T8" s="93"/>
      <c r="U8" s="137"/>
      <c r="V8" s="134"/>
      <c r="W8" s="93"/>
      <c r="X8" s="137"/>
      <c r="Y8" s="134"/>
      <c r="Z8" s="104"/>
      <c r="AA8" s="5"/>
      <c r="AB8" s="101">
        <f t="shared" si="8"/>
        <v>0</v>
      </c>
      <c r="AC8" s="138"/>
      <c r="AD8" s="42"/>
      <c r="AE8" s="101">
        <f t="shared" si="9"/>
        <v>0</v>
      </c>
    </row>
    <row r="9" spans="1:31" x14ac:dyDescent="0.35">
      <c r="E9" s="64"/>
      <c r="F9" s="110" t="e">
        <f t="shared" si="0"/>
        <v>#DIV/0!</v>
      </c>
      <c r="G9" s="124"/>
      <c r="H9" s="116"/>
      <c r="I9" s="115"/>
      <c r="J9" s="110" t="e">
        <f t="shared" si="1"/>
        <v>#DIV/0!</v>
      </c>
      <c r="K9" s="114" t="e">
        <f t="shared" si="2"/>
        <v>#DIV/0!</v>
      </c>
      <c r="L9" s="116"/>
      <c r="M9" s="115"/>
      <c r="N9" s="110" t="e">
        <f t="shared" si="3"/>
        <v>#DIV/0!</v>
      </c>
      <c r="O9" s="118" t="e">
        <f t="shared" si="4"/>
        <v>#DIV/0!</v>
      </c>
      <c r="P9" s="121"/>
      <c r="Q9" s="92">
        <f t="shared" si="5"/>
        <v>0</v>
      </c>
      <c r="R9" s="47" t="e">
        <f t="shared" si="6"/>
        <v>#DIV/0!</v>
      </c>
      <c r="S9" s="89" t="e">
        <f t="shared" si="7"/>
        <v>#DIV/0!</v>
      </c>
      <c r="T9" s="93"/>
      <c r="U9" s="137"/>
      <c r="V9" s="134"/>
      <c r="W9" s="93"/>
      <c r="X9" s="137"/>
      <c r="Y9" s="134"/>
      <c r="Z9" s="104"/>
      <c r="AA9" s="5"/>
      <c r="AB9" s="101">
        <f t="shared" si="8"/>
        <v>0</v>
      </c>
      <c r="AC9" s="138"/>
      <c r="AD9" s="42"/>
      <c r="AE9" s="101">
        <f t="shared" si="9"/>
        <v>0</v>
      </c>
    </row>
    <row r="10" spans="1:31" x14ac:dyDescent="0.35">
      <c r="E10" s="64"/>
      <c r="F10" s="110" t="e">
        <f t="shared" si="0"/>
        <v>#DIV/0!</v>
      </c>
      <c r="G10" s="124"/>
      <c r="H10" s="116"/>
      <c r="I10" s="115"/>
      <c r="J10" s="110" t="e">
        <f t="shared" si="1"/>
        <v>#DIV/0!</v>
      </c>
      <c r="K10" s="114" t="e">
        <f t="shared" si="2"/>
        <v>#DIV/0!</v>
      </c>
      <c r="L10" s="116"/>
      <c r="M10" s="115"/>
      <c r="N10" s="110" t="e">
        <f t="shared" si="3"/>
        <v>#DIV/0!</v>
      </c>
      <c r="O10" s="118" t="e">
        <f t="shared" si="4"/>
        <v>#DIV/0!</v>
      </c>
      <c r="P10" s="121"/>
      <c r="Q10" s="92">
        <f t="shared" si="5"/>
        <v>0</v>
      </c>
      <c r="R10" s="47" t="e">
        <f t="shared" si="6"/>
        <v>#DIV/0!</v>
      </c>
      <c r="S10" s="89" t="e">
        <f t="shared" si="7"/>
        <v>#DIV/0!</v>
      </c>
      <c r="T10" s="93"/>
      <c r="U10" s="137"/>
      <c r="V10" s="134"/>
      <c r="W10" s="93"/>
      <c r="X10" s="137"/>
      <c r="Y10" s="134"/>
      <c r="Z10" s="104"/>
      <c r="AA10" s="5"/>
      <c r="AB10" s="101">
        <f t="shared" si="8"/>
        <v>0</v>
      </c>
      <c r="AC10" s="138"/>
      <c r="AD10" s="42"/>
      <c r="AE10" s="101">
        <f t="shared" si="9"/>
        <v>0</v>
      </c>
    </row>
    <row r="11" spans="1:31" x14ac:dyDescent="0.35">
      <c r="E11" s="64"/>
      <c r="F11" s="110" t="e">
        <f t="shared" si="0"/>
        <v>#DIV/0!</v>
      </c>
      <c r="G11" s="124"/>
      <c r="H11" s="116"/>
      <c r="I11" s="115"/>
      <c r="J11" s="110" t="e">
        <f t="shared" si="1"/>
        <v>#DIV/0!</v>
      </c>
      <c r="K11" s="114" t="e">
        <f t="shared" si="2"/>
        <v>#DIV/0!</v>
      </c>
      <c r="L11" s="116"/>
      <c r="M11" s="115"/>
      <c r="N11" s="110" t="e">
        <f t="shared" si="3"/>
        <v>#DIV/0!</v>
      </c>
      <c r="O11" s="118" t="e">
        <f t="shared" si="4"/>
        <v>#DIV/0!</v>
      </c>
      <c r="P11" s="121"/>
      <c r="Q11" s="92">
        <f t="shared" si="5"/>
        <v>0</v>
      </c>
      <c r="R11" s="47" t="e">
        <f t="shared" si="6"/>
        <v>#DIV/0!</v>
      </c>
      <c r="S11" s="89" t="e">
        <f t="shared" si="7"/>
        <v>#DIV/0!</v>
      </c>
      <c r="T11" s="93"/>
      <c r="U11" s="137"/>
      <c r="V11" s="134"/>
      <c r="W11" s="93"/>
      <c r="X11" s="137"/>
      <c r="Y11" s="134"/>
      <c r="Z11" s="104"/>
      <c r="AA11" s="5"/>
      <c r="AB11" s="101">
        <f t="shared" si="8"/>
        <v>0</v>
      </c>
      <c r="AC11" s="138"/>
      <c r="AD11" s="42"/>
      <c r="AE11" s="101">
        <f t="shared" si="9"/>
        <v>0</v>
      </c>
    </row>
    <row r="12" spans="1:31" x14ac:dyDescent="0.35">
      <c r="E12" s="64"/>
      <c r="F12" s="110" t="e">
        <f t="shared" si="0"/>
        <v>#DIV/0!</v>
      </c>
      <c r="G12" s="124"/>
      <c r="H12" s="116"/>
      <c r="I12" s="115"/>
      <c r="J12" s="110" t="e">
        <f t="shared" si="1"/>
        <v>#DIV/0!</v>
      </c>
      <c r="K12" s="114" t="e">
        <f t="shared" si="2"/>
        <v>#DIV/0!</v>
      </c>
      <c r="L12" s="116"/>
      <c r="M12" s="115"/>
      <c r="N12" s="110" t="e">
        <f t="shared" si="3"/>
        <v>#DIV/0!</v>
      </c>
      <c r="O12" s="118" t="e">
        <f t="shared" si="4"/>
        <v>#DIV/0!</v>
      </c>
      <c r="P12" s="121"/>
      <c r="Q12" s="92">
        <f t="shared" si="5"/>
        <v>0</v>
      </c>
      <c r="R12" s="47" t="e">
        <f t="shared" si="6"/>
        <v>#DIV/0!</v>
      </c>
      <c r="S12" s="89" t="e">
        <f t="shared" si="7"/>
        <v>#DIV/0!</v>
      </c>
      <c r="T12" s="93"/>
      <c r="U12" s="137"/>
      <c r="V12" s="134"/>
      <c r="W12" s="93"/>
      <c r="X12" s="137"/>
      <c r="Y12" s="134"/>
      <c r="Z12" s="104"/>
      <c r="AA12" s="5"/>
      <c r="AB12" s="101">
        <f t="shared" si="8"/>
        <v>0</v>
      </c>
      <c r="AC12" s="138"/>
      <c r="AD12" s="42"/>
      <c r="AE12" s="101">
        <f t="shared" si="9"/>
        <v>0</v>
      </c>
    </row>
    <row r="13" spans="1:31" x14ac:dyDescent="0.35">
      <c r="E13" s="64"/>
      <c r="F13" s="110" t="e">
        <f t="shared" si="0"/>
        <v>#DIV/0!</v>
      </c>
      <c r="G13" s="124"/>
      <c r="H13" s="116"/>
      <c r="I13" s="115"/>
      <c r="J13" s="110" t="e">
        <f t="shared" si="1"/>
        <v>#DIV/0!</v>
      </c>
      <c r="K13" s="114" t="e">
        <f t="shared" si="2"/>
        <v>#DIV/0!</v>
      </c>
      <c r="L13" s="116"/>
      <c r="M13" s="115"/>
      <c r="N13" s="110" t="e">
        <f t="shared" si="3"/>
        <v>#DIV/0!</v>
      </c>
      <c r="O13" s="118" t="e">
        <f t="shared" si="4"/>
        <v>#DIV/0!</v>
      </c>
      <c r="P13" s="121"/>
      <c r="Q13" s="92">
        <f t="shared" si="5"/>
        <v>0</v>
      </c>
      <c r="R13" s="47" t="e">
        <f t="shared" si="6"/>
        <v>#DIV/0!</v>
      </c>
      <c r="S13" s="89" t="e">
        <f t="shared" si="7"/>
        <v>#DIV/0!</v>
      </c>
      <c r="T13" s="93"/>
      <c r="U13" s="137"/>
      <c r="V13" s="134"/>
      <c r="W13" s="93"/>
      <c r="X13" s="137"/>
      <c r="Y13" s="134"/>
      <c r="Z13" s="104"/>
      <c r="AA13" s="5"/>
      <c r="AB13" s="101">
        <f t="shared" si="8"/>
        <v>0</v>
      </c>
      <c r="AC13" s="138"/>
      <c r="AD13" s="42"/>
      <c r="AE13" s="101">
        <f t="shared" si="9"/>
        <v>0</v>
      </c>
    </row>
    <row r="14" spans="1:31" x14ac:dyDescent="0.35">
      <c r="E14" s="64"/>
      <c r="F14" s="110" t="e">
        <f t="shared" si="0"/>
        <v>#DIV/0!</v>
      </c>
      <c r="G14" s="124"/>
      <c r="H14" s="116"/>
      <c r="I14" s="115"/>
      <c r="J14" s="110" t="e">
        <f t="shared" si="1"/>
        <v>#DIV/0!</v>
      </c>
      <c r="K14" s="114" t="e">
        <f t="shared" si="2"/>
        <v>#DIV/0!</v>
      </c>
      <c r="L14" s="116"/>
      <c r="M14" s="115"/>
      <c r="N14" s="110" t="e">
        <f t="shared" si="3"/>
        <v>#DIV/0!</v>
      </c>
      <c r="O14" s="118" t="e">
        <f t="shared" si="4"/>
        <v>#DIV/0!</v>
      </c>
      <c r="P14" s="121"/>
      <c r="Q14" s="92">
        <f t="shared" si="5"/>
        <v>0</v>
      </c>
      <c r="R14" s="47" t="e">
        <f t="shared" si="6"/>
        <v>#DIV/0!</v>
      </c>
      <c r="S14" s="89" t="e">
        <f t="shared" si="7"/>
        <v>#DIV/0!</v>
      </c>
      <c r="T14" s="93"/>
      <c r="U14" s="137"/>
      <c r="V14" s="134"/>
      <c r="W14" s="93"/>
      <c r="X14" s="137"/>
      <c r="Y14" s="134"/>
      <c r="Z14" s="104"/>
      <c r="AA14" s="5"/>
      <c r="AB14" s="101">
        <f t="shared" si="8"/>
        <v>0</v>
      </c>
      <c r="AC14" s="138"/>
      <c r="AD14" s="42"/>
      <c r="AE14" s="101">
        <f t="shared" si="9"/>
        <v>0</v>
      </c>
    </row>
    <row r="15" spans="1:31" x14ac:dyDescent="0.35">
      <c r="E15" s="64"/>
      <c r="F15" s="110" t="e">
        <f t="shared" si="0"/>
        <v>#DIV/0!</v>
      </c>
      <c r="G15" s="124"/>
      <c r="H15" s="116"/>
      <c r="I15" s="115"/>
      <c r="J15" s="110" t="e">
        <f t="shared" si="1"/>
        <v>#DIV/0!</v>
      </c>
      <c r="K15" s="114" t="e">
        <f t="shared" si="2"/>
        <v>#DIV/0!</v>
      </c>
      <c r="L15" s="116"/>
      <c r="M15" s="115"/>
      <c r="N15" s="110" t="e">
        <f t="shared" si="3"/>
        <v>#DIV/0!</v>
      </c>
      <c r="O15" s="118" t="e">
        <f t="shared" si="4"/>
        <v>#DIV/0!</v>
      </c>
      <c r="P15" s="121"/>
      <c r="Q15" s="92">
        <f t="shared" si="5"/>
        <v>0</v>
      </c>
      <c r="R15" s="47" t="e">
        <f t="shared" si="6"/>
        <v>#DIV/0!</v>
      </c>
      <c r="S15" s="89" t="e">
        <f t="shared" si="7"/>
        <v>#DIV/0!</v>
      </c>
      <c r="T15" s="93"/>
      <c r="U15" s="137"/>
      <c r="V15" s="134"/>
      <c r="W15" s="93"/>
      <c r="X15" s="137"/>
      <c r="Y15" s="134"/>
      <c r="Z15" s="104"/>
      <c r="AA15" s="5"/>
      <c r="AB15" s="101">
        <f t="shared" si="8"/>
        <v>0</v>
      </c>
      <c r="AC15" s="138"/>
      <c r="AD15" s="42"/>
      <c r="AE15" s="101">
        <f t="shared" si="9"/>
        <v>0</v>
      </c>
    </row>
    <row r="16" spans="1:31" x14ac:dyDescent="0.35">
      <c r="E16" s="64"/>
      <c r="F16" s="110" t="e">
        <f t="shared" si="0"/>
        <v>#DIV/0!</v>
      </c>
      <c r="G16" s="124"/>
      <c r="H16" s="116"/>
      <c r="I16" s="115"/>
      <c r="J16" s="110" t="e">
        <f t="shared" si="1"/>
        <v>#DIV/0!</v>
      </c>
      <c r="K16" s="114" t="e">
        <f t="shared" si="2"/>
        <v>#DIV/0!</v>
      </c>
      <c r="L16" s="116"/>
      <c r="M16" s="115"/>
      <c r="N16" s="110" t="e">
        <f t="shared" si="3"/>
        <v>#DIV/0!</v>
      </c>
      <c r="O16" s="118" t="e">
        <f t="shared" si="4"/>
        <v>#DIV/0!</v>
      </c>
      <c r="P16" s="121"/>
      <c r="Q16" s="92">
        <f t="shared" si="5"/>
        <v>0</v>
      </c>
      <c r="R16" s="47" t="e">
        <f t="shared" si="6"/>
        <v>#DIV/0!</v>
      </c>
      <c r="S16" s="89" t="e">
        <f t="shared" si="7"/>
        <v>#DIV/0!</v>
      </c>
      <c r="T16" s="93"/>
      <c r="U16" s="137"/>
      <c r="V16" s="134"/>
      <c r="W16" s="93"/>
      <c r="X16" s="137"/>
      <c r="Y16" s="134"/>
      <c r="Z16" s="104"/>
      <c r="AA16" s="5"/>
      <c r="AB16" s="101">
        <f t="shared" si="8"/>
        <v>0</v>
      </c>
      <c r="AC16" s="138"/>
      <c r="AD16" s="42"/>
      <c r="AE16" s="101">
        <f t="shared" si="9"/>
        <v>0</v>
      </c>
    </row>
    <row r="17" spans="5:31" x14ac:dyDescent="0.35">
      <c r="E17" s="64"/>
      <c r="F17" s="110" t="e">
        <f t="shared" si="0"/>
        <v>#DIV/0!</v>
      </c>
      <c r="G17" s="124"/>
      <c r="H17" s="116"/>
      <c r="I17" s="115"/>
      <c r="J17" s="110" t="e">
        <f t="shared" si="1"/>
        <v>#DIV/0!</v>
      </c>
      <c r="K17" s="114" t="e">
        <f t="shared" si="2"/>
        <v>#DIV/0!</v>
      </c>
      <c r="L17" s="116"/>
      <c r="M17" s="115"/>
      <c r="N17" s="110" t="e">
        <f t="shared" si="3"/>
        <v>#DIV/0!</v>
      </c>
      <c r="O17" s="118" t="e">
        <f t="shared" si="4"/>
        <v>#DIV/0!</v>
      </c>
      <c r="P17" s="121"/>
      <c r="Q17" s="92">
        <f t="shared" si="5"/>
        <v>0</v>
      </c>
      <c r="R17" s="47" t="e">
        <f t="shared" si="6"/>
        <v>#DIV/0!</v>
      </c>
      <c r="S17" s="89" t="e">
        <f t="shared" si="7"/>
        <v>#DIV/0!</v>
      </c>
      <c r="T17" s="93"/>
      <c r="U17" s="137"/>
      <c r="V17" s="134"/>
      <c r="W17" s="93"/>
      <c r="X17" s="137"/>
      <c r="Y17" s="134"/>
      <c r="Z17" s="104"/>
      <c r="AA17" s="5"/>
      <c r="AB17" s="101">
        <f t="shared" si="8"/>
        <v>0</v>
      </c>
      <c r="AC17" s="138"/>
      <c r="AD17" s="42"/>
      <c r="AE17" s="101">
        <f t="shared" si="9"/>
        <v>0</v>
      </c>
    </row>
    <row r="18" spans="5:31" x14ac:dyDescent="0.35">
      <c r="E18" s="64"/>
      <c r="F18" s="110" t="e">
        <f t="shared" ref="F18:F83" si="10">ROUND(G18/D18,0)</f>
        <v>#DIV/0!</v>
      </c>
      <c r="G18" s="124"/>
      <c r="H18" s="116"/>
      <c r="I18" s="115"/>
      <c r="J18" s="110" t="e">
        <f t="shared" ref="J18:J83" si="11">ROUND(F18*H18*0.7958,0)</f>
        <v>#DIV/0!</v>
      </c>
      <c r="K18" s="114" t="e">
        <f t="shared" ref="K18:K83" si="12">ROUND(I18*H18*F18*0.7958,0)</f>
        <v>#DIV/0!</v>
      </c>
      <c r="L18" s="116"/>
      <c r="M18" s="115"/>
      <c r="N18" s="110" t="e">
        <f t="shared" ref="N18:N83" si="13">ROUND(F18*L18*0.7958,0)</f>
        <v>#DIV/0!</v>
      </c>
      <c r="O18" s="118" t="e">
        <f t="shared" ref="O18:O83" si="14">ROUND(M18*L18*F18*0.7958,0)</f>
        <v>#DIV/0!</v>
      </c>
      <c r="P18" s="121"/>
      <c r="Q18" s="92">
        <f t="shared" ref="Q18:Q83" si="15">D18-I18-M18</f>
        <v>0</v>
      </c>
      <c r="R18" s="47" t="e">
        <f t="shared" ref="R18:R83" si="16">ROUND(F18*P18*0.7958,0)</f>
        <v>#DIV/0!</v>
      </c>
      <c r="S18" s="89" t="e">
        <f t="shared" ref="S18:S83" si="17">ROUND(Q18*P18*F18*0.7958,0)</f>
        <v>#DIV/0!</v>
      </c>
      <c r="T18" s="93"/>
      <c r="U18" s="137"/>
      <c r="V18" s="134"/>
      <c r="W18" s="93"/>
      <c r="X18" s="137"/>
      <c r="Y18" s="134"/>
      <c r="Z18" s="104"/>
      <c r="AA18" s="5"/>
      <c r="AB18" s="101">
        <f t="shared" ref="AB18:AB83" si="18">ROUND(Z18*AA18,0)</f>
        <v>0</v>
      </c>
      <c r="AC18" s="138"/>
      <c r="AD18" s="42"/>
      <c r="AE18" s="101">
        <f t="shared" ref="AE18:AE83" si="19">ROUND(AC18*AD18,0)</f>
        <v>0</v>
      </c>
    </row>
    <row r="19" spans="5:31" x14ac:dyDescent="0.35">
      <c r="E19" s="64"/>
      <c r="F19" s="110" t="e">
        <f t="shared" si="10"/>
        <v>#DIV/0!</v>
      </c>
      <c r="G19" s="124"/>
      <c r="H19" s="116"/>
      <c r="I19" s="115"/>
      <c r="J19" s="110" t="e">
        <f t="shared" si="11"/>
        <v>#DIV/0!</v>
      </c>
      <c r="K19" s="114" t="e">
        <f t="shared" si="12"/>
        <v>#DIV/0!</v>
      </c>
      <c r="L19" s="116"/>
      <c r="M19" s="115"/>
      <c r="N19" s="110" t="e">
        <f t="shared" si="13"/>
        <v>#DIV/0!</v>
      </c>
      <c r="O19" s="118" t="e">
        <f t="shared" si="14"/>
        <v>#DIV/0!</v>
      </c>
      <c r="P19" s="121"/>
      <c r="Q19" s="92">
        <f t="shared" si="15"/>
        <v>0</v>
      </c>
      <c r="R19" s="47" t="e">
        <f t="shared" si="16"/>
        <v>#DIV/0!</v>
      </c>
      <c r="S19" s="89" t="e">
        <f t="shared" si="17"/>
        <v>#DIV/0!</v>
      </c>
      <c r="T19" s="93"/>
      <c r="U19" s="137"/>
      <c r="V19" s="134"/>
      <c r="W19" s="93"/>
      <c r="X19" s="137"/>
      <c r="Y19" s="134"/>
      <c r="Z19" s="104"/>
      <c r="AA19" s="5"/>
      <c r="AB19" s="101">
        <f t="shared" si="18"/>
        <v>0</v>
      </c>
      <c r="AC19" s="138"/>
      <c r="AD19" s="42"/>
      <c r="AE19" s="101">
        <f t="shared" si="19"/>
        <v>0</v>
      </c>
    </row>
    <row r="20" spans="5:31" x14ac:dyDescent="0.35">
      <c r="E20" s="64"/>
      <c r="F20" s="110" t="e">
        <f t="shared" si="10"/>
        <v>#DIV/0!</v>
      </c>
      <c r="G20" s="124"/>
      <c r="H20" s="116"/>
      <c r="I20" s="115"/>
      <c r="J20" s="110" t="e">
        <f t="shared" si="11"/>
        <v>#DIV/0!</v>
      </c>
      <c r="K20" s="114" t="e">
        <f t="shared" si="12"/>
        <v>#DIV/0!</v>
      </c>
      <c r="L20" s="116"/>
      <c r="M20" s="115"/>
      <c r="N20" s="110" t="e">
        <f t="shared" si="13"/>
        <v>#DIV/0!</v>
      </c>
      <c r="O20" s="118" t="e">
        <f t="shared" si="14"/>
        <v>#DIV/0!</v>
      </c>
      <c r="P20" s="121"/>
      <c r="Q20" s="92">
        <f t="shared" si="15"/>
        <v>0</v>
      </c>
      <c r="R20" s="47" t="e">
        <f t="shared" si="16"/>
        <v>#DIV/0!</v>
      </c>
      <c r="S20" s="89" t="e">
        <f t="shared" si="17"/>
        <v>#DIV/0!</v>
      </c>
      <c r="T20" s="93"/>
      <c r="U20" s="137"/>
      <c r="V20" s="134"/>
      <c r="W20" s="93"/>
      <c r="X20" s="137"/>
      <c r="Y20" s="134"/>
      <c r="Z20" s="104"/>
      <c r="AA20" s="5"/>
      <c r="AB20" s="101">
        <f t="shared" si="18"/>
        <v>0</v>
      </c>
      <c r="AC20" s="138"/>
      <c r="AD20" s="42"/>
      <c r="AE20" s="101">
        <f t="shared" si="19"/>
        <v>0</v>
      </c>
    </row>
    <row r="21" spans="5:31" x14ac:dyDescent="0.35">
      <c r="E21" s="64"/>
      <c r="F21" s="110" t="e">
        <f t="shared" si="10"/>
        <v>#DIV/0!</v>
      </c>
      <c r="G21" s="124"/>
      <c r="H21" s="116"/>
      <c r="I21" s="115"/>
      <c r="J21" s="110" t="e">
        <f t="shared" si="11"/>
        <v>#DIV/0!</v>
      </c>
      <c r="K21" s="114" t="e">
        <f t="shared" si="12"/>
        <v>#DIV/0!</v>
      </c>
      <c r="L21" s="116"/>
      <c r="M21" s="115"/>
      <c r="N21" s="110" t="e">
        <f t="shared" si="13"/>
        <v>#DIV/0!</v>
      </c>
      <c r="O21" s="118" t="e">
        <f t="shared" si="14"/>
        <v>#DIV/0!</v>
      </c>
      <c r="P21" s="121"/>
      <c r="Q21" s="92">
        <f t="shared" si="15"/>
        <v>0</v>
      </c>
      <c r="R21" s="47" t="e">
        <f t="shared" si="16"/>
        <v>#DIV/0!</v>
      </c>
      <c r="S21" s="89" t="e">
        <f t="shared" si="17"/>
        <v>#DIV/0!</v>
      </c>
      <c r="T21" s="93"/>
      <c r="U21" s="137"/>
      <c r="V21" s="134"/>
      <c r="W21" s="93"/>
      <c r="X21" s="137"/>
      <c r="Y21" s="134"/>
      <c r="Z21" s="104"/>
      <c r="AA21" s="5"/>
      <c r="AB21" s="101">
        <f t="shared" si="18"/>
        <v>0</v>
      </c>
      <c r="AC21" s="138"/>
      <c r="AD21" s="42"/>
      <c r="AE21" s="101">
        <f t="shared" si="19"/>
        <v>0</v>
      </c>
    </row>
    <row r="22" spans="5:31" x14ac:dyDescent="0.35">
      <c r="E22" s="64"/>
      <c r="F22" s="110" t="e">
        <f t="shared" si="10"/>
        <v>#DIV/0!</v>
      </c>
      <c r="G22" s="124"/>
      <c r="H22" s="116"/>
      <c r="I22" s="115"/>
      <c r="J22" s="110" t="e">
        <f t="shared" si="11"/>
        <v>#DIV/0!</v>
      </c>
      <c r="K22" s="114" t="e">
        <f t="shared" si="12"/>
        <v>#DIV/0!</v>
      </c>
      <c r="L22" s="116"/>
      <c r="M22" s="115"/>
      <c r="N22" s="110" t="e">
        <f t="shared" si="13"/>
        <v>#DIV/0!</v>
      </c>
      <c r="O22" s="118" t="e">
        <f t="shared" si="14"/>
        <v>#DIV/0!</v>
      </c>
      <c r="P22" s="121"/>
      <c r="Q22" s="92">
        <f t="shared" si="15"/>
        <v>0</v>
      </c>
      <c r="R22" s="47" t="e">
        <f t="shared" si="16"/>
        <v>#DIV/0!</v>
      </c>
      <c r="S22" s="89" t="e">
        <f t="shared" si="17"/>
        <v>#DIV/0!</v>
      </c>
      <c r="T22" s="93"/>
      <c r="U22" s="137"/>
      <c r="V22" s="134"/>
      <c r="W22" s="93"/>
      <c r="X22" s="137"/>
      <c r="Y22" s="134"/>
      <c r="Z22" s="104"/>
      <c r="AA22" s="5"/>
      <c r="AB22" s="101">
        <f t="shared" si="18"/>
        <v>0</v>
      </c>
      <c r="AC22" s="138"/>
      <c r="AD22" s="42"/>
      <c r="AE22" s="101">
        <f t="shared" si="19"/>
        <v>0</v>
      </c>
    </row>
    <row r="23" spans="5:31" x14ac:dyDescent="0.35">
      <c r="E23" s="64"/>
      <c r="F23" s="110" t="e">
        <f t="shared" si="10"/>
        <v>#DIV/0!</v>
      </c>
      <c r="G23" s="124"/>
      <c r="H23" s="116"/>
      <c r="I23" s="115"/>
      <c r="J23" s="110" t="e">
        <f t="shared" si="11"/>
        <v>#DIV/0!</v>
      </c>
      <c r="K23" s="114" t="e">
        <f t="shared" si="12"/>
        <v>#DIV/0!</v>
      </c>
      <c r="L23" s="116"/>
      <c r="M23" s="115"/>
      <c r="N23" s="110" t="e">
        <f t="shared" si="13"/>
        <v>#DIV/0!</v>
      </c>
      <c r="O23" s="118" t="e">
        <f t="shared" si="14"/>
        <v>#DIV/0!</v>
      </c>
      <c r="P23" s="121"/>
      <c r="Q23" s="92">
        <f t="shared" si="15"/>
        <v>0</v>
      </c>
      <c r="R23" s="47" t="e">
        <f t="shared" si="16"/>
        <v>#DIV/0!</v>
      </c>
      <c r="S23" s="89" t="e">
        <f t="shared" si="17"/>
        <v>#DIV/0!</v>
      </c>
      <c r="T23" s="93"/>
      <c r="U23" s="137"/>
      <c r="V23" s="134"/>
      <c r="W23" s="93"/>
      <c r="X23" s="137"/>
      <c r="Y23" s="134"/>
      <c r="Z23" s="104"/>
      <c r="AA23" s="5"/>
      <c r="AB23" s="101">
        <f t="shared" si="18"/>
        <v>0</v>
      </c>
      <c r="AC23" s="138"/>
      <c r="AD23" s="42"/>
      <c r="AE23" s="101">
        <f t="shared" si="19"/>
        <v>0</v>
      </c>
    </row>
    <row r="24" spans="5:31" x14ac:dyDescent="0.35">
      <c r="E24" s="64"/>
      <c r="F24" s="110" t="e">
        <f t="shared" si="10"/>
        <v>#DIV/0!</v>
      </c>
      <c r="G24" s="124"/>
      <c r="H24" s="116"/>
      <c r="I24" s="115"/>
      <c r="J24" s="110" t="e">
        <f t="shared" si="11"/>
        <v>#DIV/0!</v>
      </c>
      <c r="K24" s="114" t="e">
        <f t="shared" si="12"/>
        <v>#DIV/0!</v>
      </c>
      <c r="L24" s="116"/>
      <c r="M24" s="115"/>
      <c r="N24" s="110" t="e">
        <f t="shared" si="13"/>
        <v>#DIV/0!</v>
      </c>
      <c r="O24" s="118" t="e">
        <f t="shared" si="14"/>
        <v>#DIV/0!</v>
      </c>
      <c r="P24" s="121"/>
      <c r="Q24" s="92">
        <f t="shared" si="15"/>
        <v>0</v>
      </c>
      <c r="R24" s="47" t="e">
        <f t="shared" si="16"/>
        <v>#DIV/0!</v>
      </c>
      <c r="S24" s="89" t="e">
        <f t="shared" si="17"/>
        <v>#DIV/0!</v>
      </c>
      <c r="T24" s="93"/>
      <c r="U24" s="137"/>
      <c r="V24" s="134"/>
      <c r="W24" s="93"/>
      <c r="X24" s="137"/>
      <c r="Y24" s="134"/>
      <c r="Z24" s="104"/>
      <c r="AA24" s="5"/>
      <c r="AB24" s="101">
        <f t="shared" si="18"/>
        <v>0</v>
      </c>
      <c r="AC24" s="138"/>
      <c r="AD24" s="42"/>
      <c r="AE24" s="101">
        <f t="shared" si="19"/>
        <v>0</v>
      </c>
    </row>
    <row r="25" spans="5:31" x14ac:dyDescent="0.35">
      <c r="E25" s="64"/>
      <c r="F25" s="110" t="e">
        <f t="shared" si="10"/>
        <v>#DIV/0!</v>
      </c>
      <c r="G25" s="124"/>
      <c r="H25" s="116"/>
      <c r="I25" s="115"/>
      <c r="J25" s="110" t="e">
        <f t="shared" si="11"/>
        <v>#DIV/0!</v>
      </c>
      <c r="K25" s="114" t="e">
        <f t="shared" si="12"/>
        <v>#DIV/0!</v>
      </c>
      <c r="L25" s="116"/>
      <c r="M25" s="115"/>
      <c r="N25" s="110" t="e">
        <f t="shared" si="13"/>
        <v>#DIV/0!</v>
      </c>
      <c r="O25" s="118" t="e">
        <f t="shared" si="14"/>
        <v>#DIV/0!</v>
      </c>
      <c r="P25" s="121"/>
      <c r="Q25" s="92">
        <f t="shared" si="15"/>
        <v>0</v>
      </c>
      <c r="R25" s="47" t="e">
        <f t="shared" si="16"/>
        <v>#DIV/0!</v>
      </c>
      <c r="S25" s="89" t="e">
        <f t="shared" si="17"/>
        <v>#DIV/0!</v>
      </c>
      <c r="T25" s="93"/>
      <c r="U25" s="137"/>
      <c r="V25" s="134"/>
      <c r="W25" s="93"/>
      <c r="X25" s="137"/>
      <c r="Y25" s="134"/>
      <c r="Z25" s="104"/>
      <c r="AA25" s="5"/>
      <c r="AB25" s="101">
        <f t="shared" si="18"/>
        <v>0</v>
      </c>
      <c r="AC25" s="138"/>
      <c r="AD25" s="42"/>
      <c r="AE25" s="101">
        <f t="shared" si="19"/>
        <v>0</v>
      </c>
    </row>
    <row r="26" spans="5:31" x14ac:dyDescent="0.35">
      <c r="E26" s="64"/>
      <c r="F26" s="110" t="e">
        <f t="shared" si="10"/>
        <v>#DIV/0!</v>
      </c>
      <c r="G26" s="124"/>
      <c r="H26" s="116"/>
      <c r="I26" s="115"/>
      <c r="J26" s="110" t="e">
        <f t="shared" si="11"/>
        <v>#DIV/0!</v>
      </c>
      <c r="K26" s="114" t="e">
        <f t="shared" si="12"/>
        <v>#DIV/0!</v>
      </c>
      <c r="L26" s="116"/>
      <c r="M26" s="115"/>
      <c r="N26" s="110" t="e">
        <f t="shared" si="13"/>
        <v>#DIV/0!</v>
      </c>
      <c r="O26" s="118" t="e">
        <f t="shared" si="14"/>
        <v>#DIV/0!</v>
      </c>
      <c r="P26" s="121"/>
      <c r="Q26" s="92">
        <f t="shared" si="15"/>
        <v>0</v>
      </c>
      <c r="R26" s="47" t="e">
        <f t="shared" si="16"/>
        <v>#DIV/0!</v>
      </c>
      <c r="S26" s="89" t="e">
        <f t="shared" si="17"/>
        <v>#DIV/0!</v>
      </c>
      <c r="T26" s="93"/>
      <c r="U26" s="137"/>
      <c r="V26" s="134"/>
      <c r="W26" s="93"/>
      <c r="X26" s="137"/>
      <c r="Y26" s="134"/>
      <c r="Z26" s="104"/>
      <c r="AA26" s="5"/>
      <c r="AB26" s="101">
        <f t="shared" si="18"/>
        <v>0</v>
      </c>
      <c r="AC26" s="138"/>
      <c r="AD26" s="42"/>
      <c r="AE26" s="101">
        <f t="shared" si="19"/>
        <v>0</v>
      </c>
    </row>
    <row r="27" spans="5:31" x14ac:dyDescent="0.35">
      <c r="E27" s="64"/>
      <c r="F27" s="110" t="e">
        <f t="shared" si="10"/>
        <v>#DIV/0!</v>
      </c>
      <c r="G27" s="124"/>
      <c r="H27" s="116"/>
      <c r="I27" s="115"/>
      <c r="J27" s="110" t="e">
        <f t="shared" si="11"/>
        <v>#DIV/0!</v>
      </c>
      <c r="K27" s="114" t="e">
        <f t="shared" si="12"/>
        <v>#DIV/0!</v>
      </c>
      <c r="L27" s="116"/>
      <c r="M27" s="115"/>
      <c r="N27" s="110" t="e">
        <f t="shared" si="13"/>
        <v>#DIV/0!</v>
      </c>
      <c r="O27" s="118" t="e">
        <f t="shared" si="14"/>
        <v>#DIV/0!</v>
      </c>
      <c r="P27" s="121"/>
      <c r="Q27" s="92">
        <f t="shared" si="15"/>
        <v>0</v>
      </c>
      <c r="R27" s="47" t="e">
        <f t="shared" si="16"/>
        <v>#DIV/0!</v>
      </c>
      <c r="S27" s="89" t="e">
        <f t="shared" si="17"/>
        <v>#DIV/0!</v>
      </c>
      <c r="T27" s="93"/>
      <c r="U27" s="137"/>
      <c r="V27" s="134"/>
      <c r="W27" s="93"/>
      <c r="X27" s="137"/>
      <c r="Y27" s="134"/>
      <c r="Z27" s="104"/>
      <c r="AA27" s="5"/>
      <c r="AB27" s="101">
        <f t="shared" si="18"/>
        <v>0</v>
      </c>
      <c r="AC27" s="138"/>
      <c r="AD27" s="42"/>
      <c r="AE27" s="101">
        <f t="shared" si="19"/>
        <v>0</v>
      </c>
    </row>
    <row r="28" spans="5:31" x14ac:dyDescent="0.35">
      <c r="E28" s="64"/>
      <c r="F28" s="110" t="e">
        <f t="shared" si="10"/>
        <v>#DIV/0!</v>
      </c>
      <c r="G28" s="124"/>
      <c r="H28" s="116"/>
      <c r="I28" s="115"/>
      <c r="J28" s="110" t="e">
        <f t="shared" si="11"/>
        <v>#DIV/0!</v>
      </c>
      <c r="K28" s="114" t="e">
        <f t="shared" si="12"/>
        <v>#DIV/0!</v>
      </c>
      <c r="L28" s="116"/>
      <c r="M28" s="115"/>
      <c r="N28" s="110" t="e">
        <f t="shared" si="13"/>
        <v>#DIV/0!</v>
      </c>
      <c r="O28" s="118" t="e">
        <f t="shared" si="14"/>
        <v>#DIV/0!</v>
      </c>
      <c r="P28" s="121"/>
      <c r="Q28" s="92">
        <f t="shared" si="15"/>
        <v>0</v>
      </c>
      <c r="R28" s="47" t="e">
        <f t="shared" si="16"/>
        <v>#DIV/0!</v>
      </c>
      <c r="S28" s="89" t="e">
        <f t="shared" si="17"/>
        <v>#DIV/0!</v>
      </c>
      <c r="T28" s="93"/>
      <c r="U28" s="137"/>
      <c r="V28" s="134"/>
      <c r="W28" s="93"/>
      <c r="X28" s="137"/>
      <c r="Y28" s="134"/>
      <c r="Z28" s="104"/>
      <c r="AA28" s="5"/>
      <c r="AB28" s="101">
        <f t="shared" si="18"/>
        <v>0</v>
      </c>
      <c r="AC28" s="138"/>
      <c r="AD28" s="42"/>
      <c r="AE28" s="101">
        <f t="shared" si="19"/>
        <v>0</v>
      </c>
    </row>
    <row r="29" spans="5:31" x14ac:dyDescent="0.35">
      <c r="E29" s="64"/>
      <c r="F29" s="110" t="e">
        <f t="shared" si="10"/>
        <v>#DIV/0!</v>
      </c>
      <c r="G29" s="124"/>
      <c r="H29" s="116"/>
      <c r="I29" s="115"/>
      <c r="J29" s="110" t="e">
        <f t="shared" si="11"/>
        <v>#DIV/0!</v>
      </c>
      <c r="K29" s="114" t="e">
        <f t="shared" si="12"/>
        <v>#DIV/0!</v>
      </c>
      <c r="L29" s="116"/>
      <c r="M29" s="115"/>
      <c r="N29" s="110" t="e">
        <f t="shared" si="13"/>
        <v>#DIV/0!</v>
      </c>
      <c r="O29" s="118" t="e">
        <f t="shared" si="14"/>
        <v>#DIV/0!</v>
      </c>
      <c r="P29" s="121"/>
      <c r="Q29" s="92">
        <f t="shared" si="15"/>
        <v>0</v>
      </c>
      <c r="R29" s="47" t="e">
        <f t="shared" si="16"/>
        <v>#DIV/0!</v>
      </c>
      <c r="S29" s="89" t="e">
        <f t="shared" si="17"/>
        <v>#DIV/0!</v>
      </c>
      <c r="T29" s="93"/>
      <c r="U29" s="137"/>
      <c r="V29" s="134"/>
      <c r="W29" s="93"/>
      <c r="X29" s="137"/>
      <c r="Y29" s="134"/>
      <c r="Z29" s="104"/>
      <c r="AA29" s="5"/>
      <c r="AB29" s="101">
        <f t="shared" si="18"/>
        <v>0</v>
      </c>
      <c r="AC29" s="138"/>
      <c r="AD29" s="42"/>
      <c r="AE29" s="101">
        <f t="shared" si="19"/>
        <v>0</v>
      </c>
    </row>
    <row r="30" spans="5:31" x14ac:dyDescent="0.35">
      <c r="E30" s="64"/>
      <c r="F30" s="110" t="e">
        <f t="shared" si="10"/>
        <v>#DIV/0!</v>
      </c>
      <c r="G30" s="124"/>
      <c r="H30" s="116"/>
      <c r="I30" s="115"/>
      <c r="J30" s="110" t="e">
        <f t="shared" si="11"/>
        <v>#DIV/0!</v>
      </c>
      <c r="K30" s="114" t="e">
        <f t="shared" si="12"/>
        <v>#DIV/0!</v>
      </c>
      <c r="L30" s="116"/>
      <c r="M30" s="115"/>
      <c r="N30" s="110" t="e">
        <f t="shared" si="13"/>
        <v>#DIV/0!</v>
      </c>
      <c r="O30" s="118" t="e">
        <f t="shared" si="14"/>
        <v>#DIV/0!</v>
      </c>
      <c r="P30" s="121"/>
      <c r="Q30" s="92">
        <f t="shared" si="15"/>
        <v>0</v>
      </c>
      <c r="R30" s="47" t="e">
        <f t="shared" si="16"/>
        <v>#DIV/0!</v>
      </c>
      <c r="S30" s="89" t="e">
        <f t="shared" si="17"/>
        <v>#DIV/0!</v>
      </c>
      <c r="T30" s="93"/>
      <c r="U30" s="137"/>
      <c r="V30" s="134"/>
      <c r="W30" s="93"/>
      <c r="X30" s="137"/>
      <c r="Y30" s="134"/>
      <c r="Z30" s="104"/>
      <c r="AA30" s="5"/>
      <c r="AB30" s="101">
        <f t="shared" si="18"/>
        <v>0</v>
      </c>
      <c r="AC30" s="138"/>
      <c r="AD30" s="42"/>
      <c r="AE30" s="101">
        <f t="shared" si="19"/>
        <v>0</v>
      </c>
    </row>
    <row r="31" spans="5:31" x14ac:dyDescent="0.35">
      <c r="E31" s="64"/>
      <c r="F31" s="110" t="e">
        <f t="shared" si="10"/>
        <v>#DIV/0!</v>
      </c>
      <c r="G31" s="124"/>
      <c r="H31" s="116"/>
      <c r="I31" s="115"/>
      <c r="J31" s="110" t="e">
        <f t="shared" si="11"/>
        <v>#DIV/0!</v>
      </c>
      <c r="K31" s="114" t="e">
        <f t="shared" si="12"/>
        <v>#DIV/0!</v>
      </c>
      <c r="L31" s="116"/>
      <c r="M31" s="115"/>
      <c r="N31" s="110" t="e">
        <f t="shared" si="13"/>
        <v>#DIV/0!</v>
      </c>
      <c r="O31" s="118" t="e">
        <f t="shared" si="14"/>
        <v>#DIV/0!</v>
      </c>
      <c r="P31" s="121"/>
      <c r="Q31" s="92">
        <f t="shared" si="15"/>
        <v>0</v>
      </c>
      <c r="R31" s="47" t="e">
        <f t="shared" si="16"/>
        <v>#DIV/0!</v>
      </c>
      <c r="S31" s="89" t="e">
        <f t="shared" si="17"/>
        <v>#DIV/0!</v>
      </c>
      <c r="T31" s="93"/>
      <c r="U31" s="137"/>
      <c r="V31" s="134"/>
      <c r="W31" s="93"/>
      <c r="X31" s="137"/>
      <c r="Y31" s="134"/>
      <c r="Z31" s="104"/>
      <c r="AA31" s="5"/>
      <c r="AB31" s="101">
        <f t="shared" si="18"/>
        <v>0</v>
      </c>
      <c r="AC31" s="138"/>
      <c r="AD31" s="42"/>
      <c r="AE31" s="101">
        <f t="shared" si="19"/>
        <v>0</v>
      </c>
    </row>
    <row r="32" spans="5:31" x14ac:dyDescent="0.35">
      <c r="E32" s="64"/>
      <c r="F32" s="110" t="e">
        <f t="shared" si="10"/>
        <v>#DIV/0!</v>
      </c>
      <c r="G32" s="124"/>
      <c r="H32" s="116"/>
      <c r="I32" s="115"/>
      <c r="J32" s="110" t="e">
        <f t="shared" si="11"/>
        <v>#DIV/0!</v>
      </c>
      <c r="K32" s="114" t="e">
        <f t="shared" si="12"/>
        <v>#DIV/0!</v>
      </c>
      <c r="L32" s="116"/>
      <c r="M32" s="115"/>
      <c r="N32" s="110" t="e">
        <f t="shared" si="13"/>
        <v>#DIV/0!</v>
      </c>
      <c r="O32" s="118" t="e">
        <f t="shared" si="14"/>
        <v>#DIV/0!</v>
      </c>
      <c r="P32" s="121"/>
      <c r="Q32" s="92">
        <f t="shared" si="15"/>
        <v>0</v>
      </c>
      <c r="R32" s="47" t="e">
        <f t="shared" si="16"/>
        <v>#DIV/0!</v>
      </c>
      <c r="S32" s="89" t="e">
        <f t="shared" si="17"/>
        <v>#DIV/0!</v>
      </c>
      <c r="T32" s="93"/>
      <c r="U32" s="137"/>
      <c r="V32" s="134"/>
      <c r="W32" s="93"/>
      <c r="X32" s="137"/>
      <c r="Y32" s="134"/>
      <c r="Z32" s="104"/>
      <c r="AA32" s="5"/>
      <c r="AB32" s="101">
        <f t="shared" si="18"/>
        <v>0</v>
      </c>
      <c r="AC32" s="138"/>
      <c r="AD32" s="42"/>
      <c r="AE32" s="101">
        <f t="shared" si="19"/>
        <v>0</v>
      </c>
    </row>
    <row r="33" spans="5:31" x14ac:dyDescent="0.35">
      <c r="E33" s="64"/>
      <c r="F33" s="110" t="e">
        <f t="shared" si="10"/>
        <v>#DIV/0!</v>
      </c>
      <c r="G33" s="124"/>
      <c r="H33" s="116"/>
      <c r="I33" s="115"/>
      <c r="J33" s="110" t="e">
        <f t="shared" si="11"/>
        <v>#DIV/0!</v>
      </c>
      <c r="K33" s="114" t="e">
        <f t="shared" si="12"/>
        <v>#DIV/0!</v>
      </c>
      <c r="L33" s="116"/>
      <c r="M33" s="115"/>
      <c r="N33" s="110" t="e">
        <f t="shared" si="13"/>
        <v>#DIV/0!</v>
      </c>
      <c r="O33" s="118" t="e">
        <f t="shared" si="14"/>
        <v>#DIV/0!</v>
      </c>
      <c r="P33" s="121"/>
      <c r="Q33" s="92">
        <f t="shared" si="15"/>
        <v>0</v>
      </c>
      <c r="R33" s="47" t="e">
        <f t="shared" si="16"/>
        <v>#DIV/0!</v>
      </c>
      <c r="S33" s="89" t="e">
        <f t="shared" si="17"/>
        <v>#DIV/0!</v>
      </c>
      <c r="T33" s="93"/>
      <c r="U33" s="137"/>
      <c r="V33" s="134"/>
      <c r="W33" s="93"/>
      <c r="X33" s="137"/>
      <c r="Y33" s="134"/>
      <c r="Z33" s="104"/>
      <c r="AA33" s="5"/>
      <c r="AB33" s="101">
        <f t="shared" si="18"/>
        <v>0</v>
      </c>
      <c r="AC33" s="138"/>
      <c r="AD33" s="42"/>
      <c r="AE33" s="101">
        <f t="shared" si="19"/>
        <v>0</v>
      </c>
    </row>
    <row r="34" spans="5:31" x14ac:dyDescent="0.35">
      <c r="E34" s="64"/>
      <c r="F34" s="110" t="e">
        <f t="shared" si="10"/>
        <v>#DIV/0!</v>
      </c>
      <c r="G34" s="124"/>
      <c r="H34" s="116"/>
      <c r="I34" s="115"/>
      <c r="J34" s="110" t="e">
        <f t="shared" si="11"/>
        <v>#DIV/0!</v>
      </c>
      <c r="K34" s="114" t="e">
        <f t="shared" si="12"/>
        <v>#DIV/0!</v>
      </c>
      <c r="L34" s="116"/>
      <c r="M34" s="115"/>
      <c r="N34" s="110" t="e">
        <f t="shared" si="13"/>
        <v>#DIV/0!</v>
      </c>
      <c r="O34" s="118" t="e">
        <f t="shared" si="14"/>
        <v>#DIV/0!</v>
      </c>
      <c r="P34" s="121"/>
      <c r="Q34" s="92">
        <f t="shared" si="15"/>
        <v>0</v>
      </c>
      <c r="R34" s="47" t="e">
        <f t="shared" si="16"/>
        <v>#DIV/0!</v>
      </c>
      <c r="S34" s="89" t="e">
        <f t="shared" si="17"/>
        <v>#DIV/0!</v>
      </c>
      <c r="T34" s="93"/>
      <c r="U34" s="137"/>
      <c r="V34" s="134"/>
      <c r="W34" s="93"/>
      <c r="X34" s="137"/>
      <c r="Y34" s="134"/>
      <c r="Z34" s="104"/>
      <c r="AA34" s="5"/>
      <c r="AB34" s="101">
        <f t="shared" si="18"/>
        <v>0</v>
      </c>
      <c r="AC34" s="138"/>
      <c r="AD34" s="42"/>
      <c r="AE34" s="101">
        <f t="shared" si="19"/>
        <v>0</v>
      </c>
    </row>
    <row r="35" spans="5:31" x14ac:dyDescent="0.35">
      <c r="E35" s="64"/>
      <c r="F35" s="110" t="e">
        <f t="shared" si="10"/>
        <v>#DIV/0!</v>
      </c>
      <c r="G35" s="124"/>
      <c r="H35" s="116"/>
      <c r="I35" s="115"/>
      <c r="J35" s="110" t="e">
        <f t="shared" si="11"/>
        <v>#DIV/0!</v>
      </c>
      <c r="K35" s="114" t="e">
        <f t="shared" si="12"/>
        <v>#DIV/0!</v>
      </c>
      <c r="L35" s="116"/>
      <c r="M35" s="115"/>
      <c r="N35" s="110" t="e">
        <f t="shared" si="13"/>
        <v>#DIV/0!</v>
      </c>
      <c r="O35" s="118" t="e">
        <f t="shared" si="14"/>
        <v>#DIV/0!</v>
      </c>
      <c r="P35" s="121"/>
      <c r="Q35" s="92">
        <f t="shared" si="15"/>
        <v>0</v>
      </c>
      <c r="R35" s="47" t="e">
        <f t="shared" si="16"/>
        <v>#DIV/0!</v>
      </c>
      <c r="S35" s="89" t="e">
        <f t="shared" si="17"/>
        <v>#DIV/0!</v>
      </c>
      <c r="T35" s="93"/>
      <c r="U35" s="137"/>
      <c r="V35" s="134"/>
      <c r="W35" s="93"/>
      <c r="X35" s="137"/>
      <c r="Y35" s="134"/>
      <c r="Z35" s="104"/>
      <c r="AA35" s="5"/>
      <c r="AB35" s="101">
        <f t="shared" si="18"/>
        <v>0</v>
      </c>
      <c r="AC35" s="138"/>
      <c r="AD35" s="42"/>
      <c r="AE35" s="101">
        <f t="shared" si="19"/>
        <v>0</v>
      </c>
    </row>
    <row r="36" spans="5:31" x14ac:dyDescent="0.35">
      <c r="E36" s="64"/>
      <c r="F36" s="110" t="e">
        <f t="shared" si="10"/>
        <v>#DIV/0!</v>
      </c>
      <c r="G36" s="124"/>
      <c r="H36" s="116"/>
      <c r="I36" s="115"/>
      <c r="J36" s="110" t="e">
        <f t="shared" si="11"/>
        <v>#DIV/0!</v>
      </c>
      <c r="K36" s="114" t="e">
        <f t="shared" si="12"/>
        <v>#DIV/0!</v>
      </c>
      <c r="L36" s="116"/>
      <c r="M36" s="115"/>
      <c r="N36" s="110" t="e">
        <f t="shared" si="13"/>
        <v>#DIV/0!</v>
      </c>
      <c r="O36" s="118" t="e">
        <f t="shared" si="14"/>
        <v>#DIV/0!</v>
      </c>
      <c r="P36" s="121"/>
      <c r="Q36" s="92">
        <f t="shared" si="15"/>
        <v>0</v>
      </c>
      <c r="R36" s="47" t="e">
        <f t="shared" si="16"/>
        <v>#DIV/0!</v>
      </c>
      <c r="S36" s="89" t="e">
        <f t="shared" si="17"/>
        <v>#DIV/0!</v>
      </c>
      <c r="T36" s="93"/>
      <c r="U36" s="137"/>
      <c r="V36" s="134"/>
      <c r="W36" s="93"/>
      <c r="X36" s="137"/>
      <c r="Y36" s="134"/>
      <c r="Z36" s="104"/>
      <c r="AA36" s="5"/>
      <c r="AB36" s="101">
        <f t="shared" si="18"/>
        <v>0</v>
      </c>
      <c r="AC36" s="138"/>
      <c r="AD36" s="42"/>
      <c r="AE36" s="101">
        <f t="shared" si="19"/>
        <v>0</v>
      </c>
    </row>
    <row r="37" spans="5:31" x14ac:dyDescent="0.35">
      <c r="E37" s="64"/>
      <c r="F37" s="110" t="e">
        <f t="shared" si="10"/>
        <v>#DIV/0!</v>
      </c>
      <c r="G37" s="124"/>
      <c r="H37" s="116"/>
      <c r="I37" s="115"/>
      <c r="J37" s="110" t="e">
        <f t="shared" si="11"/>
        <v>#DIV/0!</v>
      </c>
      <c r="K37" s="114" t="e">
        <f t="shared" si="12"/>
        <v>#DIV/0!</v>
      </c>
      <c r="L37" s="116"/>
      <c r="M37" s="115"/>
      <c r="N37" s="110" t="e">
        <f t="shared" si="13"/>
        <v>#DIV/0!</v>
      </c>
      <c r="O37" s="118" t="e">
        <f t="shared" si="14"/>
        <v>#DIV/0!</v>
      </c>
      <c r="P37" s="121"/>
      <c r="Q37" s="92">
        <f t="shared" si="15"/>
        <v>0</v>
      </c>
      <c r="R37" s="47" t="e">
        <f t="shared" si="16"/>
        <v>#DIV/0!</v>
      </c>
      <c r="S37" s="89" t="e">
        <f t="shared" si="17"/>
        <v>#DIV/0!</v>
      </c>
      <c r="T37" s="93"/>
      <c r="U37" s="137"/>
      <c r="V37" s="134"/>
      <c r="W37" s="93"/>
      <c r="X37" s="137"/>
      <c r="Y37" s="134"/>
      <c r="Z37" s="104"/>
      <c r="AA37" s="5"/>
      <c r="AB37" s="101">
        <f t="shared" si="18"/>
        <v>0</v>
      </c>
      <c r="AC37" s="138"/>
      <c r="AD37" s="42"/>
      <c r="AE37" s="101">
        <f t="shared" si="19"/>
        <v>0</v>
      </c>
    </row>
    <row r="38" spans="5:31" x14ac:dyDescent="0.35">
      <c r="E38" s="64"/>
      <c r="F38" s="110" t="e">
        <f t="shared" si="10"/>
        <v>#DIV/0!</v>
      </c>
      <c r="G38" s="124"/>
      <c r="H38" s="116"/>
      <c r="I38" s="115"/>
      <c r="J38" s="110" t="e">
        <f t="shared" si="11"/>
        <v>#DIV/0!</v>
      </c>
      <c r="K38" s="114" t="e">
        <f t="shared" si="12"/>
        <v>#DIV/0!</v>
      </c>
      <c r="L38" s="116"/>
      <c r="M38" s="115"/>
      <c r="N38" s="110" t="e">
        <f t="shared" si="13"/>
        <v>#DIV/0!</v>
      </c>
      <c r="O38" s="118" t="e">
        <f t="shared" si="14"/>
        <v>#DIV/0!</v>
      </c>
      <c r="P38" s="121"/>
      <c r="Q38" s="92">
        <f t="shared" si="15"/>
        <v>0</v>
      </c>
      <c r="R38" s="47" t="e">
        <f t="shared" si="16"/>
        <v>#DIV/0!</v>
      </c>
      <c r="S38" s="89" t="e">
        <f t="shared" si="17"/>
        <v>#DIV/0!</v>
      </c>
      <c r="T38" s="93"/>
      <c r="U38" s="137"/>
      <c r="V38" s="134"/>
      <c r="W38" s="93"/>
      <c r="X38" s="137"/>
      <c r="Y38" s="134"/>
      <c r="Z38" s="104"/>
      <c r="AA38" s="5"/>
      <c r="AB38" s="101">
        <f t="shared" si="18"/>
        <v>0</v>
      </c>
      <c r="AC38" s="138"/>
      <c r="AD38" s="42"/>
      <c r="AE38" s="101">
        <f t="shared" si="19"/>
        <v>0</v>
      </c>
    </row>
    <row r="39" spans="5:31" x14ac:dyDescent="0.35">
      <c r="E39" s="64"/>
      <c r="F39" s="110" t="e">
        <f t="shared" si="10"/>
        <v>#DIV/0!</v>
      </c>
      <c r="G39" s="124"/>
      <c r="H39" s="116"/>
      <c r="I39" s="115"/>
      <c r="J39" s="110" t="e">
        <f t="shared" si="11"/>
        <v>#DIV/0!</v>
      </c>
      <c r="K39" s="114" t="e">
        <f t="shared" si="12"/>
        <v>#DIV/0!</v>
      </c>
      <c r="L39" s="116"/>
      <c r="M39" s="115"/>
      <c r="N39" s="110" t="e">
        <f t="shared" si="13"/>
        <v>#DIV/0!</v>
      </c>
      <c r="O39" s="118" t="e">
        <f t="shared" si="14"/>
        <v>#DIV/0!</v>
      </c>
      <c r="P39" s="121"/>
      <c r="Q39" s="92">
        <f t="shared" si="15"/>
        <v>0</v>
      </c>
      <c r="R39" s="47" t="e">
        <f t="shared" si="16"/>
        <v>#DIV/0!</v>
      </c>
      <c r="S39" s="89" t="e">
        <f t="shared" si="17"/>
        <v>#DIV/0!</v>
      </c>
      <c r="T39" s="93"/>
      <c r="U39" s="137"/>
      <c r="V39" s="134"/>
      <c r="W39" s="93"/>
      <c r="X39" s="137"/>
      <c r="Y39" s="134"/>
      <c r="Z39" s="104"/>
      <c r="AA39" s="5"/>
      <c r="AB39" s="101">
        <f t="shared" si="18"/>
        <v>0</v>
      </c>
      <c r="AC39" s="138"/>
      <c r="AD39" s="42"/>
      <c r="AE39" s="101">
        <f t="shared" si="19"/>
        <v>0</v>
      </c>
    </row>
    <row r="40" spans="5:31" x14ac:dyDescent="0.35">
      <c r="E40" s="64"/>
      <c r="F40" s="110" t="e">
        <f t="shared" si="10"/>
        <v>#DIV/0!</v>
      </c>
      <c r="G40" s="124"/>
      <c r="H40" s="116"/>
      <c r="I40" s="115"/>
      <c r="J40" s="110" t="e">
        <f t="shared" si="11"/>
        <v>#DIV/0!</v>
      </c>
      <c r="K40" s="114" t="e">
        <f t="shared" si="12"/>
        <v>#DIV/0!</v>
      </c>
      <c r="L40" s="116"/>
      <c r="M40" s="115"/>
      <c r="N40" s="110" t="e">
        <f t="shared" si="13"/>
        <v>#DIV/0!</v>
      </c>
      <c r="O40" s="118" t="e">
        <f t="shared" si="14"/>
        <v>#DIV/0!</v>
      </c>
      <c r="P40" s="121"/>
      <c r="Q40" s="92">
        <f t="shared" si="15"/>
        <v>0</v>
      </c>
      <c r="R40" s="47" t="e">
        <f t="shared" si="16"/>
        <v>#DIV/0!</v>
      </c>
      <c r="S40" s="89" t="e">
        <f t="shared" si="17"/>
        <v>#DIV/0!</v>
      </c>
      <c r="T40" s="93"/>
      <c r="U40" s="137"/>
      <c r="V40" s="134"/>
      <c r="W40" s="93"/>
      <c r="X40" s="137"/>
      <c r="Y40" s="134"/>
      <c r="Z40" s="104"/>
      <c r="AA40" s="5"/>
      <c r="AB40" s="101">
        <f t="shared" si="18"/>
        <v>0</v>
      </c>
      <c r="AC40" s="138"/>
      <c r="AD40" s="42"/>
      <c r="AE40" s="101">
        <f t="shared" si="19"/>
        <v>0</v>
      </c>
    </row>
    <row r="41" spans="5:31" x14ac:dyDescent="0.35">
      <c r="E41" s="64"/>
      <c r="F41" s="110" t="e">
        <f t="shared" si="10"/>
        <v>#DIV/0!</v>
      </c>
      <c r="G41" s="124"/>
      <c r="H41" s="116"/>
      <c r="I41" s="115"/>
      <c r="J41" s="110" t="e">
        <f t="shared" si="11"/>
        <v>#DIV/0!</v>
      </c>
      <c r="K41" s="114" t="e">
        <f t="shared" si="12"/>
        <v>#DIV/0!</v>
      </c>
      <c r="L41" s="116"/>
      <c r="M41" s="115"/>
      <c r="N41" s="110" t="e">
        <f t="shared" si="13"/>
        <v>#DIV/0!</v>
      </c>
      <c r="O41" s="118" t="e">
        <f t="shared" si="14"/>
        <v>#DIV/0!</v>
      </c>
      <c r="P41" s="121"/>
      <c r="Q41" s="92">
        <f t="shared" si="15"/>
        <v>0</v>
      </c>
      <c r="R41" s="47" t="e">
        <f t="shared" si="16"/>
        <v>#DIV/0!</v>
      </c>
      <c r="S41" s="89" t="e">
        <f t="shared" si="17"/>
        <v>#DIV/0!</v>
      </c>
      <c r="T41" s="93"/>
      <c r="U41" s="137"/>
      <c r="V41" s="134"/>
      <c r="W41" s="93"/>
      <c r="X41" s="137"/>
      <c r="Y41" s="134"/>
      <c r="Z41" s="104"/>
      <c r="AA41" s="5"/>
      <c r="AB41" s="101">
        <f t="shared" si="18"/>
        <v>0</v>
      </c>
      <c r="AC41" s="138"/>
      <c r="AD41" s="42"/>
      <c r="AE41" s="101">
        <f t="shared" si="19"/>
        <v>0</v>
      </c>
    </row>
    <row r="42" spans="5:31" x14ac:dyDescent="0.35">
      <c r="E42" s="64"/>
      <c r="F42" s="110" t="e">
        <f t="shared" si="10"/>
        <v>#DIV/0!</v>
      </c>
      <c r="G42" s="124"/>
      <c r="H42" s="116"/>
      <c r="I42" s="115"/>
      <c r="J42" s="110" t="e">
        <f t="shared" si="11"/>
        <v>#DIV/0!</v>
      </c>
      <c r="K42" s="114" t="e">
        <f t="shared" si="12"/>
        <v>#DIV/0!</v>
      </c>
      <c r="L42" s="116"/>
      <c r="M42" s="115"/>
      <c r="N42" s="110" t="e">
        <f t="shared" si="13"/>
        <v>#DIV/0!</v>
      </c>
      <c r="O42" s="118" t="e">
        <f t="shared" si="14"/>
        <v>#DIV/0!</v>
      </c>
      <c r="P42" s="121"/>
      <c r="Q42" s="92">
        <f t="shared" si="15"/>
        <v>0</v>
      </c>
      <c r="R42" s="47" t="e">
        <f t="shared" si="16"/>
        <v>#DIV/0!</v>
      </c>
      <c r="S42" s="89" t="e">
        <f t="shared" si="17"/>
        <v>#DIV/0!</v>
      </c>
      <c r="T42" s="93"/>
      <c r="U42" s="137"/>
      <c r="V42" s="134"/>
      <c r="W42" s="93"/>
      <c r="X42" s="137"/>
      <c r="Y42" s="134"/>
      <c r="Z42" s="104"/>
      <c r="AA42" s="5"/>
      <c r="AB42" s="101">
        <f t="shared" si="18"/>
        <v>0</v>
      </c>
      <c r="AC42" s="138"/>
      <c r="AD42" s="42"/>
      <c r="AE42" s="101">
        <f t="shared" si="19"/>
        <v>0</v>
      </c>
    </row>
    <row r="43" spans="5:31" x14ac:dyDescent="0.35">
      <c r="E43" s="64"/>
      <c r="F43" s="110" t="e">
        <f t="shared" si="10"/>
        <v>#DIV/0!</v>
      </c>
      <c r="G43" s="124"/>
      <c r="H43" s="116"/>
      <c r="I43" s="115"/>
      <c r="J43" s="110" t="e">
        <f t="shared" si="11"/>
        <v>#DIV/0!</v>
      </c>
      <c r="K43" s="114" t="e">
        <f t="shared" si="12"/>
        <v>#DIV/0!</v>
      </c>
      <c r="L43" s="116"/>
      <c r="M43" s="115"/>
      <c r="N43" s="110" t="e">
        <f t="shared" si="13"/>
        <v>#DIV/0!</v>
      </c>
      <c r="O43" s="118" t="e">
        <f t="shared" si="14"/>
        <v>#DIV/0!</v>
      </c>
      <c r="P43" s="121"/>
      <c r="Q43" s="92">
        <f t="shared" si="15"/>
        <v>0</v>
      </c>
      <c r="R43" s="47" t="e">
        <f t="shared" si="16"/>
        <v>#DIV/0!</v>
      </c>
      <c r="S43" s="89" t="e">
        <f t="shared" si="17"/>
        <v>#DIV/0!</v>
      </c>
      <c r="T43" s="93"/>
      <c r="U43" s="137"/>
      <c r="V43" s="134"/>
      <c r="W43" s="93"/>
      <c r="X43" s="137"/>
      <c r="Y43" s="134"/>
      <c r="Z43" s="104"/>
      <c r="AA43" s="5"/>
      <c r="AB43" s="101">
        <f t="shared" si="18"/>
        <v>0</v>
      </c>
      <c r="AC43" s="138"/>
      <c r="AD43" s="42"/>
      <c r="AE43" s="101">
        <f t="shared" si="19"/>
        <v>0</v>
      </c>
    </row>
    <row r="44" spans="5:31" x14ac:dyDescent="0.35">
      <c r="E44" s="64"/>
      <c r="F44" s="110" t="e">
        <f t="shared" si="10"/>
        <v>#DIV/0!</v>
      </c>
      <c r="G44" s="124"/>
      <c r="H44" s="116"/>
      <c r="I44" s="115"/>
      <c r="J44" s="110" t="e">
        <f t="shared" si="11"/>
        <v>#DIV/0!</v>
      </c>
      <c r="K44" s="114" t="e">
        <f t="shared" si="12"/>
        <v>#DIV/0!</v>
      </c>
      <c r="L44" s="116"/>
      <c r="M44" s="115"/>
      <c r="N44" s="110" t="e">
        <f t="shared" si="13"/>
        <v>#DIV/0!</v>
      </c>
      <c r="O44" s="118" t="e">
        <f t="shared" si="14"/>
        <v>#DIV/0!</v>
      </c>
      <c r="P44" s="121"/>
      <c r="Q44" s="92">
        <f t="shared" si="15"/>
        <v>0</v>
      </c>
      <c r="R44" s="47" t="e">
        <f t="shared" si="16"/>
        <v>#DIV/0!</v>
      </c>
      <c r="S44" s="89" t="e">
        <f t="shared" si="17"/>
        <v>#DIV/0!</v>
      </c>
      <c r="T44" s="93"/>
      <c r="U44" s="137"/>
      <c r="V44" s="134"/>
      <c r="W44" s="93"/>
      <c r="X44" s="137"/>
      <c r="Y44" s="134"/>
      <c r="Z44" s="104"/>
      <c r="AA44" s="5"/>
      <c r="AB44" s="101">
        <f t="shared" si="18"/>
        <v>0</v>
      </c>
      <c r="AC44" s="138"/>
      <c r="AD44" s="42"/>
      <c r="AE44" s="101">
        <f t="shared" si="19"/>
        <v>0</v>
      </c>
    </row>
    <row r="45" spans="5:31" x14ac:dyDescent="0.35">
      <c r="E45" s="64"/>
      <c r="F45" s="110" t="e">
        <f t="shared" si="10"/>
        <v>#DIV/0!</v>
      </c>
      <c r="G45" s="124"/>
      <c r="H45" s="116"/>
      <c r="I45" s="115"/>
      <c r="J45" s="110" t="e">
        <f t="shared" si="11"/>
        <v>#DIV/0!</v>
      </c>
      <c r="K45" s="114" t="e">
        <f t="shared" si="12"/>
        <v>#DIV/0!</v>
      </c>
      <c r="L45" s="116"/>
      <c r="M45" s="115"/>
      <c r="N45" s="110" t="e">
        <f t="shared" si="13"/>
        <v>#DIV/0!</v>
      </c>
      <c r="O45" s="118" t="e">
        <f t="shared" si="14"/>
        <v>#DIV/0!</v>
      </c>
      <c r="P45" s="121"/>
      <c r="Q45" s="92">
        <f t="shared" si="15"/>
        <v>0</v>
      </c>
      <c r="R45" s="47" t="e">
        <f t="shared" si="16"/>
        <v>#DIV/0!</v>
      </c>
      <c r="S45" s="89" t="e">
        <f t="shared" si="17"/>
        <v>#DIV/0!</v>
      </c>
      <c r="T45" s="93"/>
      <c r="U45" s="137"/>
      <c r="V45" s="134"/>
      <c r="W45" s="93"/>
      <c r="X45" s="137"/>
      <c r="Y45" s="134"/>
      <c r="Z45" s="104"/>
      <c r="AA45" s="5"/>
      <c r="AB45" s="101">
        <f t="shared" si="18"/>
        <v>0</v>
      </c>
      <c r="AC45" s="138"/>
      <c r="AD45" s="42"/>
      <c r="AE45" s="101">
        <f t="shared" si="19"/>
        <v>0</v>
      </c>
    </row>
    <row r="46" spans="5:31" x14ac:dyDescent="0.35">
      <c r="E46" s="64"/>
      <c r="F46" s="110" t="e">
        <f t="shared" si="10"/>
        <v>#DIV/0!</v>
      </c>
      <c r="G46" s="124"/>
      <c r="H46" s="116"/>
      <c r="I46" s="115"/>
      <c r="J46" s="110" t="e">
        <f t="shared" si="11"/>
        <v>#DIV/0!</v>
      </c>
      <c r="K46" s="114" t="e">
        <f t="shared" si="12"/>
        <v>#DIV/0!</v>
      </c>
      <c r="L46" s="116"/>
      <c r="M46" s="115"/>
      <c r="N46" s="110" t="e">
        <f t="shared" si="13"/>
        <v>#DIV/0!</v>
      </c>
      <c r="O46" s="118" t="e">
        <f t="shared" si="14"/>
        <v>#DIV/0!</v>
      </c>
      <c r="P46" s="121"/>
      <c r="Q46" s="92">
        <f t="shared" si="15"/>
        <v>0</v>
      </c>
      <c r="R46" s="47" t="e">
        <f t="shared" si="16"/>
        <v>#DIV/0!</v>
      </c>
      <c r="S46" s="89" t="e">
        <f t="shared" si="17"/>
        <v>#DIV/0!</v>
      </c>
      <c r="T46" s="93"/>
      <c r="U46" s="137"/>
      <c r="V46" s="134"/>
      <c r="W46" s="93"/>
      <c r="X46" s="137"/>
      <c r="Y46" s="134"/>
      <c r="Z46" s="104"/>
      <c r="AA46" s="5"/>
      <c r="AB46" s="101">
        <f t="shared" si="18"/>
        <v>0</v>
      </c>
      <c r="AC46" s="138"/>
      <c r="AD46" s="42"/>
      <c r="AE46" s="101">
        <f t="shared" si="19"/>
        <v>0</v>
      </c>
    </row>
    <row r="47" spans="5:31" x14ac:dyDescent="0.35">
      <c r="E47" s="64"/>
      <c r="F47" s="110" t="e">
        <f t="shared" si="10"/>
        <v>#DIV/0!</v>
      </c>
      <c r="G47" s="124"/>
      <c r="H47" s="116"/>
      <c r="I47" s="115"/>
      <c r="J47" s="110" t="e">
        <f t="shared" si="11"/>
        <v>#DIV/0!</v>
      </c>
      <c r="K47" s="114" t="e">
        <f t="shared" si="12"/>
        <v>#DIV/0!</v>
      </c>
      <c r="L47" s="116"/>
      <c r="M47" s="115"/>
      <c r="N47" s="110" t="e">
        <f t="shared" si="13"/>
        <v>#DIV/0!</v>
      </c>
      <c r="O47" s="118" t="e">
        <f t="shared" si="14"/>
        <v>#DIV/0!</v>
      </c>
      <c r="P47" s="121"/>
      <c r="Q47" s="92">
        <f t="shared" si="15"/>
        <v>0</v>
      </c>
      <c r="R47" s="47" t="e">
        <f t="shared" si="16"/>
        <v>#DIV/0!</v>
      </c>
      <c r="S47" s="89" t="e">
        <f t="shared" si="17"/>
        <v>#DIV/0!</v>
      </c>
      <c r="T47" s="93"/>
      <c r="U47" s="137"/>
      <c r="V47" s="134"/>
      <c r="W47" s="93"/>
      <c r="X47" s="137"/>
      <c r="Y47" s="134"/>
      <c r="Z47" s="104"/>
      <c r="AA47" s="5"/>
      <c r="AB47" s="101">
        <f t="shared" si="18"/>
        <v>0</v>
      </c>
      <c r="AC47" s="138"/>
      <c r="AD47" s="42"/>
      <c r="AE47" s="101">
        <f t="shared" si="19"/>
        <v>0</v>
      </c>
    </row>
    <row r="48" spans="5:31" x14ac:dyDescent="0.35">
      <c r="E48" s="64"/>
      <c r="F48" s="110" t="e">
        <f t="shared" si="10"/>
        <v>#DIV/0!</v>
      </c>
      <c r="G48" s="124"/>
      <c r="H48" s="116"/>
      <c r="I48" s="115"/>
      <c r="J48" s="110" t="e">
        <f t="shared" si="11"/>
        <v>#DIV/0!</v>
      </c>
      <c r="K48" s="114" t="e">
        <f t="shared" si="12"/>
        <v>#DIV/0!</v>
      </c>
      <c r="L48" s="116"/>
      <c r="M48" s="115"/>
      <c r="N48" s="110" t="e">
        <f t="shared" si="13"/>
        <v>#DIV/0!</v>
      </c>
      <c r="O48" s="118" t="e">
        <f t="shared" si="14"/>
        <v>#DIV/0!</v>
      </c>
      <c r="P48" s="121"/>
      <c r="Q48" s="92">
        <f t="shared" si="15"/>
        <v>0</v>
      </c>
      <c r="R48" s="47" t="e">
        <f t="shared" si="16"/>
        <v>#DIV/0!</v>
      </c>
      <c r="S48" s="89" t="e">
        <f t="shared" si="17"/>
        <v>#DIV/0!</v>
      </c>
      <c r="T48" s="93"/>
      <c r="U48" s="137"/>
      <c r="V48" s="134"/>
      <c r="W48" s="93"/>
      <c r="X48" s="137"/>
      <c r="Y48" s="134"/>
      <c r="Z48" s="104"/>
      <c r="AA48" s="5"/>
      <c r="AB48" s="101">
        <f t="shared" si="18"/>
        <v>0</v>
      </c>
      <c r="AC48" s="138"/>
      <c r="AD48" s="42"/>
      <c r="AE48" s="101">
        <f t="shared" si="19"/>
        <v>0</v>
      </c>
    </row>
    <row r="49" spans="5:31" x14ac:dyDescent="0.35">
      <c r="E49" s="64"/>
      <c r="F49" s="110" t="e">
        <f t="shared" si="10"/>
        <v>#DIV/0!</v>
      </c>
      <c r="G49" s="124"/>
      <c r="H49" s="116"/>
      <c r="I49" s="115"/>
      <c r="J49" s="110" t="e">
        <f t="shared" si="11"/>
        <v>#DIV/0!</v>
      </c>
      <c r="K49" s="114" t="e">
        <f t="shared" si="12"/>
        <v>#DIV/0!</v>
      </c>
      <c r="L49" s="116"/>
      <c r="M49" s="115"/>
      <c r="N49" s="110" t="e">
        <f t="shared" si="13"/>
        <v>#DIV/0!</v>
      </c>
      <c r="O49" s="118" t="e">
        <f t="shared" si="14"/>
        <v>#DIV/0!</v>
      </c>
      <c r="P49" s="121"/>
      <c r="Q49" s="92">
        <f t="shared" si="15"/>
        <v>0</v>
      </c>
      <c r="R49" s="47" t="e">
        <f t="shared" si="16"/>
        <v>#DIV/0!</v>
      </c>
      <c r="S49" s="89" t="e">
        <f t="shared" si="17"/>
        <v>#DIV/0!</v>
      </c>
      <c r="T49" s="93"/>
      <c r="U49" s="137"/>
      <c r="V49" s="134"/>
      <c r="W49" s="93"/>
      <c r="X49" s="137"/>
      <c r="Y49" s="134"/>
      <c r="Z49" s="104"/>
      <c r="AA49" s="5"/>
      <c r="AB49" s="101">
        <f t="shared" si="18"/>
        <v>0</v>
      </c>
      <c r="AC49" s="138"/>
      <c r="AD49" s="42"/>
      <c r="AE49" s="101">
        <f t="shared" si="19"/>
        <v>0</v>
      </c>
    </row>
    <row r="50" spans="5:31" x14ac:dyDescent="0.35">
      <c r="E50" s="64"/>
      <c r="F50" s="110" t="e">
        <f t="shared" si="10"/>
        <v>#DIV/0!</v>
      </c>
      <c r="G50" s="124"/>
      <c r="H50" s="116"/>
      <c r="I50" s="115"/>
      <c r="J50" s="110" t="e">
        <f t="shared" si="11"/>
        <v>#DIV/0!</v>
      </c>
      <c r="K50" s="114" t="e">
        <f t="shared" si="12"/>
        <v>#DIV/0!</v>
      </c>
      <c r="L50" s="116"/>
      <c r="M50" s="115"/>
      <c r="N50" s="110" t="e">
        <f t="shared" si="13"/>
        <v>#DIV/0!</v>
      </c>
      <c r="O50" s="118" t="e">
        <f t="shared" si="14"/>
        <v>#DIV/0!</v>
      </c>
      <c r="P50" s="121"/>
      <c r="Q50" s="92">
        <f t="shared" si="15"/>
        <v>0</v>
      </c>
      <c r="R50" s="47" t="e">
        <f t="shared" si="16"/>
        <v>#DIV/0!</v>
      </c>
      <c r="S50" s="89" t="e">
        <f t="shared" si="17"/>
        <v>#DIV/0!</v>
      </c>
      <c r="T50" s="93"/>
      <c r="U50" s="137"/>
      <c r="V50" s="134"/>
      <c r="W50" s="93"/>
      <c r="X50" s="137"/>
      <c r="Y50" s="134"/>
      <c r="Z50" s="104"/>
      <c r="AA50" s="5"/>
      <c r="AB50" s="101">
        <f t="shared" si="18"/>
        <v>0</v>
      </c>
      <c r="AC50" s="138"/>
      <c r="AD50" s="42"/>
      <c r="AE50" s="101">
        <f t="shared" si="19"/>
        <v>0</v>
      </c>
    </row>
    <row r="51" spans="5:31" x14ac:dyDescent="0.35">
      <c r="E51" s="64"/>
      <c r="F51" s="110" t="e">
        <f t="shared" si="10"/>
        <v>#DIV/0!</v>
      </c>
      <c r="G51" s="124"/>
      <c r="H51" s="116"/>
      <c r="I51" s="115"/>
      <c r="J51" s="110" t="e">
        <f t="shared" si="11"/>
        <v>#DIV/0!</v>
      </c>
      <c r="K51" s="114" t="e">
        <f t="shared" si="12"/>
        <v>#DIV/0!</v>
      </c>
      <c r="L51" s="116"/>
      <c r="M51" s="115"/>
      <c r="N51" s="110" t="e">
        <f t="shared" si="13"/>
        <v>#DIV/0!</v>
      </c>
      <c r="O51" s="118" t="e">
        <f t="shared" si="14"/>
        <v>#DIV/0!</v>
      </c>
      <c r="P51" s="121"/>
      <c r="Q51" s="92">
        <f t="shared" si="15"/>
        <v>0</v>
      </c>
      <c r="R51" s="47" t="e">
        <f t="shared" si="16"/>
        <v>#DIV/0!</v>
      </c>
      <c r="S51" s="89" t="e">
        <f t="shared" si="17"/>
        <v>#DIV/0!</v>
      </c>
      <c r="T51" s="93"/>
      <c r="U51" s="137"/>
      <c r="V51" s="134"/>
      <c r="W51" s="93"/>
      <c r="X51" s="137"/>
      <c r="Y51" s="134"/>
      <c r="Z51" s="104"/>
      <c r="AA51" s="5"/>
      <c r="AB51" s="101">
        <f t="shared" si="18"/>
        <v>0</v>
      </c>
      <c r="AC51" s="138"/>
      <c r="AD51" s="42"/>
      <c r="AE51" s="101">
        <f t="shared" si="19"/>
        <v>0</v>
      </c>
    </row>
    <row r="52" spans="5:31" x14ac:dyDescent="0.35">
      <c r="E52" s="64"/>
      <c r="F52" s="110" t="e">
        <f t="shared" si="10"/>
        <v>#DIV/0!</v>
      </c>
      <c r="G52" s="124"/>
      <c r="H52" s="116"/>
      <c r="I52" s="115"/>
      <c r="J52" s="110" t="e">
        <f t="shared" si="11"/>
        <v>#DIV/0!</v>
      </c>
      <c r="K52" s="114" t="e">
        <f t="shared" si="12"/>
        <v>#DIV/0!</v>
      </c>
      <c r="L52" s="116"/>
      <c r="M52" s="115"/>
      <c r="N52" s="110" t="e">
        <f t="shared" si="13"/>
        <v>#DIV/0!</v>
      </c>
      <c r="O52" s="118" t="e">
        <f t="shared" si="14"/>
        <v>#DIV/0!</v>
      </c>
      <c r="P52" s="121"/>
      <c r="Q52" s="92">
        <f t="shared" si="15"/>
        <v>0</v>
      </c>
      <c r="R52" s="47" t="e">
        <f t="shared" si="16"/>
        <v>#DIV/0!</v>
      </c>
      <c r="S52" s="89" t="e">
        <f t="shared" si="17"/>
        <v>#DIV/0!</v>
      </c>
      <c r="T52" s="93"/>
      <c r="U52" s="137"/>
      <c r="V52" s="134"/>
      <c r="W52" s="93"/>
      <c r="X52" s="137"/>
      <c r="Y52" s="134"/>
      <c r="Z52" s="104"/>
      <c r="AA52" s="5"/>
      <c r="AB52" s="101">
        <f t="shared" si="18"/>
        <v>0</v>
      </c>
      <c r="AC52" s="138"/>
      <c r="AD52" s="42"/>
      <c r="AE52" s="101">
        <f t="shared" si="19"/>
        <v>0</v>
      </c>
    </row>
    <row r="53" spans="5:31" x14ac:dyDescent="0.35">
      <c r="E53" s="64"/>
      <c r="F53" s="110" t="e">
        <f t="shared" si="10"/>
        <v>#DIV/0!</v>
      </c>
      <c r="G53" s="124"/>
      <c r="H53" s="116"/>
      <c r="I53" s="115"/>
      <c r="J53" s="110" t="e">
        <f t="shared" si="11"/>
        <v>#DIV/0!</v>
      </c>
      <c r="K53" s="114" t="e">
        <f t="shared" si="12"/>
        <v>#DIV/0!</v>
      </c>
      <c r="L53" s="116"/>
      <c r="M53" s="115"/>
      <c r="N53" s="110" t="e">
        <f t="shared" si="13"/>
        <v>#DIV/0!</v>
      </c>
      <c r="O53" s="118" t="e">
        <f t="shared" si="14"/>
        <v>#DIV/0!</v>
      </c>
      <c r="P53" s="121"/>
      <c r="Q53" s="92">
        <f t="shared" si="15"/>
        <v>0</v>
      </c>
      <c r="R53" s="47" t="e">
        <f t="shared" si="16"/>
        <v>#DIV/0!</v>
      </c>
      <c r="S53" s="89" t="e">
        <f t="shared" si="17"/>
        <v>#DIV/0!</v>
      </c>
      <c r="T53" s="93"/>
      <c r="U53" s="137"/>
      <c r="V53" s="134"/>
      <c r="W53" s="93"/>
      <c r="X53" s="137"/>
      <c r="Y53" s="134"/>
      <c r="Z53" s="104"/>
      <c r="AA53" s="5"/>
      <c r="AB53" s="101">
        <f t="shared" si="18"/>
        <v>0</v>
      </c>
      <c r="AC53" s="138"/>
      <c r="AD53" s="42"/>
      <c r="AE53" s="101">
        <f t="shared" si="19"/>
        <v>0</v>
      </c>
    </row>
    <row r="54" spans="5:31" x14ac:dyDescent="0.35">
      <c r="E54" s="64"/>
      <c r="F54" s="110" t="e">
        <f t="shared" si="10"/>
        <v>#DIV/0!</v>
      </c>
      <c r="G54" s="124"/>
      <c r="H54" s="116"/>
      <c r="I54" s="115"/>
      <c r="J54" s="110" t="e">
        <f t="shared" si="11"/>
        <v>#DIV/0!</v>
      </c>
      <c r="K54" s="114" t="e">
        <f t="shared" si="12"/>
        <v>#DIV/0!</v>
      </c>
      <c r="L54" s="116"/>
      <c r="M54" s="115"/>
      <c r="N54" s="110" t="e">
        <f t="shared" si="13"/>
        <v>#DIV/0!</v>
      </c>
      <c r="O54" s="118" t="e">
        <f t="shared" si="14"/>
        <v>#DIV/0!</v>
      </c>
      <c r="P54" s="121"/>
      <c r="Q54" s="92">
        <f t="shared" si="15"/>
        <v>0</v>
      </c>
      <c r="R54" s="47" t="e">
        <f t="shared" si="16"/>
        <v>#DIV/0!</v>
      </c>
      <c r="S54" s="89" t="e">
        <f t="shared" si="17"/>
        <v>#DIV/0!</v>
      </c>
      <c r="T54" s="93"/>
      <c r="U54" s="137"/>
      <c r="V54" s="134"/>
      <c r="W54" s="93"/>
      <c r="X54" s="137"/>
      <c r="Y54" s="134"/>
      <c r="Z54" s="104"/>
      <c r="AA54" s="5"/>
      <c r="AB54" s="101">
        <f t="shared" si="18"/>
        <v>0</v>
      </c>
      <c r="AC54" s="138"/>
      <c r="AD54" s="42"/>
      <c r="AE54" s="101">
        <f t="shared" si="19"/>
        <v>0</v>
      </c>
    </row>
    <row r="55" spans="5:31" x14ac:dyDescent="0.35">
      <c r="E55" s="64"/>
      <c r="F55" s="110" t="e">
        <f t="shared" si="10"/>
        <v>#DIV/0!</v>
      </c>
      <c r="G55" s="124"/>
      <c r="H55" s="116"/>
      <c r="I55" s="115"/>
      <c r="J55" s="110" t="e">
        <f t="shared" si="11"/>
        <v>#DIV/0!</v>
      </c>
      <c r="K55" s="114" t="e">
        <f t="shared" si="12"/>
        <v>#DIV/0!</v>
      </c>
      <c r="L55" s="116"/>
      <c r="M55" s="115"/>
      <c r="N55" s="110" t="e">
        <f t="shared" si="13"/>
        <v>#DIV/0!</v>
      </c>
      <c r="O55" s="118" t="e">
        <f t="shared" si="14"/>
        <v>#DIV/0!</v>
      </c>
      <c r="P55" s="121"/>
      <c r="Q55" s="92">
        <f t="shared" si="15"/>
        <v>0</v>
      </c>
      <c r="R55" s="47" t="e">
        <f t="shared" si="16"/>
        <v>#DIV/0!</v>
      </c>
      <c r="S55" s="89" t="e">
        <f t="shared" si="17"/>
        <v>#DIV/0!</v>
      </c>
      <c r="T55" s="93"/>
      <c r="U55" s="137"/>
      <c r="V55" s="134"/>
      <c r="W55" s="93"/>
      <c r="X55" s="137"/>
      <c r="Y55" s="134"/>
      <c r="Z55" s="104"/>
      <c r="AA55" s="5"/>
      <c r="AB55" s="101">
        <f t="shared" si="18"/>
        <v>0</v>
      </c>
      <c r="AC55" s="138"/>
      <c r="AD55" s="42"/>
      <c r="AE55" s="101">
        <f t="shared" si="19"/>
        <v>0</v>
      </c>
    </row>
    <row r="56" spans="5:31" x14ac:dyDescent="0.35">
      <c r="E56" s="64"/>
      <c r="F56" s="110" t="e">
        <f t="shared" si="10"/>
        <v>#DIV/0!</v>
      </c>
      <c r="G56" s="124"/>
      <c r="H56" s="116"/>
      <c r="I56" s="115"/>
      <c r="J56" s="110" t="e">
        <f t="shared" si="11"/>
        <v>#DIV/0!</v>
      </c>
      <c r="K56" s="114" t="e">
        <f t="shared" si="12"/>
        <v>#DIV/0!</v>
      </c>
      <c r="L56" s="116"/>
      <c r="M56" s="115"/>
      <c r="N56" s="110" t="e">
        <f t="shared" si="13"/>
        <v>#DIV/0!</v>
      </c>
      <c r="O56" s="118" t="e">
        <f t="shared" si="14"/>
        <v>#DIV/0!</v>
      </c>
      <c r="P56" s="121"/>
      <c r="Q56" s="92">
        <f t="shared" si="15"/>
        <v>0</v>
      </c>
      <c r="R56" s="47" t="e">
        <f t="shared" si="16"/>
        <v>#DIV/0!</v>
      </c>
      <c r="S56" s="89" t="e">
        <f t="shared" si="17"/>
        <v>#DIV/0!</v>
      </c>
      <c r="T56" s="93"/>
      <c r="U56" s="137"/>
      <c r="V56" s="134"/>
      <c r="W56" s="93"/>
      <c r="X56" s="137"/>
      <c r="Y56" s="134"/>
      <c r="Z56" s="104"/>
      <c r="AA56" s="5"/>
      <c r="AB56" s="101">
        <f t="shared" si="18"/>
        <v>0</v>
      </c>
      <c r="AC56" s="138"/>
      <c r="AD56" s="42"/>
      <c r="AE56" s="101">
        <f t="shared" si="19"/>
        <v>0</v>
      </c>
    </row>
    <row r="57" spans="5:31" x14ac:dyDescent="0.35">
      <c r="E57" s="64"/>
      <c r="F57" s="110" t="e">
        <f t="shared" si="10"/>
        <v>#DIV/0!</v>
      </c>
      <c r="G57" s="124"/>
      <c r="H57" s="116"/>
      <c r="I57" s="115"/>
      <c r="J57" s="110" t="e">
        <f t="shared" si="11"/>
        <v>#DIV/0!</v>
      </c>
      <c r="K57" s="114" t="e">
        <f t="shared" si="12"/>
        <v>#DIV/0!</v>
      </c>
      <c r="L57" s="116"/>
      <c r="M57" s="115"/>
      <c r="N57" s="110" t="e">
        <f t="shared" si="13"/>
        <v>#DIV/0!</v>
      </c>
      <c r="O57" s="118" t="e">
        <f t="shared" si="14"/>
        <v>#DIV/0!</v>
      </c>
      <c r="P57" s="121"/>
      <c r="Q57" s="92">
        <f t="shared" si="15"/>
        <v>0</v>
      </c>
      <c r="R57" s="47" t="e">
        <f t="shared" si="16"/>
        <v>#DIV/0!</v>
      </c>
      <c r="S57" s="89" t="e">
        <f t="shared" si="17"/>
        <v>#DIV/0!</v>
      </c>
      <c r="T57" s="93"/>
      <c r="U57" s="137"/>
      <c r="V57" s="134"/>
      <c r="W57" s="93"/>
      <c r="X57" s="137"/>
      <c r="Y57" s="134"/>
      <c r="Z57" s="104"/>
      <c r="AA57" s="5"/>
      <c r="AB57" s="101">
        <f t="shared" si="18"/>
        <v>0</v>
      </c>
      <c r="AC57" s="138"/>
      <c r="AD57" s="42"/>
      <c r="AE57" s="101">
        <f t="shared" si="19"/>
        <v>0</v>
      </c>
    </row>
    <row r="58" spans="5:31" x14ac:dyDescent="0.35">
      <c r="E58" s="64"/>
      <c r="F58" s="110" t="e">
        <f t="shared" si="10"/>
        <v>#DIV/0!</v>
      </c>
      <c r="G58" s="124"/>
      <c r="H58" s="116"/>
      <c r="I58" s="115"/>
      <c r="J58" s="110" t="e">
        <f t="shared" si="11"/>
        <v>#DIV/0!</v>
      </c>
      <c r="K58" s="114" t="e">
        <f t="shared" si="12"/>
        <v>#DIV/0!</v>
      </c>
      <c r="L58" s="116"/>
      <c r="M58" s="115"/>
      <c r="N58" s="110" t="e">
        <f t="shared" si="13"/>
        <v>#DIV/0!</v>
      </c>
      <c r="O58" s="118" t="e">
        <f t="shared" si="14"/>
        <v>#DIV/0!</v>
      </c>
      <c r="P58" s="121"/>
      <c r="Q58" s="92">
        <f t="shared" si="15"/>
        <v>0</v>
      </c>
      <c r="R58" s="47" t="e">
        <f t="shared" si="16"/>
        <v>#DIV/0!</v>
      </c>
      <c r="S58" s="89" t="e">
        <f t="shared" si="17"/>
        <v>#DIV/0!</v>
      </c>
      <c r="T58" s="93"/>
      <c r="U58" s="137"/>
      <c r="V58" s="134"/>
      <c r="W58" s="93"/>
      <c r="X58" s="137"/>
      <c r="Y58" s="134"/>
      <c r="Z58" s="104"/>
      <c r="AA58" s="5"/>
      <c r="AB58" s="101">
        <f t="shared" si="18"/>
        <v>0</v>
      </c>
      <c r="AC58" s="138"/>
      <c r="AD58" s="42"/>
      <c r="AE58" s="101">
        <f t="shared" si="19"/>
        <v>0</v>
      </c>
    </row>
    <row r="59" spans="5:31" x14ac:dyDescent="0.35">
      <c r="E59" s="64"/>
      <c r="F59" s="110" t="e">
        <f t="shared" si="10"/>
        <v>#DIV/0!</v>
      </c>
      <c r="G59" s="124"/>
      <c r="H59" s="116"/>
      <c r="I59" s="115"/>
      <c r="J59" s="110" t="e">
        <f t="shared" si="11"/>
        <v>#DIV/0!</v>
      </c>
      <c r="K59" s="114" t="e">
        <f t="shared" si="12"/>
        <v>#DIV/0!</v>
      </c>
      <c r="L59" s="116"/>
      <c r="M59" s="115"/>
      <c r="N59" s="110" t="e">
        <f t="shared" si="13"/>
        <v>#DIV/0!</v>
      </c>
      <c r="O59" s="118" t="e">
        <f t="shared" si="14"/>
        <v>#DIV/0!</v>
      </c>
      <c r="P59" s="121"/>
      <c r="Q59" s="92">
        <f t="shared" si="15"/>
        <v>0</v>
      </c>
      <c r="R59" s="47" t="e">
        <f t="shared" si="16"/>
        <v>#DIV/0!</v>
      </c>
      <c r="S59" s="89" t="e">
        <f t="shared" si="17"/>
        <v>#DIV/0!</v>
      </c>
      <c r="T59" s="93"/>
      <c r="U59" s="137"/>
      <c r="V59" s="134"/>
      <c r="W59" s="93"/>
      <c r="X59" s="137"/>
      <c r="Y59" s="134"/>
      <c r="Z59" s="104"/>
      <c r="AA59" s="5"/>
      <c r="AB59" s="101">
        <f t="shared" si="18"/>
        <v>0</v>
      </c>
      <c r="AC59" s="138"/>
      <c r="AD59" s="42"/>
      <c r="AE59" s="101">
        <f t="shared" si="19"/>
        <v>0</v>
      </c>
    </row>
    <row r="60" spans="5:31" x14ac:dyDescent="0.35">
      <c r="E60" s="64"/>
      <c r="F60" s="110" t="e">
        <f t="shared" si="10"/>
        <v>#DIV/0!</v>
      </c>
      <c r="G60" s="124"/>
      <c r="H60" s="116"/>
      <c r="I60" s="115"/>
      <c r="J60" s="110" t="e">
        <f t="shared" si="11"/>
        <v>#DIV/0!</v>
      </c>
      <c r="K60" s="114" t="e">
        <f t="shared" si="12"/>
        <v>#DIV/0!</v>
      </c>
      <c r="L60" s="116"/>
      <c r="M60" s="115"/>
      <c r="N60" s="110" t="e">
        <f t="shared" si="13"/>
        <v>#DIV/0!</v>
      </c>
      <c r="O60" s="118" t="e">
        <f t="shared" si="14"/>
        <v>#DIV/0!</v>
      </c>
      <c r="P60" s="121"/>
      <c r="Q60" s="92">
        <f t="shared" si="15"/>
        <v>0</v>
      </c>
      <c r="R60" s="47" t="e">
        <f t="shared" si="16"/>
        <v>#DIV/0!</v>
      </c>
      <c r="S60" s="89" t="e">
        <f t="shared" si="17"/>
        <v>#DIV/0!</v>
      </c>
      <c r="T60" s="93"/>
      <c r="U60" s="137"/>
      <c r="V60" s="134"/>
      <c r="W60" s="93"/>
      <c r="X60" s="137"/>
      <c r="Y60" s="134"/>
      <c r="Z60" s="104"/>
      <c r="AA60" s="5"/>
      <c r="AB60" s="101">
        <f t="shared" si="18"/>
        <v>0</v>
      </c>
      <c r="AC60" s="138"/>
      <c r="AD60" s="42"/>
      <c r="AE60" s="101">
        <f t="shared" si="19"/>
        <v>0</v>
      </c>
    </row>
    <row r="61" spans="5:31" x14ac:dyDescent="0.35">
      <c r="E61" s="64"/>
      <c r="F61" s="110" t="e">
        <f t="shared" si="10"/>
        <v>#DIV/0!</v>
      </c>
      <c r="G61" s="124"/>
      <c r="H61" s="116"/>
      <c r="I61" s="115"/>
      <c r="J61" s="110" t="e">
        <f t="shared" si="11"/>
        <v>#DIV/0!</v>
      </c>
      <c r="K61" s="114" t="e">
        <f t="shared" si="12"/>
        <v>#DIV/0!</v>
      </c>
      <c r="L61" s="116"/>
      <c r="M61" s="115"/>
      <c r="N61" s="110" t="e">
        <f t="shared" si="13"/>
        <v>#DIV/0!</v>
      </c>
      <c r="O61" s="118" t="e">
        <f t="shared" si="14"/>
        <v>#DIV/0!</v>
      </c>
      <c r="P61" s="121"/>
      <c r="Q61" s="92">
        <f t="shared" si="15"/>
        <v>0</v>
      </c>
      <c r="R61" s="47" t="e">
        <f t="shared" si="16"/>
        <v>#DIV/0!</v>
      </c>
      <c r="S61" s="89" t="e">
        <f t="shared" si="17"/>
        <v>#DIV/0!</v>
      </c>
      <c r="T61" s="93"/>
      <c r="U61" s="137"/>
      <c r="V61" s="134"/>
      <c r="W61" s="93"/>
      <c r="X61" s="137"/>
      <c r="Y61" s="134"/>
      <c r="Z61" s="104"/>
      <c r="AA61" s="5"/>
      <c r="AB61" s="101">
        <f t="shared" si="18"/>
        <v>0</v>
      </c>
      <c r="AC61" s="138"/>
      <c r="AD61" s="42"/>
      <c r="AE61" s="101">
        <f t="shared" si="19"/>
        <v>0</v>
      </c>
    </row>
    <row r="62" spans="5:31" x14ac:dyDescent="0.35">
      <c r="E62" s="64"/>
      <c r="F62" s="110" t="e">
        <f t="shared" si="10"/>
        <v>#DIV/0!</v>
      </c>
      <c r="G62" s="124"/>
      <c r="H62" s="116"/>
      <c r="I62" s="115"/>
      <c r="J62" s="110" t="e">
        <f t="shared" si="11"/>
        <v>#DIV/0!</v>
      </c>
      <c r="K62" s="114" t="e">
        <f t="shared" si="12"/>
        <v>#DIV/0!</v>
      </c>
      <c r="L62" s="116"/>
      <c r="M62" s="115"/>
      <c r="N62" s="110" t="e">
        <f t="shared" si="13"/>
        <v>#DIV/0!</v>
      </c>
      <c r="O62" s="118" t="e">
        <f t="shared" si="14"/>
        <v>#DIV/0!</v>
      </c>
      <c r="P62" s="121"/>
      <c r="Q62" s="92">
        <f t="shared" si="15"/>
        <v>0</v>
      </c>
      <c r="R62" s="47" t="e">
        <f t="shared" si="16"/>
        <v>#DIV/0!</v>
      </c>
      <c r="S62" s="89" t="e">
        <f t="shared" si="17"/>
        <v>#DIV/0!</v>
      </c>
      <c r="T62" s="93"/>
      <c r="U62" s="137"/>
      <c r="V62" s="134"/>
      <c r="W62" s="93"/>
      <c r="X62" s="137"/>
      <c r="Y62" s="134"/>
      <c r="Z62" s="104"/>
      <c r="AA62" s="5"/>
      <c r="AB62" s="101">
        <f t="shared" si="18"/>
        <v>0</v>
      </c>
      <c r="AC62" s="138"/>
      <c r="AD62" s="42"/>
      <c r="AE62" s="101">
        <f t="shared" si="19"/>
        <v>0</v>
      </c>
    </row>
    <row r="63" spans="5:31" x14ac:dyDescent="0.35">
      <c r="E63" s="64"/>
      <c r="F63" s="110" t="e">
        <f t="shared" si="10"/>
        <v>#DIV/0!</v>
      </c>
      <c r="G63" s="124"/>
      <c r="H63" s="116"/>
      <c r="I63" s="115"/>
      <c r="J63" s="110" t="e">
        <f t="shared" si="11"/>
        <v>#DIV/0!</v>
      </c>
      <c r="K63" s="114" t="e">
        <f t="shared" si="12"/>
        <v>#DIV/0!</v>
      </c>
      <c r="L63" s="116"/>
      <c r="M63" s="115"/>
      <c r="N63" s="110" t="e">
        <f t="shared" si="13"/>
        <v>#DIV/0!</v>
      </c>
      <c r="O63" s="118" t="e">
        <f t="shared" si="14"/>
        <v>#DIV/0!</v>
      </c>
      <c r="P63" s="121"/>
      <c r="Q63" s="92">
        <f t="shared" si="15"/>
        <v>0</v>
      </c>
      <c r="R63" s="47" t="e">
        <f t="shared" si="16"/>
        <v>#DIV/0!</v>
      </c>
      <c r="S63" s="89" t="e">
        <f t="shared" si="17"/>
        <v>#DIV/0!</v>
      </c>
      <c r="T63" s="93"/>
      <c r="U63" s="137"/>
      <c r="V63" s="134"/>
      <c r="W63" s="93"/>
      <c r="X63" s="137"/>
      <c r="Y63" s="134"/>
      <c r="Z63" s="104"/>
      <c r="AA63" s="5"/>
      <c r="AB63" s="101">
        <f t="shared" si="18"/>
        <v>0</v>
      </c>
      <c r="AC63" s="138"/>
      <c r="AD63" s="42"/>
      <c r="AE63" s="101">
        <f t="shared" si="19"/>
        <v>0</v>
      </c>
    </row>
    <row r="64" spans="5:31" x14ac:dyDescent="0.35">
      <c r="E64" s="64"/>
      <c r="F64" s="110" t="e">
        <f t="shared" si="10"/>
        <v>#DIV/0!</v>
      </c>
      <c r="G64" s="124"/>
      <c r="H64" s="116"/>
      <c r="I64" s="115"/>
      <c r="J64" s="110" t="e">
        <f t="shared" si="11"/>
        <v>#DIV/0!</v>
      </c>
      <c r="K64" s="114" t="e">
        <f t="shared" si="12"/>
        <v>#DIV/0!</v>
      </c>
      <c r="L64" s="116"/>
      <c r="M64" s="115"/>
      <c r="N64" s="110" t="e">
        <f t="shared" si="13"/>
        <v>#DIV/0!</v>
      </c>
      <c r="O64" s="118" t="e">
        <f t="shared" si="14"/>
        <v>#DIV/0!</v>
      </c>
      <c r="P64" s="121"/>
      <c r="Q64" s="92">
        <f t="shared" si="15"/>
        <v>0</v>
      </c>
      <c r="R64" s="47" t="e">
        <f t="shared" si="16"/>
        <v>#DIV/0!</v>
      </c>
      <c r="S64" s="89" t="e">
        <f t="shared" si="17"/>
        <v>#DIV/0!</v>
      </c>
      <c r="T64" s="93"/>
      <c r="U64" s="137"/>
      <c r="V64" s="134"/>
      <c r="W64" s="93"/>
      <c r="X64" s="137"/>
      <c r="Y64" s="134"/>
      <c r="Z64" s="104"/>
      <c r="AA64" s="5"/>
      <c r="AB64" s="101">
        <f t="shared" si="18"/>
        <v>0</v>
      </c>
      <c r="AC64" s="138"/>
      <c r="AD64" s="42"/>
      <c r="AE64" s="101">
        <f t="shared" si="19"/>
        <v>0</v>
      </c>
    </row>
    <row r="65" spans="5:31" x14ac:dyDescent="0.35">
      <c r="E65" s="64"/>
      <c r="F65" s="110" t="e">
        <f t="shared" si="10"/>
        <v>#DIV/0!</v>
      </c>
      <c r="G65" s="124"/>
      <c r="H65" s="116"/>
      <c r="I65" s="115"/>
      <c r="J65" s="110" t="e">
        <f t="shared" si="11"/>
        <v>#DIV/0!</v>
      </c>
      <c r="K65" s="114" t="e">
        <f t="shared" si="12"/>
        <v>#DIV/0!</v>
      </c>
      <c r="L65" s="116"/>
      <c r="M65" s="115"/>
      <c r="N65" s="110" t="e">
        <f t="shared" si="13"/>
        <v>#DIV/0!</v>
      </c>
      <c r="O65" s="118" t="e">
        <f t="shared" si="14"/>
        <v>#DIV/0!</v>
      </c>
      <c r="P65" s="121"/>
      <c r="Q65" s="92">
        <f t="shared" si="15"/>
        <v>0</v>
      </c>
      <c r="R65" s="47" t="e">
        <f t="shared" si="16"/>
        <v>#DIV/0!</v>
      </c>
      <c r="S65" s="89" t="e">
        <f t="shared" si="17"/>
        <v>#DIV/0!</v>
      </c>
      <c r="T65" s="93"/>
      <c r="U65" s="137"/>
      <c r="V65" s="134"/>
      <c r="W65" s="93"/>
      <c r="X65" s="137"/>
      <c r="Y65" s="134"/>
      <c r="Z65" s="104"/>
      <c r="AA65" s="5"/>
      <c r="AB65" s="101">
        <f t="shared" si="18"/>
        <v>0</v>
      </c>
      <c r="AC65" s="138"/>
      <c r="AD65" s="42"/>
      <c r="AE65" s="101">
        <f t="shared" si="19"/>
        <v>0</v>
      </c>
    </row>
    <row r="66" spans="5:31" x14ac:dyDescent="0.35">
      <c r="E66" s="64"/>
      <c r="F66" s="110" t="e">
        <f t="shared" si="10"/>
        <v>#DIV/0!</v>
      </c>
      <c r="G66" s="124"/>
      <c r="H66" s="116"/>
      <c r="I66" s="115"/>
      <c r="J66" s="110" t="e">
        <f t="shared" si="11"/>
        <v>#DIV/0!</v>
      </c>
      <c r="K66" s="114" t="e">
        <f t="shared" si="12"/>
        <v>#DIV/0!</v>
      </c>
      <c r="L66" s="116"/>
      <c r="M66" s="115"/>
      <c r="N66" s="110" t="e">
        <f t="shared" si="13"/>
        <v>#DIV/0!</v>
      </c>
      <c r="O66" s="118" t="e">
        <f t="shared" si="14"/>
        <v>#DIV/0!</v>
      </c>
      <c r="P66" s="121"/>
      <c r="Q66" s="92">
        <f t="shared" si="15"/>
        <v>0</v>
      </c>
      <c r="R66" s="47" t="e">
        <f t="shared" si="16"/>
        <v>#DIV/0!</v>
      </c>
      <c r="S66" s="89" t="e">
        <f t="shared" si="17"/>
        <v>#DIV/0!</v>
      </c>
      <c r="T66" s="93"/>
      <c r="U66" s="137"/>
      <c r="V66" s="134"/>
      <c r="W66" s="93"/>
      <c r="X66" s="137"/>
      <c r="Y66" s="134"/>
      <c r="Z66" s="104"/>
      <c r="AA66" s="5"/>
      <c r="AB66" s="101">
        <f t="shared" si="18"/>
        <v>0</v>
      </c>
      <c r="AC66" s="138"/>
      <c r="AD66" s="42"/>
      <c r="AE66" s="101">
        <f t="shared" si="19"/>
        <v>0</v>
      </c>
    </row>
    <row r="67" spans="5:31" x14ac:dyDescent="0.35">
      <c r="E67" s="64"/>
      <c r="F67" s="110" t="e">
        <f t="shared" si="10"/>
        <v>#DIV/0!</v>
      </c>
      <c r="G67" s="124"/>
      <c r="H67" s="116"/>
      <c r="I67" s="115"/>
      <c r="J67" s="110" t="e">
        <f t="shared" si="11"/>
        <v>#DIV/0!</v>
      </c>
      <c r="K67" s="114" t="e">
        <f t="shared" si="12"/>
        <v>#DIV/0!</v>
      </c>
      <c r="L67" s="116"/>
      <c r="M67" s="115"/>
      <c r="N67" s="110" t="e">
        <f t="shared" si="13"/>
        <v>#DIV/0!</v>
      </c>
      <c r="O67" s="118" t="e">
        <f t="shared" si="14"/>
        <v>#DIV/0!</v>
      </c>
      <c r="P67" s="121"/>
      <c r="Q67" s="92">
        <f t="shared" si="15"/>
        <v>0</v>
      </c>
      <c r="R67" s="47" t="e">
        <f t="shared" si="16"/>
        <v>#DIV/0!</v>
      </c>
      <c r="S67" s="89" t="e">
        <f t="shared" si="17"/>
        <v>#DIV/0!</v>
      </c>
      <c r="T67" s="93"/>
      <c r="U67" s="137"/>
      <c r="V67" s="134"/>
      <c r="W67" s="93"/>
      <c r="X67" s="137"/>
      <c r="Y67" s="134"/>
      <c r="Z67" s="104"/>
      <c r="AA67" s="5"/>
      <c r="AB67" s="101">
        <f t="shared" si="18"/>
        <v>0</v>
      </c>
      <c r="AC67" s="138"/>
      <c r="AD67" s="42"/>
      <c r="AE67" s="101">
        <f t="shared" si="19"/>
        <v>0</v>
      </c>
    </row>
    <row r="68" spans="5:31" x14ac:dyDescent="0.35">
      <c r="E68" s="64"/>
      <c r="F68" s="110" t="e">
        <f t="shared" si="10"/>
        <v>#DIV/0!</v>
      </c>
      <c r="G68" s="124"/>
      <c r="H68" s="116"/>
      <c r="I68" s="115"/>
      <c r="J68" s="110" t="e">
        <f t="shared" si="11"/>
        <v>#DIV/0!</v>
      </c>
      <c r="K68" s="114" t="e">
        <f t="shared" si="12"/>
        <v>#DIV/0!</v>
      </c>
      <c r="L68" s="116"/>
      <c r="M68" s="115"/>
      <c r="N68" s="110" t="e">
        <f t="shared" si="13"/>
        <v>#DIV/0!</v>
      </c>
      <c r="O68" s="118" t="e">
        <f t="shared" si="14"/>
        <v>#DIV/0!</v>
      </c>
      <c r="P68" s="121"/>
      <c r="Q68" s="92">
        <f t="shared" si="15"/>
        <v>0</v>
      </c>
      <c r="R68" s="47" t="e">
        <f t="shared" si="16"/>
        <v>#DIV/0!</v>
      </c>
      <c r="S68" s="89" t="e">
        <f t="shared" si="17"/>
        <v>#DIV/0!</v>
      </c>
      <c r="T68" s="93"/>
      <c r="U68" s="137"/>
      <c r="V68" s="134"/>
      <c r="W68" s="93"/>
      <c r="X68" s="137"/>
      <c r="Y68" s="134"/>
      <c r="Z68" s="104"/>
      <c r="AA68" s="5"/>
      <c r="AB68" s="101">
        <f t="shared" si="18"/>
        <v>0</v>
      </c>
      <c r="AC68" s="138"/>
      <c r="AD68" s="42"/>
      <c r="AE68" s="101">
        <f t="shared" si="19"/>
        <v>0</v>
      </c>
    </row>
    <row r="69" spans="5:31" x14ac:dyDescent="0.35">
      <c r="E69" s="64"/>
      <c r="F69" s="110" t="e">
        <f t="shared" si="10"/>
        <v>#DIV/0!</v>
      </c>
      <c r="G69" s="124"/>
      <c r="H69" s="116"/>
      <c r="I69" s="115"/>
      <c r="J69" s="110" t="e">
        <f t="shared" si="11"/>
        <v>#DIV/0!</v>
      </c>
      <c r="K69" s="114" t="e">
        <f t="shared" si="12"/>
        <v>#DIV/0!</v>
      </c>
      <c r="L69" s="116"/>
      <c r="M69" s="115"/>
      <c r="N69" s="110" t="e">
        <f t="shared" si="13"/>
        <v>#DIV/0!</v>
      </c>
      <c r="O69" s="118" t="e">
        <f t="shared" si="14"/>
        <v>#DIV/0!</v>
      </c>
      <c r="P69" s="121"/>
      <c r="Q69" s="92">
        <f t="shared" si="15"/>
        <v>0</v>
      </c>
      <c r="R69" s="47" t="e">
        <f t="shared" si="16"/>
        <v>#DIV/0!</v>
      </c>
      <c r="S69" s="89" t="e">
        <f t="shared" si="17"/>
        <v>#DIV/0!</v>
      </c>
      <c r="T69" s="93"/>
      <c r="U69" s="137"/>
      <c r="V69" s="134"/>
      <c r="W69" s="93"/>
      <c r="X69" s="137"/>
      <c r="Y69" s="134"/>
      <c r="Z69" s="104"/>
      <c r="AA69" s="5"/>
      <c r="AB69" s="101">
        <f t="shared" si="18"/>
        <v>0</v>
      </c>
      <c r="AC69" s="138"/>
      <c r="AD69" s="42"/>
      <c r="AE69" s="101">
        <f t="shared" si="19"/>
        <v>0</v>
      </c>
    </row>
    <row r="70" spans="5:31" x14ac:dyDescent="0.35">
      <c r="E70" s="64"/>
      <c r="F70" s="110" t="e">
        <f t="shared" si="10"/>
        <v>#DIV/0!</v>
      </c>
      <c r="G70" s="124"/>
      <c r="H70" s="116"/>
      <c r="I70" s="115"/>
      <c r="J70" s="110" t="e">
        <f t="shared" si="11"/>
        <v>#DIV/0!</v>
      </c>
      <c r="K70" s="114" t="e">
        <f t="shared" si="12"/>
        <v>#DIV/0!</v>
      </c>
      <c r="L70" s="116"/>
      <c r="M70" s="115"/>
      <c r="N70" s="110" t="e">
        <f t="shared" si="13"/>
        <v>#DIV/0!</v>
      </c>
      <c r="O70" s="118" t="e">
        <f t="shared" si="14"/>
        <v>#DIV/0!</v>
      </c>
      <c r="P70" s="121"/>
      <c r="Q70" s="92">
        <f t="shared" si="15"/>
        <v>0</v>
      </c>
      <c r="R70" s="47" t="e">
        <f t="shared" si="16"/>
        <v>#DIV/0!</v>
      </c>
      <c r="S70" s="89" t="e">
        <f t="shared" si="17"/>
        <v>#DIV/0!</v>
      </c>
      <c r="T70" s="93"/>
      <c r="U70" s="137"/>
      <c r="V70" s="134"/>
      <c r="W70" s="93"/>
      <c r="X70" s="137"/>
      <c r="Y70" s="134"/>
      <c r="Z70" s="104"/>
      <c r="AA70" s="5"/>
      <c r="AB70" s="101">
        <f t="shared" si="18"/>
        <v>0</v>
      </c>
      <c r="AC70" s="138"/>
      <c r="AD70" s="42"/>
      <c r="AE70" s="101">
        <f t="shared" si="19"/>
        <v>0</v>
      </c>
    </row>
    <row r="71" spans="5:31" x14ac:dyDescent="0.35">
      <c r="E71" s="64"/>
      <c r="F71" s="110" t="e">
        <f t="shared" si="10"/>
        <v>#DIV/0!</v>
      </c>
      <c r="G71" s="124"/>
      <c r="H71" s="116"/>
      <c r="I71" s="115"/>
      <c r="J71" s="110" t="e">
        <f t="shared" si="11"/>
        <v>#DIV/0!</v>
      </c>
      <c r="K71" s="114" t="e">
        <f t="shared" si="12"/>
        <v>#DIV/0!</v>
      </c>
      <c r="L71" s="116"/>
      <c r="M71" s="115"/>
      <c r="N71" s="110" t="e">
        <f t="shared" si="13"/>
        <v>#DIV/0!</v>
      </c>
      <c r="O71" s="118" t="e">
        <f t="shared" si="14"/>
        <v>#DIV/0!</v>
      </c>
      <c r="P71" s="121"/>
      <c r="Q71" s="92">
        <f t="shared" si="15"/>
        <v>0</v>
      </c>
      <c r="R71" s="47" t="e">
        <f t="shared" si="16"/>
        <v>#DIV/0!</v>
      </c>
      <c r="S71" s="89" t="e">
        <f t="shared" si="17"/>
        <v>#DIV/0!</v>
      </c>
      <c r="T71" s="93"/>
      <c r="U71" s="137"/>
      <c r="V71" s="134"/>
      <c r="W71" s="93"/>
      <c r="X71" s="137"/>
      <c r="Y71" s="134"/>
      <c r="Z71" s="104"/>
      <c r="AA71" s="5"/>
      <c r="AB71" s="101">
        <f t="shared" si="18"/>
        <v>0</v>
      </c>
      <c r="AC71" s="138"/>
      <c r="AD71" s="42"/>
      <c r="AE71" s="101">
        <f t="shared" si="19"/>
        <v>0</v>
      </c>
    </row>
    <row r="72" spans="5:31" x14ac:dyDescent="0.35">
      <c r="E72" s="64"/>
      <c r="F72" s="110" t="e">
        <f t="shared" si="10"/>
        <v>#DIV/0!</v>
      </c>
      <c r="G72" s="124"/>
      <c r="H72" s="116"/>
      <c r="I72" s="115"/>
      <c r="J72" s="110" t="e">
        <f t="shared" si="11"/>
        <v>#DIV/0!</v>
      </c>
      <c r="K72" s="114" t="e">
        <f t="shared" si="12"/>
        <v>#DIV/0!</v>
      </c>
      <c r="L72" s="116"/>
      <c r="M72" s="115"/>
      <c r="N72" s="110" t="e">
        <f t="shared" si="13"/>
        <v>#DIV/0!</v>
      </c>
      <c r="O72" s="118" t="e">
        <f t="shared" si="14"/>
        <v>#DIV/0!</v>
      </c>
      <c r="P72" s="121"/>
      <c r="Q72" s="92">
        <f t="shared" si="15"/>
        <v>0</v>
      </c>
      <c r="R72" s="47" t="e">
        <f t="shared" si="16"/>
        <v>#DIV/0!</v>
      </c>
      <c r="S72" s="89" t="e">
        <f t="shared" si="17"/>
        <v>#DIV/0!</v>
      </c>
      <c r="T72" s="93"/>
      <c r="U72" s="137"/>
      <c r="V72" s="134"/>
      <c r="W72" s="93"/>
      <c r="X72" s="137"/>
      <c r="Y72" s="134"/>
      <c r="Z72" s="104"/>
      <c r="AA72" s="5"/>
      <c r="AB72" s="101">
        <f t="shared" si="18"/>
        <v>0</v>
      </c>
      <c r="AC72" s="138"/>
      <c r="AD72" s="42"/>
      <c r="AE72" s="101">
        <f t="shared" si="19"/>
        <v>0</v>
      </c>
    </row>
    <row r="73" spans="5:31" x14ac:dyDescent="0.35">
      <c r="E73" s="64"/>
      <c r="F73" s="110" t="e">
        <f t="shared" si="10"/>
        <v>#DIV/0!</v>
      </c>
      <c r="G73" s="124"/>
      <c r="H73" s="116"/>
      <c r="I73" s="115"/>
      <c r="J73" s="110" t="e">
        <f t="shared" si="11"/>
        <v>#DIV/0!</v>
      </c>
      <c r="K73" s="114" t="e">
        <f t="shared" si="12"/>
        <v>#DIV/0!</v>
      </c>
      <c r="L73" s="116"/>
      <c r="M73" s="115"/>
      <c r="N73" s="110" t="e">
        <f t="shared" si="13"/>
        <v>#DIV/0!</v>
      </c>
      <c r="O73" s="118" t="e">
        <f t="shared" si="14"/>
        <v>#DIV/0!</v>
      </c>
      <c r="P73" s="121"/>
      <c r="Q73" s="92">
        <f t="shared" si="15"/>
        <v>0</v>
      </c>
      <c r="R73" s="47" t="e">
        <f t="shared" si="16"/>
        <v>#DIV/0!</v>
      </c>
      <c r="S73" s="89" t="e">
        <f t="shared" si="17"/>
        <v>#DIV/0!</v>
      </c>
      <c r="T73" s="93"/>
      <c r="U73" s="137"/>
      <c r="V73" s="134"/>
      <c r="W73" s="93"/>
      <c r="X73" s="137"/>
      <c r="Y73" s="134"/>
      <c r="Z73" s="104"/>
      <c r="AA73" s="5"/>
      <c r="AB73" s="101">
        <f t="shared" si="18"/>
        <v>0</v>
      </c>
      <c r="AC73" s="138"/>
      <c r="AD73" s="42"/>
      <c r="AE73" s="101">
        <f t="shared" si="19"/>
        <v>0</v>
      </c>
    </row>
    <row r="74" spans="5:31" x14ac:dyDescent="0.35">
      <c r="E74" s="64"/>
      <c r="F74" s="110" t="e">
        <f t="shared" si="10"/>
        <v>#DIV/0!</v>
      </c>
      <c r="G74" s="124"/>
      <c r="H74" s="116"/>
      <c r="I74" s="115"/>
      <c r="J74" s="110" t="e">
        <f t="shared" si="11"/>
        <v>#DIV/0!</v>
      </c>
      <c r="K74" s="114" t="e">
        <f t="shared" si="12"/>
        <v>#DIV/0!</v>
      </c>
      <c r="L74" s="116"/>
      <c r="M74" s="115"/>
      <c r="N74" s="110" t="e">
        <f t="shared" si="13"/>
        <v>#DIV/0!</v>
      </c>
      <c r="O74" s="118" t="e">
        <f t="shared" si="14"/>
        <v>#DIV/0!</v>
      </c>
      <c r="P74" s="121"/>
      <c r="Q74" s="92">
        <f t="shared" si="15"/>
        <v>0</v>
      </c>
      <c r="R74" s="47" t="e">
        <f t="shared" si="16"/>
        <v>#DIV/0!</v>
      </c>
      <c r="S74" s="89" t="e">
        <f t="shared" si="17"/>
        <v>#DIV/0!</v>
      </c>
      <c r="T74" s="93"/>
      <c r="U74" s="137"/>
      <c r="V74" s="134"/>
      <c r="W74" s="93"/>
      <c r="X74" s="137"/>
      <c r="Y74" s="134"/>
      <c r="Z74" s="104"/>
      <c r="AA74" s="5"/>
      <c r="AB74" s="101">
        <f t="shared" si="18"/>
        <v>0</v>
      </c>
      <c r="AC74" s="138"/>
      <c r="AD74" s="42"/>
      <c r="AE74" s="101">
        <f t="shared" si="19"/>
        <v>0</v>
      </c>
    </row>
    <row r="75" spans="5:31" x14ac:dyDescent="0.35">
      <c r="E75" s="64"/>
      <c r="F75" s="110" t="e">
        <f t="shared" si="10"/>
        <v>#DIV/0!</v>
      </c>
      <c r="G75" s="124"/>
      <c r="H75" s="116"/>
      <c r="I75" s="115"/>
      <c r="J75" s="110" t="e">
        <f t="shared" si="11"/>
        <v>#DIV/0!</v>
      </c>
      <c r="K75" s="114" t="e">
        <f t="shared" si="12"/>
        <v>#DIV/0!</v>
      </c>
      <c r="L75" s="116"/>
      <c r="M75" s="115"/>
      <c r="N75" s="110" t="e">
        <f t="shared" si="13"/>
        <v>#DIV/0!</v>
      </c>
      <c r="O75" s="118" t="e">
        <f t="shared" si="14"/>
        <v>#DIV/0!</v>
      </c>
      <c r="P75" s="121"/>
      <c r="Q75" s="92">
        <f t="shared" si="15"/>
        <v>0</v>
      </c>
      <c r="R75" s="47" t="e">
        <f t="shared" si="16"/>
        <v>#DIV/0!</v>
      </c>
      <c r="S75" s="89" t="e">
        <f t="shared" si="17"/>
        <v>#DIV/0!</v>
      </c>
      <c r="T75" s="93"/>
      <c r="U75" s="137"/>
      <c r="V75" s="134"/>
      <c r="W75" s="93"/>
      <c r="X75" s="137"/>
      <c r="Y75" s="134"/>
      <c r="Z75" s="104"/>
      <c r="AA75" s="5"/>
      <c r="AB75" s="101">
        <f t="shared" si="18"/>
        <v>0</v>
      </c>
      <c r="AC75" s="138"/>
      <c r="AD75" s="42"/>
      <c r="AE75" s="101">
        <f t="shared" si="19"/>
        <v>0</v>
      </c>
    </row>
    <row r="76" spans="5:31" x14ac:dyDescent="0.35">
      <c r="E76" s="64"/>
      <c r="F76" s="110" t="e">
        <f t="shared" si="10"/>
        <v>#DIV/0!</v>
      </c>
      <c r="G76" s="124"/>
      <c r="H76" s="116"/>
      <c r="I76" s="115"/>
      <c r="J76" s="110" t="e">
        <f t="shared" si="11"/>
        <v>#DIV/0!</v>
      </c>
      <c r="K76" s="114" t="e">
        <f t="shared" si="12"/>
        <v>#DIV/0!</v>
      </c>
      <c r="L76" s="116"/>
      <c r="M76" s="115"/>
      <c r="N76" s="110" t="e">
        <f t="shared" si="13"/>
        <v>#DIV/0!</v>
      </c>
      <c r="O76" s="118" t="e">
        <f t="shared" si="14"/>
        <v>#DIV/0!</v>
      </c>
      <c r="P76" s="121"/>
      <c r="Q76" s="92">
        <f t="shared" si="15"/>
        <v>0</v>
      </c>
      <c r="R76" s="47" t="e">
        <f t="shared" si="16"/>
        <v>#DIV/0!</v>
      </c>
      <c r="S76" s="89" t="e">
        <f t="shared" si="17"/>
        <v>#DIV/0!</v>
      </c>
      <c r="T76" s="93"/>
      <c r="U76" s="137"/>
      <c r="V76" s="134"/>
      <c r="W76" s="93"/>
      <c r="X76" s="137"/>
      <c r="Y76" s="134"/>
      <c r="Z76" s="104"/>
      <c r="AA76" s="5"/>
      <c r="AB76" s="101">
        <f t="shared" si="18"/>
        <v>0</v>
      </c>
      <c r="AC76" s="138"/>
      <c r="AD76" s="42"/>
      <c r="AE76" s="101">
        <f t="shared" si="19"/>
        <v>0</v>
      </c>
    </row>
    <row r="77" spans="5:31" x14ac:dyDescent="0.35">
      <c r="E77" s="64"/>
      <c r="F77" s="110" t="e">
        <f t="shared" si="10"/>
        <v>#DIV/0!</v>
      </c>
      <c r="G77" s="124"/>
      <c r="H77" s="116"/>
      <c r="I77" s="115"/>
      <c r="J77" s="110" t="e">
        <f t="shared" si="11"/>
        <v>#DIV/0!</v>
      </c>
      <c r="K77" s="114" t="e">
        <f t="shared" si="12"/>
        <v>#DIV/0!</v>
      </c>
      <c r="L77" s="116"/>
      <c r="M77" s="115"/>
      <c r="N77" s="110" t="e">
        <f t="shared" si="13"/>
        <v>#DIV/0!</v>
      </c>
      <c r="O77" s="118" t="e">
        <f t="shared" si="14"/>
        <v>#DIV/0!</v>
      </c>
      <c r="P77" s="121"/>
      <c r="Q77" s="92">
        <f t="shared" si="15"/>
        <v>0</v>
      </c>
      <c r="R77" s="47" t="e">
        <f t="shared" si="16"/>
        <v>#DIV/0!</v>
      </c>
      <c r="S77" s="89" t="e">
        <f t="shared" si="17"/>
        <v>#DIV/0!</v>
      </c>
      <c r="T77" s="93"/>
      <c r="U77" s="137"/>
      <c r="V77" s="134"/>
      <c r="W77" s="93"/>
      <c r="X77" s="137"/>
      <c r="Y77" s="134"/>
      <c r="Z77" s="104"/>
      <c r="AA77" s="5"/>
      <c r="AB77" s="101">
        <f t="shared" si="18"/>
        <v>0</v>
      </c>
      <c r="AC77" s="138"/>
      <c r="AD77" s="42"/>
      <c r="AE77" s="101">
        <f t="shared" si="19"/>
        <v>0</v>
      </c>
    </row>
    <row r="78" spans="5:31" x14ac:dyDescent="0.35">
      <c r="E78" s="64"/>
      <c r="F78" s="110" t="e">
        <f t="shared" si="10"/>
        <v>#DIV/0!</v>
      </c>
      <c r="G78" s="124"/>
      <c r="H78" s="116"/>
      <c r="I78" s="115"/>
      <c r="J78" s="110" t="e">
        <f t="shared" si="11"/>
        <v>#DIV/0!</v>
      </c>
      <c r="K78" s="114" t="e">
        <f t="shared" si="12"/>
        <v>#DIV/0!</v>
      </c>
      <c r="L78" s="116"/>
      <c r="M78" s="115"/>
      <c r="N78" s="110" t="e">
        <f t="shared" si="13"/>
        <v>#DIV/0!</v>
      </c>
      <c r="O78" s="118" t="e">
        <f t="shared" si="14"/>
        <v>#DIV/0!</v>
      </c>
      <c r="P78" s="121"/>
      <c r="Q78" s="92">
        <f t="shared" si="15"/>
        <v>0</v>
      </c>
      <c r="R78" s="47" t="e">
        <f t="shared" si="16"/>
        <v>#DIV/0!</v>
      </c>
      <c r="S78" s="89" t="e">
        <f t="shared" si="17"/>
        <v>#DIV/0!</v>
      </c>
      <c r="T78" s="93"/>
      <c r="U78" s="137"/>
      <c r="V78" s="134"/>
      <c r="W78" s="93"/>
      <c r="X78" s="137"/>
      <c r="Y78" s="134"/>
      <c r="Z78" s="104"/>
      <c r="AA78" s="5"/>
      <c r="AB78" s="101">
        <f t="shared" si="18"/>
        <v>0</v>
      </c>
      <c r="AC78" s="138"/>
      <c r="AD78" s="42"/>
      <c r="AE78" s="101">
        <f t="shared" si="19"/>
        <v>0</v>
      </c>
    </row>
    <row r="79" spans="5:31" x14ac:dyDescent="0.35">
      <c r="E79" s="64"/>
      <c r="F79" s="110" t="e">
        <f t="shared" si="10"/>
        <v>#DIV/0!</v>
      </c>
      <c r="G79" s="124"/>
      <c r="H79" s="116"/>
      <c r="I79" s="115"/>
      <c r="J79" s="110" t="e">
        <f t="shared" si="11"/>
        <v>#DIV/0!</v>
      </c>
      <c r="K79" s="114" t="e">
        <f t="shared" si="12"/>
        <v>#DIV/0!</v>
      </c>
      <c r="L79" s="116"/>
      <c r="M79" s="115"/>
      <c r="N79" s="110" t="e">
        <f t="shared" si="13"/>
        <v>#DIV/0!</v>
      </c>
      <c r="O79" s="118" t="e">
        <f t="shared" si="14"/>
        <v>#DIV/0!</v>
      </c>
      <c r="P79" s="121"/>
      <c r="Q79" s="92">
        <f t="shared" si="15"/>
        <v>0</v>
      </c>
      <c r="R79" s="47" t="e">
        <f t="shared" si="16"/>
        <v>#DIV/0!</v>
      </c>
      <c r="S79" s="89" t="e">
        <f t="shared" si="17"/>
        <v>#DIV/0!</v>
      </c>
      <c r="T79" s="93"/>
      <c r="U79" s="137"/>
      <c r="V79" s="134"/>
      <c r="W79" s="93"/>
      <c r="X79" s="137"/>
      <c r="Y79" s="134"/>
      <c r="Z79" s="104"/>
      <c r="AA79" s="5"/>
      <c r="AB79" s="101">
        <f t="shared" si="18"/>
        <v>0</v>
      </c>
      <c r="AC79" s="138"/>
      <c r="AD79" s="42"/>
      <c r="AE79" s="101">
        <f t="shared" si="19"/>
        <v>0</v>
      </c>
    </row>
    <row r="80" spans="5:31" x14ac:dyDescent="0.35">
      <c r="E80" s="64"/>
      <c r="F80" s="110" t="e">
        <f t="shared" si="10"/>
        <v>#DIV/0!</v>
      </c>
      <c r="G80" s="124"/>
      <c r="H80" s="116"/>
      <c r="I80" s="115"/>
      <c r="J80" s="110" t="e">
        <f t="shared" si="11"/>
        <v>#DIV/0!</v>
      </c>
      <c r="K80" s="114" t="e">
        <f t="shared" si="12"/>
        <v>#DIV/0!</v>
      </c>
      <c r="L80" s="116"/>
      <c r="M80" s="115"/>
      <c r="N80" s="110" t="e">
        <f t="shared" si="13"/>
        <v>#DIV/0!</v>
      </c>
      <c r="O80" s="118" t="e">
        <f t="shared" si="14"/>
        <v>#DIV/0!</v>
      </c>
      <c r="P80" s="121"/>
      <c r="Q80" s="92">
        <f t="shared" si="15"/>
        <v>0</v>
      </c>
      <c r="R80" s="47" t="e">
        <f t="shared" si="16"/>
        <v>#DIV/0!</v>
      </c>
      <c r="S80" s="89" t="e">
        <f t="shared" si="17"/>
        <v>#DIV/0!</v>
      </c>
      <c r="T80" s="93"/>
      <c r="U80" s="137"/>
      <c r="V80" s="134"/>
      <c r="W80" s="93"/>
      <c r="X80" s="137"/>
      <c r="Y80" s="134"/>
      <c r="Z80" s="104"/>
      <c r="AA80" s="5"/>
      <c r="AB80" s="101">
        <f t="shared" si="18"/>
        <v>0</v>
      </c>
      <c r="AC80" s="138"/>
      <c r="AD80" s="42"/>
      <c r="AE80" s="101">
        <f t="shared" si="19"/>
        <v>0</v>
      </c>
    </row>
    <row r="81" spans="5:31" x14ac:dyDescent="0.35">
      <c r="E81" s="64"/>
      <c r="F81" s="110" t="e">
        <f t="shared" si="10"/>
        <v>#DIV/0!</v>
      </c>
      <c r="G81" s="124"/>
      <c r="H81" s="116"/>
      <c r="I81" s="115"/>
      <c r="J81" s="110" t="e">
        <f t="shared" si="11"/>
        <v>#DIV/0!</v>
      </c>
      <c r="K81" s="114" t="e">
        <f t="shared" si="12"/>
        <v>#DIV/0!</v>
      </c>
      <c r="L81" s="116"/>
      <c r="M81" s="115"/>
      <c r="N81" s="110" t="e">
        <f t="shared" si="13"/>
        <v>#DIV/0!</v>
      </c>
      <c r="O81" s="118" t="e">
        <f t="shared" si="14"/>
        <v>#DIV/0!</v>
      </c>
      <c r="P81" s="121"/>
      <c r="Q81" s="92">
        <f t="shared" si="15"/>
        <v>0</v>
      </c>
      <c r="R81" s="47" t="e">
        <f t="shared" si="16"/>
        <v>#DIV/0!</v>
      </c>
      <c r="S81" s="89" t="e">
        <f t="shared" si="17"/>
        <v>#DIV/0!</v>
      </c>
      <c r="T81" s="93"/>
      <c r="U81" s="137"/>
      <c r="V81" s="134"/>
      <c r="W81" s="93"/>
      <c r="X81" s="137"/>
      <c r="Y81" s="134"/>
      <c r="Z81" s="104"/>
      <c r="AA81" s="5"/>
      <c r="AB81" s="101">
        <f t="shared" si="18"/>
        <v>0</v>
      </c>
      <c r="AC81" s="138"/>
      <c r="AD81" s="42"/>
      <c r="AE81" s="101">
        <f t="shared" si="19"/>
        <v>0</v>
      </c>
    </row>
    <row r="82" spans="5:31" x14ac:dyDescent="0.35">
      <c r="E82" s="64"/>
      <c r="F82" s="110" t="e">
        <f t="shared" si="10"/>
        <v>#DIV/0!</v>
      </c>
      <c r="G82" s="124"/>
      <c r="H82" s="116"/>
      <c r="I82" s="115"/>
      <c r="J82" s="110" t="e">
        <f t="shared" si="11"/>
        <v>#DIV/0!</v>
      </c>
      <c r="K82" s="114" t="e">
        <f t="shared" si="12"/>
        <v>#DIV/0!</v>
      </c>
      <c r="L82" s="116"/>
      <c r="M82" s="115"/>
      <c r="N82" s="110" t="e">
        <f t="shared" si="13"/>
        <v>#DIV/0!</v>
      </c>
      <c r="O82" s="118" t="e">
        <f t="shared" si="14"/>
        <v>#DIV/0!</v>
      </c>
      <c r="P82" s="121"/>
      <c r="Q82" s="92">
        <f t="shared" si="15"/>
        <v>0</v>
      </c>
      <c r="R82" s="47" t="e">
        <f t="shared" si="16"/>
        <v>#DIV/0!</v>
      </c>
      <c r="S82" s="89" t="e">
        <f t="shared" si="17"/>
        <v>#DIV/0!</v>
      </c>
      <c r="T82" s="93"/>
      <c r="U82" s="137"/>
      <c r="V82" s="134"/>
      <c r="W82" s="93"/>
      <c r="X82" s="137"/>
      <c r="Y82" s="134"/>
      <c r="Z82" s="104"/>
      <c r="AA82" s="5"/>
      <c r="AB82" s="101">
        <f t="shared" si="18"/>
        <v>0</v>
      </c>
      <c r="AC82" s="138"/>
      <c r="AD82" s="42"/>
      <c r="AE82" s="101">
        <f t="shared" si="19"/>
        <v>0</v>
      </c>
    </row>
    <row r="83" spans="5:31" x14ac:dyDescent="0.35">
      <c r="E83" s="64"/>
      <c r="F83" s="110" t="e">
        <f t="shared" si="10"/>
        <v>#DIV/0!</v>
      </c>
      <c r="G83" s="124"/>
      <c r="H83" s="116"/>
      <c r="I83" s="115"/>
      <c r="J83" s="110" t="e">
        <f t="shared" si="11"/>
        <v>#DIV/0!</v>
      </c>
      <c r="K83" s="114" t="e">
        <f t="shared" si="12"/>
        <v>#DIV/0!</v>
      </c>
      <c r="L83" s="116"/>
      <c r="M83" s="115"/>
      <c r="N83" s="110" t="e">
        <f t="shared" si="13"/>
        <v>#DIV/0!</v>
      </c>
      <c r="O83" s="118" t="e">
        <f t="shared" si="14"/>
        <v>#DIV/0!</v>
      </c>
      <c r="P83" s="121"/>
      <c r="Q83" s="92">
        <f t="shared" si="15"/>
        <v>0</v>
      </c>
      <c r="R83" s="47" t="e">
        <f t="shared" si="16"/>
        <v>#DIV/0!</v>
      </c>
      <c r="S83" s="89" t="e">
        <f t="shared" si="17"/>
        <v>#DIV/0!</v>
      </c>
      <c r="T83" s="93"/>
      <c r="U83" s="137"/>
      <c r="V83" s="134"/>
      <c r="W83" s="93"/>
      <c r="X83" s="137"/>
      <c r="Y83" s="134"/>
      <c r="Z83" s="104"/>
      <c r="AA83" s="5"/>
      <c r="AB83" s="101">
        <f t="shared" si="18"/>
        <v>0</v>
      </c>
      <c r="AC83" s="138"/>
      <c r="AD83" s="42"/>
      <c r="AE83" s="101">
        <f t="shared" si="19"/>
        <v>0</v>
      </c>
    </row>
    <row r="84" spans="5:31" x14ac:dyDescent="0.35">
      <c r="E84" s="64"/>
      <c r="F84" s="110" t="e">
        <f t="shared" ref="F84:F147" si="20">ROUND(G84/D84,0)</f>
        <v>#DIV/0!</v>
      </c>
      <c r="G84" s="124"/>
      <c r="H84" s="116"/>
      <c r="I84" s="115"/>
      <c r="J84" s="110" t="e">
        <f t="shared" ref="J84:J147" si="21">ROUND(F84*H84*0.7958,0)</f>
        <v>#DIV/0!</v>
      </c>
      <c r="K84" s="114" t="e">
        <f t="shared" ref="K84:K147" si="22">ROUND(I84*H84*F84*0.7958,0)</f>
        <v>#DIV/0!</v>
      </c>
      <c r="L84" s="116"/>
      <c r="M84" s="115"/>
      <c r="N84" s="110" t="e">
        <f t="shared" ref="N84:N147" si="23">ROUND(F84*L84*0.7958,0)</f>
        <v>#DIV/0!</v>
      </c>
      <c r="O84" s="118" t="e">
        <f t="shared" ref="O84:O147" si="24">ROUND(M84*L84*F84*0.7958,0)</f>
        <v>#DIV/0!</v>
      </c>
      <c r="P84" s="121"/>
      <c r="Q84" s="92">
        <f t="shared" ref="Q84:Q147" si="25">D84-I84-M84</f>
        <v>0</v>
      </c>
      <c r="R84" s="47" t="e">
        <f t="shared" ref="R84:R147" si="26">ROUND(F84*P84*0.7958,0)</f>
        <v>#DIV/0!</v>
      </c>
      <c r="S84" s="89" t="e">
        <f t="shared" ref="S84:S147" si="27">ROUND(Q84*P84*F84*0.7958,0)</f>
        <v>#DIV/0!</v>
      </c>
      <c r="T84" s="93"/>
      <c r="U84" s="137"/>
      <c r="V84" s="134"/>
      <c r="W84" s="93"/>
      <c r="X84" s="137"/>
      <c r="Y84" s="134"/>
      <c r="Z84" s="104"/>
      <c r="AA84" s="5"/>
      <c r="AB84" s="101">
        <f t="shared" ref="AB84:AB147" si="28">ROUND(Z84*AA84,0)</f>
        <v>0</v>
      </c>
      <c r="AC84" s="138"/>
      <c r="AD84" s="42"/>
      <c r="AE84" s="101">
        <f t="shared" ref="AE84:AE147" si="29">ROUND(AC84*AD84,0)</f>
        <v>0</v>
      </c>
    </row>
    <row r="85" spans="5:31" x14ac:dyDescent="0.35">
      <c r="E85" s="64"/>
      <c r="F85" s="110" t="e">
        <f t="shared" si="20"/>
        <v>#DIV/0!</v>
      </c>
      <c r="G85" s="124"/>
      <c r="H85" s="116"/>
      <c r="I85" s="115"/>
      <c r="J85" s="110" t="e">
        <f t="shared" si="21"/>
        <v>#DIV/0!</v>
      </c>
      <c r="K85" s="114" t="e">
        <f t="shared" si="22"/>
        <v>#DIV/0!</v>
      </c>
      <c r="L85" s="116"/>
      <c r="M85" s="115"/>
      <c r="N85" s="110" t="e">
        <f t="shared" si="23"/>
        <v>#DIV/0!</v>
      </c>
      <c r="O85" s="118" t="e">
        <f t="shared" si="24"/>
        <v>#DIV/0!</v>
      </c>
      <c r="P85" s="121"/>
      <c r="Q85" s="92">
        <f t="shared" si="25"/>
        <v>0</v>
      </c>
      <c r="R85" s="47" t="e">
        <f t="shared" si="26"/>
        <v>#DIV/0!</v>
      </c>
      <c r="S85" s="89" t="e">
        <f t="shared" si="27"/>
        <v>#DIV/0!</v>
      </c>
      <c r="T85" s="93"/>
      <c r="U85" s="137"/>
      <c r="V85" s="134"/>
      <c r="W85" s="93"/>
      <c r="X85" s="137"/>
      <c r="Y85" s="134"/>
      <c r="Z85" s="104"/>
      <c r="AA85" s="5"/>
      <c r="AB85" s="101">
        <f t="shared" si="28"/>
        <v>0</v>
      </c>
      <c r="AC85" s="138"/>
      <c r="AD85" s="42"/>
      <c r="AE85" s="101">
        <f t="shared" si="29"/>
        <v>0</v>
      </c>
    </row>
    <row r="86" spans="5:31" x14ac:dyDescent="0.35">
      <c r="E86" s="64"/>
      <c r="F86" s="110" t="e">
        <f t="shared" si="20"/>
        <v>#DIV/0!</v>
      </c>
      <c r="G86" s="124"/>
      <c r="H86" s="116"/>
      <c r="I86" s="115"/>
      <c r="J86" s="110" t="e">
        <f t="shared" si="21"/>
        <v>#DIV/0!</v>
      </c>
      <c r="K86" s="114" t="e">
        <f t="shared" si="22"/>
        <v>#DIV/0!</v>
      </c>
      <c r="L86" s="116"/>
      <c r="M86" s="115"/>
      <c r="N86" s="110" t="e">
        <f t="shared" si="23"/>
        <v>#DIV/0!</v>
      </c>
      <c r="O86" s="118" t="e">
        <f t="shared" si="24"/>
        <v>#DIV/0!</v>
      </c>
      <c r="P86" s="121"/>
      <c r="Q86" s="92">
        <f t="shared" si="25"/>
        <v>0</v>
      </c>
      <c r="R86" s="47" t="e">
        <f t="shared" si="26"/>
        <v>#DIV/0!</v>
      </c>
      <c r="S86" s="89" t="e">
        <f t="shared" si="27"/>
        <v>#DIV/0!</v>
      </c>
      <c r="T86" s="93"/>
      <c r="U86" s="137"/>
      <c r="V86" s="134"/>
      <c r="W86" s="93"/>
      <c r="X86" s="137"/>
      <c r="Y86" s="134"/>
      <c r="Z86" s="104"/>
      <c r="AA86" s="5"/>
      <c r="AB86" s="101">
        <f t="shared" si="28"/>
        <v>0</v>
      </c>
      <c r="AC86" s="138"/>
      <c r="AD86" s="42"/>
      <c r="AE86" s="101">
        <f t="shared" si="29"/>
        <v>0</v>
      </c>
    </row>
    <row r="87" spans="5:31" x14ac:dyDescent="0.35">
      <c r="E87" s="64"/>
      <c r="F87" s="110" t="e">
        <f t="shared" si="20"/>
        <v>#DIV/0!</v>
      </c>
      <c r="G87" s="124"/>
      <c r="H87" s="116"/>
      <c r="I87" s="115"/>
      <c r="J87" s="110" t="e">
        <f t="shared" si="21"/>
        <v>#DIV/0!</v>
      </c>
      <c r="K87" s="114" t="e">
        <f t="shared" si="22"/>
        <v>#DIV/0!</v>
      </c>
      <c r="L87" s="116"/>
      <c r="M87" s="115"/>
      <c r="N87" s="110" t="e">
        <f t="shared" si="23"/>
        <v>#DIV/0!</v>
      </c>
      <c r="O87" s="118" t="e">
        <f t="shared" si="24"/>
        <v>#DIV/0!</v>
      </c>
      <c r="P87" s="121"/>
      <c r="Q87" s="92">
        <f t="shared" si="25"/>
        <v>0</v>
      </c>
      <c r="R87" s="47" t="e">
        <f t="shared" si="26"/>
        <v>#DIV/0!</v>
      </c>
      <c r="S87" s="89" t="e">
        <f t="shared" si="27"/>
        <v>#DIV/0!</v>
      </c>
      <c r="T87" s="93"/>
      <c r="U87" s="137"/>
      <c r="V87" s="134"/>
      <c r="W87" s="93"/>
      <c r="X87" s="137"/>
      <c r="Y87" s="134"/>
      <c r="Z87" s="104"/>
      <c r="AA87" s="5"/>
      <c r="AB87" s="101">
        <f t="shared" si="28"/>
        <v>0</v>
      </c>
      <c r="AC87" s="138"/>
      <c r="AD87" s="42"/>
      <c r="AE87" s="101">
        <f t="shared" si="29"/>
        <v>0</v>
      </c>
    </row>
    <row r="88" spans="5:31" x14ac:dyDescent="0.35">
      <c r="E88" s="64"/>
      <c r="F88" s="110" t="e">
        <f t="shared" si="20"/>
        <v>#DIV/0!</v>
      </c>
      <c r="G88" s="124"/>
      <c r="H88" s="116"/>
      <c r="I88" s="115"/>
      <c r="J88" s="110" t="e">
        <f t="shared" si="21"/>
        <v>#DIV/0!</v>
      </c>
      <c r="K88" s="114" t="e">
        <f t="shared" si="22"/>
        <v>#DIV/0!</v>
      </c>
      <c r="L88" s="116"/>
      <c r="M88" s="115"/>
      <c r="N88" s="110" t="e">
        <f t="shared" si="23"/>
        <v>#DIV/0!</v>
      </c>
      <c r="O88" s="118" t="e">
        <f t="shared" si="24"/>
        <v>#DIV/0!</v>
      </c>
      <c r="P88" s="121"/>
      <c r="Q88" s="92">
        <f t="shared" si="25"/>
        <v>0</v>
      </c>
      <c r="R88" s="47" t="e">
        <f t="shared" si="26"/>
        <v>#DIV/0!</v>
      </c>
      <c r="S88" s="89" t="e">
        <f t="shared" si="27"/>
        <v>#DIV/0!</v>
      </c>
      <c r="T88" s="93"/>
      <c r="U88" s="137"/>
      <c r="V88" s="134"/>
      <c r="W88" s="93"/>
      <c r="X88" s="137"/>
      <c r="Y88" s="134"/>
      <c r="Z88" s="104"/>
      <c r="AA88" s="5"/>
      <c r="AB88" s="101">
        <f t="shared" si="28"/>
        <v>0</v>
      </c>
      <c r="AC88" s="138"/>
      <c r="AD88" s="42"/>
      <c r="AE88" s="101">
        <f t="shared" si="29"/>
        <v>0</v>
      </c>
    </row>
    <row r="89" spans="5:31" x14ac:dyDescent="0.35">
      <c r="E89" s="64"/>
      <c r="F89" s="110" t="e">
        <f t="shared" si="20"/>
        <v>#DIV/0!</v>
      </c>
      <c r="G89" s="124"/>
      <c r="H89" s="116"/>
      <c r="I89" s="115"/>
      <c r="J89" s="110" t="e">
        <f t="shared" si="21"/>
        <v>#DIV/0!</v>
      </c>
      <c r="K89" s="114" t="e">
        <f t="shared" si="22"/>
        <v>#DIV/0!</v>
      </c>
      <c r="L89" s="116"/>
      <c r="M89" s="115"/>
      <c r="N89" s="110" t="e">
        <f t="shared" si="23"/>
        <v>#DIV/0!</v>
      </c>
      <c r="O89" s="118" t="e">
        <f t="shared" si="24"/>
        <v>#DIV/0!</v>
      </c>
      <c r="P89" s="121"/>
      <c r="Q89" s="92">
        <f t="shared" si="25"/>
        <v>0</v>
      </c>
      <c r="R89" s="47" t="e">
        <f t="shared" si="26"/>
        <v>#DIV/0!</v>
      </c>
      <c r="S89" s="89" t="e">
        <f t="shared" si="27"/>
        <v>#DIV/0!</v>
      </c>
      <c r="T89" s="93"/>
      <c r="U89" s="137"/>
      <c r="V89" s="134"/>
      <c r="W89" s="93"/>
      <c r="X89" s="137"/>
      <c r="Y89" s="134"/>
      <c r="Z89" s="104"/>
      <c r="AA89" s="5"/>
      <c r="AB89" s="101">
        <f t="shared" si="28"/>
        <v>0</v>
      </c>
      <c r="AC89" s="138"/>
      <c r="AD89" s="42"/>
      <c r="AE89" s="101">
        <f t="shared" si="29"/>
        <v>0</v>
      </c>
    </row>
    <row r="90" spans="5:31" x14ac:dyDescent="0.35">
      <c r="E90" s="64"/>
      <c r="F90" s="110" t="e">
        <f t="shared" si="20"/>
        <v>#DIV/0!</v>
      </c>
      <c r="G90" s="124"/>
      <c r="H90" s="116"/>
      <c r="I90" s="115"/>
      <c r="J90" s="110" t="e">
        <f t="shared" si="21"/>
        <v>#DIV/0!</v>
      </c>
      <c r="K90" s="114" t="e">
        <f t="shared" si="22"/>
        <v>#DIV/0!</v>
      </c>
      <c r="L90" s="116"/>
      <c r="M90" s="115"/>
      <c r="N90" s="110" t="e">
        <f t="shared" si="23"/>
        <v>#DIV/0!</v>
      </c>
      <c r="O90" s="118" t="e">
        <f t="shared" si="24"/>
        <v>#DIV/0!</v>
      </c>
      <c r="P90" s="121"/>
      <c r="Q90" s="92">
        <f t="shared" si="25"/>
        <v>0</v>
      </c>
      <c r="R90" s="47" t="e">
        <f t="shared" si="26"/>
        <v>#DIV/0!</v>
      </c>
      <c r="S90" s="89" t="e">
        <f t="shared" si="27"/>
        <v>#DIV/0!</v>
      </c>
      <c r="T90" s="93"/>
      <c r="U90" s="137"/>
      <c r="V90" s="134"/>
      <c r="W90" s="93"/>
      <c r="X90" s="137"/>
      <c r="Y90" s="134"/>
      <c r="Z90" s="104"/>
      <c r="AA90" s="5"/>
      <c r="AB90" s="101">
        <f t="shared" si="28"/>
        <v>0</v>
      </c>
      <c r="AC90" s="138"/>
      <c r="AD90" s="42"/>
      <c r="AE90" s="101">
        <f t="shared" si="29"/>
        <v>0</v>
      </c>
    </row>
    <row r="91" spans="5:31" x14ac:dyDescent="0.35">
      <c r="E91" s="64"/>
      <c r="F91" s="110" t="e">
        <f t="shared" si="20"/>
        <v>#DIV/0!</v>
      </c>
      <c r="G91" s="124"/>
      <c r="H91" s="116"/>
      <c r="I91" s="115"/>
      <c r="J91" s="110" t="e">
        <f t="shared" si="21"/>
        <v>#DIV/0!</v>
      </c>
      <c r="K91" s="114" t="e">
        <f t="shared" si="22"/>
        <v>#DIV/0!</v>
      </c>
      <c r="L91" s="116"/>
      <c r="M91" s="115"/>
      <c r="N91" s="110" t="e">
        <f t="shared" si="23"/>
        <v>#DIV/0!</v>
      </c>
      <c r="O91" s="118" t="e">
        <f t="shared" si="24"/>
        <v>#DIV/0!</v>
      </c>
      <c r="P91" s="121"/>
      <c r="Q91" s="92">
        <f t="shared" si="25"/>
        <v>0</v>
      </c>
      <c r="R91" s="47" t="e">
        <f t="shared" si="26"/>
        <v>#DIV/0!</v>
      </c>
      <c r="S91" s="89" t="e">
        <f t="shared" si="27"/>
        <v>#DIV/0!</v>
      </c>
      <c r="T91" s="93"/>
      <c r="U91" s="137"/>
      <c r="V91" s="134"/>
      <c r="W91" s="93"/>
      <c r="X91" s="137"/>
      <c r="Y91" s="134"/>
      <c r="Z91" s="104"/>
      <c r="AA91" s="5"/>
      <c r="AB91" s="101">
        <f t="shared" si="28"/>
        <v>0</v>
      </c>
      <c r="AC91" s="138"/>
      <c r="AD91" s="42"/>
      <c r="AE91" s="101">
        <f t="shared" si="29"/>
        <v>0</v>
      </c>
    </row>
    <row r="92" spans="5:31" x14ac:dyDescent="0.35">
      <c r="E92" s="64"/>
      <c r="F92" s="110" t="e">
        <f t="shared" si="20"/>
        <v>#DIV/0!</v>
      </c>
      <c r="G92" s="124"/>
      <c r="H92" s="116"/>
      <c r="I92" s="115"/>
      <c r="J92" s="110" t="e">
        <f t="shared" si="21"/>
        <v>#DIV/0!</v>
      </c>
      <c r="K92" s="114" t="e">
        <f t="shared" si="22"/>
        <v>#DIV/0!</v>
      </c>
      <c r="L92" s="116"/>
      <c r="M92" s="115"/>
      <c r="N92" s="110" t="e">
        <f t="shared" si="23"/>
        <v>#DIV/0!</v>
      </c>
      <c r="O92" s="118" t="e">
        <f t="shared" si="24"/>
        <v>#DIV/0!</v>
      </c>
      <c r="P92" s="121"/>
      <c r="Q92" s="92">
        <f t="shared" si="25"/>
        <v>0</v>
      </c>
      <c r="R92" s="47" t="e">
        <f t="shared" si="26"/>
        <v>#DIV/0!</v>
      </c>
      <c r="S92" s="89" t="e">
        <f t="shared" si="27"/>
        <v>#DIV/0!</v>
      </c>
      <c r="T92" s="93"/>
      <c r="U92" s="137"/>
      <c r="V92" s="134"/>
      <c r="W92" s="93"/>
      <c r="X92" s="137"/>
      <c r="Y92" s="134"/>
      <c r="Z92" s="104"/>
      <c r="AA92" s="5"/>
      <c r="AB92" s="101">
        <f t="shared" si="28"/>
        <v>0</v>
      </c>
      <c r="AC92" s="138"/>
      <c r="AD92" s="42"/>
      <c r="AE92" s="101">
        <f t="shared" si="29"/>
        <v>0</v>
      </c>
    </row>
    <row r="93" spans="5:31" x14ac:dyDescent="0.35">
      <c r="E93" s="64"/>
      <c r="F93" s="110" t="e">
        <f t="shared" si="20"/>
        <v>#DIV/0!</v>
      </c>
      <c r="G93" s="124"/>
      <c r="H93" s="116"/>
      <c r="I93" s="115"/>
      <c r="J93" s="110" t="e">
        <f t="shared" si="21"/>
        <v>#DIV/0!</v>
      </c>
      <c r="K93" s="114" t="e">
        <f t="shared" si="22"/>
        <v>#DIV/0!</v>
      </c>
      <c r="L93" s="116"/>
      <c r="M93" s="115"/>
      <c r="N93" s="110" t="e">
        <f t="shared" si="23"/>
        <v>#DIV/0!</v>
      </c>
      <c r="O93" s="118" t="e">
        <f t="shared" si="24"/>
        <v>#DIV/0!</v>
      </c>
      <c r="P93" s="121"/>
      <c r="Q93" s="92">
        <f t="shared" si="25"/>
        <v>0</v>
      </c>
      <c r="R93" s="47" t="e">
        <f t="shared" si="26"/>
        <v>#DIV/0!</v>
      </c>
      <c r="S93" s="89" t="e">
        <f t="shared" si="27"/>
        <v>#DIV/0!</v>
      </c>
      <c r="T93" s="93"/>
      <c r="U93" s="137"/>
      <c r="V93" s="134"/>
      <c r="W93" s="93"/>
      <c r="X93" s="137"/>
      <c r="Y93" s="134"/>
      <c r="Z93" s="104"/>
      <c r="AA93" s="5"/>
      <c r="AB93" s="101">
        <f t="shared" si="28"/>
        <v>0</v>
      </c>
      <c r="AC93" s="138"/>
      <c r="AD93" s="42"/>
      <c r="AE93" s="101">
        <f t="shared" si="29"/>
        <v>0</v>
      </c>
    </row>
    <row r="94" spans="5:31" x14ac:dyDescent="0.35">
      <c r="E94" s="64"/>
      <c r="F94" s="110" t="e">
        <f t="shared" si="20"/>
        <v>#DIV/0!</v>
      </c>
      <c r="G94" s="124"/>
      <c r="H94" s="116"/>
      <c r="I94" s="115"/>
      <c r="J94" s="110" t="e">
        <f t="shared" si="21"/>
        <v>#DIV/0!</v>
      </c>
      <c r="K94" s="114" t="e">
        <f t="shared" si="22"/>
        <v>#DIV/0!</v>
      </c>
      <c r="L94" s="116"/>
      <c r="M94" s="115"/>
      <c r="N94" s="110" t="e">
        <f t="shared" si="23"/>
        <v>#DIV/0!</v>
      </c>
      <c r="O94" s="118" t="e">
        <f t="shared" si="24"/>
        <v>#DIV/0!</v>
      </c>
      <c r="P94" s="121"/>
      <c r="Q94" s="92">
        <f t="shared" si="25"/>
        <v>0</v>
      </c>
      <c r="R94" s="47" t="e">
        <f t="shared" si="26"/>
        <v>#DIV/0!</v>
      </c>
      <c r="S94" s="89" t="e">
        <f t="shared" si="27"/>
        <v>#DIV/0!</v>
      </c>
      <c r="T94" s="93"/>
      <c r="U94" s="137"/>
      <c r="V94" s="134"/>
      <c r="W94" s="93"/>
      <c r="X94" s="137"/>
      <c r="Y94" s="134"/>
      <c r="Z94" s="104"/>
      <c r="AA94" s="5"/>
      <c r="AB94" s="101">
        <f t="shared" si="28"/>
        <v>0</v>
      </c>
      <c r="AC94" s="138"/>
      <c r="AD94" s="42"/>
      <c r="AE94" s="101">
        <f t="shared" si="29"/>
        <v>0</v>
      </c>
    </row>
    <row r="95" spans="5:31" x14ac:dyDescent="0.35">
      <c r="E95" s="64"/>
      <c r="F95" s="110" t="e">
        <f t="shared" si="20"/>
        <v>#DIV/0!</v>
      </c>
      <c r="G95" s="124"/>
      <c r="H95" s="116"/>
      <c r="I95" s="115"/>
      <c r="J95" s="110" t="e">
        <f t="shared" si="21"/>
        <v>#DIV/0!</v>
      </c>
      <c r="K95" s="114" t="e">
        <f t="shared" si="22"/>
        <v>#DIV/0!</v>
      </c>
      <c r="L95" s="116"/>
      <c r="M95" s="115"/>
      <c r="N95" s="110" t="e">
        <f t="shared" si="23"/>
        <v>#DIV/0!</v>
      </c>
      <c r="O95" s="118" t="e">
        <f t="shared" si="24"/>
        <v>#DIV/0!</v>
      </c>
      <c r="P95" s="121"/>
      <c r="Q95" s="92">
        <f t="shared" si="25"/>
        <v>0</v>
      </c>
      <c r="R95" s="47" t="e">
        <f t="shared" si="26"/>
        <v>#DIV/0!</v>
      </c>
      <c r="S95" s="89" t="e">
        <f t="shared" si="27"/>
        <v>#DIV/0!</v>
      </c>
      <c r="T95" s="93"/>
      <c r="U95" s="137"/>
      <c r="V95" s="134"/>
      <c r="W95" s="93"/>
      <c r="X95" s="137"/>
      <c r="Y95" s="134"/>
      <c r="Z95" s="104"/>
      <c r="AA95" s="5"/>
      <c r="AB95" s="101">
        <f t="shared" si="28"/>
        <v>0</v>
      </c>
      <c r="AC95" s="138"/>
      <c r="AD95" s="42"/>
      <c r="AE95" s="101">
        <f t="shared" si="29"/>
        <v>0</v>
      </c>
    </row>
    <row r="96" spans="5:31" x14ac:dyDescent="0.35">
      <c r="E96" s="64"/>
      <c r="F96" s="110" t="e">
        <f t="shared" si="20"/>
        <v>#DIV/0!</v>
      </c>
      <c r="G96" s="124"/>
      <c r="H96" s="116"/>
      <c r="I96" s="115"/>
      <c r="J96" s="110" t="e">
        <f t="shared" si="21"/>
        <v>#DIV/0!</v>
      </c>
      <c r="K96" s="114" t="e">
        <f t="shared" si="22"/>
        <v>#DIV/0!</v>
      </c>
      <c r="L96" s="116"/>
      <c r="M96" s="115"/>
      <c r="N96" s="110" t="e">
        <f t="shared" si="23"/>
        <v>#DIV/0!</v>
      </c>
      <c r="O96" s="118" t="e">
        <f t="shared" si="24"/>
        <v>#DIV/0!</v>
      </c>
      <c r="P96" s="121"/>
      <c r="Q96" s="92">
        <f t="shared" si="25"/>
        <v>0</v>
      </c>
      <c r="R96" s="47" t="e">
        <f t="shared" si="26"/>
        <v>#DIV/0!</v>
      </c>
      <c r="S96" s="89" t="e">
        <f t="shared" si="27"/>
        <v>#DIV/0!</v>
      </c>
      <c r="T96" s="93"/>
      <c r="U96" s="137"/>
      <c r="V96" s="134"/>
      <c r="W96" s="93"/>
      <c r="X96" s="137"/>
      <c r="Y96" s="134"/>
      <c r="Z96" s="104"/>
      <c r="AA96" s="5"/>
      <c r="AB96" s="101">
        <f t="shared" si="28"/>
        <v>0</v>
      </c>
      <c r="AC96" s="138"/>
      <c r="AD96" s="42"/>
      <c r="AE96" s="101">
        <f t="shared" si="29"/>
        <v>0</v>
      </c>
    </row>
    <row r="97" spans="5:31" x14ac:dyDescent="0.35">
      <c r="E97" s="64"/>
      <c r="F97" s="110" t="e">
        <f t="shared" si="20"/>
        <v>#DIV/0!</v>
      </c>
      <c r="G97" s="124"/>
      <c r="H97" s="116"/>
      <c r="I97" s="115"/>
      <c r="J97" s="110" t="e">
        <f t="shared" si="21"/>
        <v>#DIV/0!</v>
      </c>
      <c r="K97" s="114" t="e">
        <f t="shared" si="22"/>
        <v>#DIV/0!</v>
      </c>
      <c r="L97" s="116"/>
      <c r="M97" s="115"/>
      <c r="N97" s="110" t="e">
        <f t="shared" si="23"/>
        <v>#DIV/0!</v>
      </c>
      <c r="O97" s="118" t="e">
        <f t="shared" si="24"/>
        <v>#DIV/0!</v>
      </c>
      <c r="P97" s="121"/>
      <c r="Q97" s="92">
        <f t="shared" si="25"/>
        <v>0</v>
      </c>
      <c r="R97" s="47" t="e">
        <f t="shared" si="26"/>
        <v>#DIV/0!</v>
      </c>
      <c r="S97" s="89" t="e">
        <f t="shared" si="27"/>
        <v>#DIV/0!</v>
      </c>
      <c r="T97" s="93"/>
      <c r="U97" s="137"/>
      <c r="V97" s="134"/>
      <c r="W97" s="93"/>
      <c r="X97" s="137"/>
      <c r="Y97" s="134"/>
      <c r="Z97" s="104"/>
      <c r="AA97" s="5"/>
      <c r="AB97" s="101">
        <f t="shared" si="28"/>
        <v>0</v>
      </c>
      <c r="AC97" s="138"/>
      <c r="AD97" s="42"/>
      <c r="AE97" s="101">
        <f t="shared" si="29"/>
        <v>0</v>
      </c>
    </row>
    <row r="98" spans="5:31" x14ac:dyDescent="0.35">
      <c r="E98" s="64"/>
      <c r="F98" s="110" t="e">
        <f t="shared" si="20"/>
        <v>#DIV/0!</v>
      </c>
      <c r="G98" s="124"/>
      <c r="H98" s="116"/>
      <c r="I98" s="115"/>
      <c r="J98" s="110" t="e">
        <f t="shared" si="21"/>
        <v>#DIV/0!</v>
      </c>
      <c r="K98" s="114" t="e">
        <f t="shared" si="22"/>
        <v>#DIV/0!</v>
      </c>
      <c r="L98" s="116"/>
      <c r="M98" s="115"/>
      <c r="N98" s="110" t="e">
        <f t="shared" si="23"/>
        <v>#DIV/0!</v>
      </c>
      <c r="O98" s="118" t="e">
        <f t="shared" si="24"/>
        <v>#DIV/0!</v>
      </c>
      <c r="P98" s="121"/>
      <c r="Q98" s="92">
        <f t="shared" si="25"/>
        <v>0</v>
      </c>
      <c r="R98" s="47" t="e">
        <f t="shared" si="26"/>
        <v>#DIV/0!</v>
      </c>
      <c r="S98" s="89" t="e">
        <f t="shared" si="27"/>
        <v>#DIV/0!</v>
      </c>
      <c r="T98" s="93"/>
      <c r="U98" s="137"/>
      <c r="V98" s="134"/>
      <c r="W98" s="93"/>
      <c r="X98" s="137"/>
      <c r="Y98" s="134"/>
      <c r="Z98" s="104"/>
      <c r="AA98" s="5"/>
      <c r="AB98" s="101">
        <f t="shared" si="28"/>
        <v>0</v>
      </c>
      <c r="AC98" s="138"/>
      <c r="AD98" s="42"/>
      <c r="AE98" s="101">
        <f t="shared" si="29"/>
        <v>0</v>
      </c>
    </row>
    <row r="99" spans="5:31" x14ac:dyDescent="0.35">
      <c r="E99" s="64"/>
      <c r="F99" s="110" t="e">
        <f t="shared" si="20"/>
        <v>#DIV/0!</v>
      </c>
      <c r="G99" s="124"/>
      <c r="H99" s="116"/>
      <c r="I99" s="115"/>
      <c r="J99" s="110" t="e">
        <f t="shared" si="21"/>
        <v>#DIV/0!</v>
      </c>
      <c r="K99" s="114" t="e">
        <f t="shared" si="22"/>
        <v>#DIV/0!</v>
      </c>
      <c r="L99" s="116"/>
      <c r="M99" s="115"/>
      <c r="N99" s="110" t="e">
        <f t="shared" si="23"/>
        <v>#DIV/0!</v>
      </c>
      <c r="O99" s="118" t="e">
        <f t="shared" si="24"/>
        <v>#DIV/0!</v>
      </c>
      <c r="P99" s="121"/>
      <c r="Q99" s="92">
        <f t="shared" si="25"/>
        <v>0</v>
      </c>
      <c r="R99" s="47" t="e">
        <f t="shared" si="26"/>
        <v>#DIV/0!</v>
      </c>
      <c r="S99" s="89" t="e">
        <f t="shared" si="27"/>
        <v>#DIV/0!</v>
      </c>
      <c r="T99" s="93"/>
      <c r="U99" s="137"/>
      <c r="V99" s="134"/>
      <c r="W99" s="93"/>
      <c r="X99" s="137"/>
      <c r="Y99" s="134"/>
      <c r="Z99" s="104"/>
      <c r="AA99" s="5"/>
      <c r="AB99" s="101">
        <f t="shared" si="28"/>
        <v>0</v>
      </c>
      <c r="AC99" s="138"/>
      <c r="AD99" s="42"/>
      <c r="AE99" s="101">
        <f t="shared" si="29"/>
        <v>0</v>
      </c>
    </row>
    <row r="100" spans="5:31" x14ac:dyDescent="0.35">
      <c r="E100" s="64"/>
      <c r="F100" s="110" t="e">
        <f t="shared" si="20"/>
        <v>#DIV/0!</v>
      </c>
      <c r="G100" s="124"/>
      <c r="H100" s="116"/>
      <c r="I100" s="115"/>
      <c r="J100" s="110" t="e">
        <f t="shared" si="21"/>
        <v>#DIV/0!</v>
      </c>
      <c r="K100" s="114" t="e">
        <f t="shared" si="22"/>
        <v>#DIV/0!</v>
      </c>
      <c r="L100" s="116"/>
      <c r="M100" s="115"/>
      <c r="N100" s="110" t="e">
        <f t="shared" si="23"/>
        <v>#DIV/0!</v>
      </c>
      <c r="O100" s="118" t="e">
        <f t="shared" si="24"/>
        <v>#DIV/0!</v>
      </c>
      <c r="P100" s="121"/>
      <c r="Q100" s="92">
        <f t="shared" si="25"/>
        <v>0</v>
      </c>
      <c r="R100" s="47" t="e">
        <f t="shared" si="26"/>
        <v>#DIV/0!</v>
      </c>
      <c r="S100" s="89" t="e">
        <f t="shared" si="27"/>
        <v>#DIV/0!</v>
      </c>
      <c r="T100" s="93"/>
      <c r="U100" s="137"/>
      <c r="V100" s="134"/>
      <c r="W100" s="93"/>
      <c r="X100" s="137"/>
      <c r="Y100" s="134"/>
      <c r="Z100" s="104"/>
      <c r="AA100" s="5"/>
      <c r="AB100" s="101">
        <f t="shared" si="28"/>
        <v>0</v>
      </c>
      <c r="AC100" s="138"/>
      <c r="AD100" s="42"/>
      <c r="AE100" s="101">
        <f t="shared" si="29"/>
        <v>0</v>
      </c>
    </row>
    <row r="101" spans="5:31" x14ac:dyDescent="0.35">
      <c r="E101" s="64"/>
      <c r="F101" s="110" t="e">
        <f t="shared" si="20"/>
        <v>#DIV/0!</v>
      </c>
      <c r="G101" s="124"/>
      <c r="H101" s="116"/>
      <c r="I101" s="115"/>
      <c r="J101" s="110" t="e">
        <f t="shared" si="21"/>
        <v>#DIV/0!</v>
      </c>
      <c r="K101" s="114" t="e">
        <f t="shared" si="22"/>
        <v>#DIV/0!</v>
      </c>
      <c r="L101" s="116"/>
      <c r="M101" s="115"/>
      <c r="N101" s="110" t="e">
        <f t="shared" si="23"/>
        <v>#DIV/0!</v>
      </c>
      <c r="O101" s="118" t="e">
        <f t="shared" si="24"/>
        <v>#DIV/0!</v>
      </c>
      <c r="P101" s="121"/>
      <c r="Q101" s="92">
        <f t="shared" si="25"/>
        <v>0</v>
      </c>
      <c r="R101" s="47" t="e">
        <f t="shared" si="26"/>
        <v>#DIV/0!</v>
      </c>
      <c r="S101" s="89" t="e">
        <f t="shared" si="27"/>
        <v>#DIV/0!</v>
      </c>
      <c r="T101" s="93"/>
      <c r="U101" s="137"/>
      <c r="V101" s="134"/>
      <c r="W101" s="93"/>
      <c r="X101" s="137"/>
      <c r="Y101" s="134"/>
      <c r="Z101" s="104"/>
      <c r="AA101" s="5"/>
      <c r="AB101" s="101">
        <f t="shared" si="28"/>
        <v>0</v>
      </c>
      <c r="AC101" s="138"/>
      <c r="AD101" s="42"/>
      <c r="AE101" s="101">
        <f t="shared" si="29"/>
        <v>0</v>
      </c>
    </row>
    <row r="102" spans="5:31" x14ac:dyDescent="0.35">
      <c r="E102" s="64"/>
      <c r="F102" s="110" t="e">
        <f t="shared" si="20"/>
        <v>#DIV/0!</v>
      </c>
      <c r="G102" s="124"/>
      <c r="H102" s="116"/>
      <c r="I102" s="115"/>
      <c r="J102" s="110" t="e">
        <f t="shared" si="21"/>
        <v>#DIV/0!</v>
      </c>
      <c r="K102" s="114" t="e">
        <f t="shared" si="22"/>
        <v>#DIV/0!</v>
      </c>
      <c r="L102" s="116"/>
      <c r="M102" s="115"/>
      <c r="N102" s="110" t="e">
        <f t="shared" si="23"/>
        <v>#DIV/0!</v>
      </c>
      <c r="O102" s="118" t="e">
        <f t="shared" si="24"/>
        <v>#DIV/0!</v>
      </c>
      <c r="P102" s="121"/>
      <c r="Q102" s="92">
        <f t="shared" si="25"/>
        <v>0</v>
      </c>
      <c r="R102" s="47" t="e">
        <f t="shared" si="26"/>
        <v>#DIV/0!</v>
      </c>
      <c r="S102" s="89" t="e">
        <f t="shared" si="27"/>
        <v>#DIV/0!</v>
      </c>
      <c r="T102" s="93"/>
      <c r="U102" s="137"/>
      <c r="V102" s="134"/>
      <c r="W102" s="93"/>
      <c r="X102" s="137"/>
      <c r="Y102" s="134"/>
      <c r="Z102" s="104"/>
      <c r="AA102" s="5"/>
      <c r="AB102" s="101">
        <f t="shared" si="28"/>
        <v>0</v>
      </c>
      <c r="AC102" s="138"/>
      <c r="AD102" s="42"/>
      <c r="AE102" s="101">
        <f t="shared" si="29"/>
        <v>0</v>
      </c>
    </row>
    <row r="103" spans="5:31" x14ac:dyDescent="0.35">
      <c r="E103" s="64"/>
      <c r="F103" s="110" t="e">
        <f t="shared" si="20"/>
        <v>#DIV/0!</v>
      </c>
      <c r="G103" s="124"/>
      <c r="H103" s="116"/>
      <c r="I103" s="115"/>
      <c r="J103" s="110" t="e">
        <f t="shared" si="21"/>
        <v>#DIV/0!</v>
      </c>
      <c r="K103" s="114" t="e">
        <f t="shared" si="22"/>
        <v>#DIV/0!</v>
      </c>
      <c r="L103" s="116"/>
      <c r="M103" s="115"/>
      <c r="N103" s="110" t="e">
        <f t="shared" si="23"/>
        <v>#DIV/0!</v>
      </c>
      <c r="O103" s="118" t="e">
        <f t="shared" si="24"/>
        <v>#DIV/0!</v>
      </c>
      <c r="P103" s="121"/>
      <c r="Q103" s="92">
        <f t="shared" si="25"/>
        <v>0</v>
      </c>
      <c r="R103" s="47" t="e">
        <f t="shared" si="26"/>
        <v>#DIV/0!</v>
      </c>
      <c r="S103" s="89" t="e">
        <f t="shared" si="27"/>
        <v>#DIV/0!</v>
      </c>
      <c r="T103" s="93"/>
      <c r="U103" s="137"/>
      <c r="V103" s="134"/>
      <c r="W103" s="93"/>
      <c r="X103" s="137"/>
      <c r="Y103" s="134"/>
      <c r="Z103" s="104"/>
      <c r="AA103" s="5"/>
      <c r="AB103" s="101">
        <f t="shared" si="28"/>
        <v>0</v>
      </c>
      <c r="AC103" s="138"/>
      <c r="AD103" s="42"/>
      <c r="AE103" s="101">
        <f t="shared" si="29"/>
        <v>0</v>
      </c>
    </row>
    <row r="104" spans="5:31" x14ac:dyDescent="0.35">
      <c r="E104" s="64"/>
      <c r="F104" s="110" t="e">
        <f t="shared" si="20"/>
        <v>#DIV/0!</v>
      </c>
      <c r="G104" s="124"/>
      <c r="H104" s="116"/>
      <c r="I104" s="115"/>
      <c r="J104" s="110" t="e">
        <f t="shared" si="21"/>
        <v>#DIV/0!</v>
      </c>
      <c r="K104" s="114" t="e">
        <f t="shared" si="22"/>
        <v>#DIV/0!</v>
      </c>
      <c r="L104" s="116"/>
      <c r="M104" s="115"/>
      <c r="N104" s="110" t="e">
        <f t="shared" si="23"/>
        <v>#DIV/0!</v>
      </c>
      <c r="O104" s="118" t="e">
        <f t="shared" si="24"/>
        <v>#DIV/0!</v>
      </c>
      <c r="P104" s="121"/>
      <c r="Q104" s="92">
        <f t="shared" si="25"/>
        <v>0</v>
      </c>
      <c r="R104" s="47" t="e">
        <f t="shared" si="26"/>
        <v>#DIV/0!</v>
      </c>
      <c r="S104" s="89" t="e">
        <f t="shared" si="27"/>
        <v>#DIV/0!</v>
      </c>
      <c r="T104" s="93"/>
      <c r="U104" s="137"/>
      <c r="V104" s="134"/>
      <c r="W104" s="93"/>
      <c r="X104" s="137"/>
      <c r="Y104" s="134"/>
      <c r="Z104" s="104"/>
      <c r="AA104" s="5"/>
      <c r="AB104" s="101">
        <f t="shared" si="28"/>
        <v>0</v>
      </c>
      <c r="AC104" s="138"/>
      <c r="AD104" s="42"/>
      <c r="AE104" s="101">
        <f t="shared" si="29"/>
        <v>0</v>
      </c>
    </row>
    <row r="105" spans="5:31" x14ac:dyDescent="0.35">
      <c r="E105" s="64"/>
      <c r="F105" s="110" t="e">
        <f t="shared" si="20"/>
        <v>#DIV/0!</v>
      </c>
      <c r="G105" s="124"/>
      <c r="H105" s="116"/>
      <c r="I105" s="115"/>
      <c r="J105" s="110" t="e">
        <f t="shared" si="21"/>
        <v>#DIV/0!</v>
      </c>
      <c r="K105" s="114" t="e">
        <f t="shared" si="22"/>
        <v>#DIV/0!</v>
      </c>
      <c r="L105" s="116"/>
      <c r="M105" s="115"/>
      <c r="N105" s="110" t="e">
        <f t="shared" si="23"/>
        <v>#DIV/0!</v>
      </c>
      <c r="O105" s="118" t="e">
        <f t="shared" si="24"/>
        <v>#DIV/0!</v>
      </c>
      <c r="P105" s="121"/>
      <c r="Q105" s="92">
        <f t="shared" si="25"/>
        <v>0</v>
      </c>
      <c r="R105" s="47" t="e">
        <f t="shared" si="26"/>
        <v>#DIV/0!</v>
      </c>
      <c r="S105" s="89" t="e">
        <f t="shared" si="27"/>
        <v>#DIV/0!</v>
      </c>
      <c r="T105" s="93"/>
      <c r="U105" s="137"/>
      <c r="V105" s="134"/>
      <c r="W105" s="93"/>
      <c r="X105" s="137"/>
      <c r="Y105" s="134"/>
      <c r="Z105" s="104"/>
      <c r="AA105" s="5"/>
      <c r="AB105" s="101">
        <f t="shared" si="28"/>
        <v>0</v>
      </c>
      <c r="AC105" s="138"/>
      <c r="AD105" s="42"/>
      <c r="AE105" s="101">
        <f t="shared" si="29"/>
        <v>0</v>
      </c>
    </row>
    <row r="106" spans="5:31" x14ac:dyDescent="0.35">
      <c r="E106" s="64"/>
      <c r="F106" s="110" t="e">
        <f t="shared" si="20"/>
        <v>#DIV/0!</v>
      </c>
      <c r="G106" s="124"/>
      <c r="H106" s="116"/>
      <c r="I106" s="115"/>
      <c r="J106" s="110" t="e">
        <f t="shared" si="21"/>
        <v>#DIV/0!</v>
      </c>
      <c r="K106" s="114" t="e">
        <f t="shared" si="22"/>
        <v>#DIV/0!</v>
      </c>
      <c r="L106" s="116"/>
      <c r="M106" s="115"/>
      <c r="N106" s="110" t="e">
        <f t="shared" si="23"/>
        <v>#DIV/0!</v>
      </c>
      <c r="O106" s="118" t="e">
        <f t="shared" si="24"/>
        <v>#DIV/0!</v>
      </c>
      <c r="P106" s="121"/>
      <c r="Q106" s="92">
        <f t="shared" si="25"/>
        <v>0</v>
      </c>
      <c r="R106" s="47" t="e">
        <f t="shared" si="26"/>
        <v>#DIV/0!</v>
      </c>
      <c r="S106" s="89" t="e">
        <f t="shared" si="27"/>
        <v>#DIV/0!</v>
      </c>
      <c r="T106" s="93"/>
      <c r="U106" s="137"/>
      <c r="V106" s="134"/>
      <c r="W106" s="93"/>
      <c r="X106" s="137"/>
      <c r="Y106" s="134"/>
      <c r="Z106" s="104"/>
      <c r="AA106" s="5"/>
      <c r="AB106" s="101">
        <f t="shared" si="28"/>
        <v>0</v>
      </c>
      <c r="AC106" s="138"/>
      <c r="AD106" s="42"/>
      <c r="AE106" s="101">
        <f t="shared" si="29"/>
        <v>0</v>
      </c>
    </row>
    <row r="107" spans="5:31" x14ac:dyDescent="0.35">
      <c r="E107" s="64"/>
      <c r="F107" s="110" t="e">
        <f t="shared" si="20"/>
        <v>#DIV/0!</v>
      </c>
      <c r="G107" s="124"/>
      <c r="H107" s="116"/>
      <c r="I107" s="115"/>
      <c r="J107" s="110" t="e">
        <f t="shared" si="21"/>
        <v>#DIV/0!</v>
      </c>
      <c r="K107" s="114" t="e">
        <f t="shared" si="22"/>
        <v>#DIV/0!</v>
      </c>
      <c r="L107" s="116"/>
      <c r="M107" s="115"/>
      <c r="N107" s="110" t="e">
        <f t="shared" si="23"/>
        <v>#DIV/0!</v>
      </c>
      <c r="O107" s="118" t="e">
        <f t="shared" si="24"/>
        <v>#DIV/0!</v>
      </c>
      <c r="P107" s="121"/>
      <c r="Q107" s="92">
        <f t="shared" si="25"/>
        <v>0</v>
      </c>
      <c r="R107" s="47" t="e">
        <f t="shared" si="26"/>
        <v>#DIV/0!</v>
      </c>
      <c r="S107" s="89" t="e">
        <f t="shared" si="27"/>
        <v>#DIV/0!</v>
      </c>
      <c r="T107" s="93"/>
      <c r="U107" s="137"/>
      <c r="V107" s="134"/>
      <c r="W107" s="93"/>
      <c r="X107" s="137"/>
      <c r="Y107" s="134"/>
      <c r="Z107" s="104"/>
      <c r="AA107" s="5"/>
      <c r="AB107" s="101">
        <f t="shared" si="28"/>
        <v>0</v>
      </c>
      <c r="AC107" s="138"/>
      <c r="AD107" s="42"/>
      <c r="AE107" s="101">
        <f t="shared" si="29"/>
        <v>0</v>
      </c>
    </row>
    <row r="108" spans="5:31" x14ac:dyDescent="0.35">
      <c r="E108" s="64"/>
      <c r="F108" s="110" t="e">
        <f t="shared" si="20"/>
        <v>#DIV/0!</v>
      </c>
      <c r="G108" s="124"/>
      <c r="H108" s="116"/>
      <c r="I108" s="115"/>
      <c r="J108" s="110" t="e">
        <f t="shared" si="21"/>
        <v>#DIV/0!</v>
      </c>
      <c r="K108" s="114" t="e">
        <f t="shared" si="22"/>
        <v>#DIV/0!</v>
      </c>
      <c r="L108" s="116"/>
      <c r="M108" s="115"/>
      <c r="N108" s="110" t="e">
        <f t="shared" si="23"/>
        <v>#DIV/0!</v>
      </c>
      <c r="O108" s="118" t="e">
        <f t="shared" si="24"/>
        <v>#DIV/0!</v>
      </c>
      <c r="P108" s="121"/>
      <c r="Q108" s="92">
        <f t="shared" si="25"/>
        <v>0</v>
      </c>
      <c r="R108" s="47" t="e">
        <f t="shared" si="26"/>
        <v>#DIV/0!</v>
      </c>
      <c r="S108" s="89" t="e">
        <f t="shared" si="27"/>
        <v>#DIV/0!</v>
      </c>
      <c r="T108" s="93"/>
      <c r="U108" s="137"/>
      <c r="V108" s="134"/>
      <c r="W108" s="93"/>
      <c r="X108" s="137"/>
      <c r="Y108" s="134"/>
      <c r="Z108" s="104"/>
      <c r="AA108" s="5"/>
      <c r="AB108" s="101">
        <f t="shared" si="28"/>
        <v>0</v>
      </c>
      <c r="AC108" s="138"/>
      <c r="AD108" s="42"/>
      <c r="AE108" s="101">
        <f t="shared" si="29"/>
        <v>0</v>
      </c>
    </row>
    <row r="109" spans="5:31" x14ac:dyDescent="0.35">
      <c r="E109" s="64"/>
      <c r="F109" s="110" t="e">
        <f t="shared" si="20"/>
        <v>#DIV/0!</v>
      </c>
      <c r="G109" s="124"/>
      <c r="H109" s="116"/>
      <c r="I109" s="115"/>
      <c r="J109" s="110" t="e">
        <f t="shared" si="21"/>
        <v>#DIV/0!</v>
      </c>
      <c r="K109" s="114" t="e">
        <f t="shared" si="22"/>
        <v>#DIV/0!</v>
      </c>
      <c r="L109" s="116"/>
      <c r="M109" s="115"/>
      <c r="N109" s="110" t="e">
        <f t="shared" si="23"/>
        <v>#DIV/0!</v>
      </c>
      <c r="O109" s="118" t="e">
        <f t="shared" si="24"/>
        <v>#DIV/0!</v>
      </c>
      <c r="P109" s="121"/>
      <c r="Q109" s="92">
        <f t="shared" si="25"/>
        <v>0</v>
      </c>
      <c r="R109" s="47" t="e">
        <f t="shared" si="26"/>
        <v>#DIV/0!</v>
      </c>
      <c r="S109" s="89" t="e">
        <f t="shared" si="27"/>
        <v>#DIV/0!</v>
      </c>
      <c r="T109" s="93"/>
      <c r="U109" s="137"/>
      <c r="V109" s="134"/>
      <c r="W109" s="93"/>
      <c r="X109" s="137"/>
      <c r="Y109" s="134"/>
      <c r="Z109" s="104"/>
      <c r="AA109" s="5"/>
      <c r="AB109" s="101">
        <f t="shared" si="28"/>
        <v>0</v>
      </c>
      <c r="AC109" s="138"/>
      <c r="AD109" s="42"/>
      <c r="AE109" s="101">
        <f t="shared" si="29"/>
        <v>0</v>
      </c>
    </row>
    <row r="110" spans="5:31" x14ac:dyDescent="0.35">
      <c r="E110" s="64"/>
      <c r="F110" s="110" t="e">
        <f t="shared" si="20"/>
        <v>#DIV/0!</v>
      </c>
      <c r="G110" s="124"/>
      <c r="H110" s="116"/>
      <c r="I110" s="115"/>
      <c r="J110" s="110" t="e">
        <f t="shared" si="21"/>
        <v>#DIV/0!</v>
      </c>
      <c r="K110" s="114" t="e">
        <f t="shared" si="22"/>
        <v>#DIV/0!</v>
      </c>
      <c r="L110" s="116"/>
      <c r="M110" s="115"/>
      <c r="N110" s="110" t="e">
        <f t="shared" si="23"/>
        <v>#DIV/0!</v>
      </c>
      <c r="O110" s="118" t="e">
        <f t="shared" si="24"/>
        <v>#DIV/0!</v>
      </c>
      <c r="P110" s="121"/>
      <c r="Q110" s="92">
        <f t="shared" si="25"/>
        <v>0</v>
      </c>
      <c r="R110" s="47" t="e">
        <f t="shared" si="26"/>
        <v>#DIV/0!</v>
      </c>
      <c r="S110" s="89" t="e">
        <f t="shared" si="27"/>
        <v>#DIV/0!</v>
      </c>
      <c r="T110" s="93"/>
      <c r="U110" s="137"/>
      <c r="V110" s="134"/>
      <c r="W110" s="93"/>
      <c r="X110" s="137"/>
      <c r="Y110" s="134"/>
      <c r="Z110" s="104"/>
      <c r="AA110" s="5"/>
      <c r="AB110" s="101">
        <f t="shared" si="28"/>
        <v>0</v>
      </c>
      <c r="AC110" s="138"/>
      <c r="AD110" s="42"/>
      <c r="AE110" s="101">
        <f t="shared" si="29"/>
        <v>0</v>
      </c>
    </row>
    <row r="111" spans="5:31" x14ac:dyDescent="0.35">
      <c r="E111" s="64"/>
      <c r="F111" s="110" t="e">
        <f t="shared" si="20"/>
        <v>#DIV/0!</v>
      </c>
      <c r="G111" s="124"/>
      <c r="H111" s="116"/>
      <c r="I111" s="115"/>
      <c r="J111" s="110" t="e">
        <f t="shared" si="21"/>
        <v>#DIV/0!</v>
      </c>
      <c r="K111" s="114" t="e">
        <f t="shared" si="22"/>
        <v>#DIV/0!</v>
      </c>
      <c r="L111" s="116"/>
      <c r="M111" s="115"/>
      <c r="N111" s="110" t="e">
        <f t="shared" si="23"/>
        <v>#DIV/0!</v>
      </c>
      <c r="O111" s="118" t="e">
        <f t="shared" si="24"/>
        <v>#DIV/0!</v>
      </c>
      <c r="P111" s="121"/>
      <c r="Q111" s="92">
        <f t="shared" si="25"/>
        <v>0</v>
      </c>
      <c r="R111" s="47" t="e">
        <f t="shared" si="26"/>
        <v>#DIV/0!</v>
      </c>
      <c r="S111" s="89" t="e">
        <f t="shared" si="27"/>
        <v>#DIV/0!</v>
      </c>
      <c r="T111" s="93"/>
      <c r="U111" s="137"/>
      <c r="V111" s="134"/>
      <c r="W111" s="93"/>
      <c r="X111" s="137"/>
      <c r="Y111" s="134"/>
      <c r="Z111" s="104"/>
      <c r="AA111" s="5"/>
      <c r="AB111" s="101">
        <f t="shared" si="28"/>
        <v>0</v>
      </c>
      <c r="AC111" s="138"/>
      <c r="AD111" s="42"/>
      <c r="AE111" s="101">
        <f t="shared" si="29"/>
        <v>0</v>
      </c>
    </row>
    <row r="112" spans="5:31" x14ac:dyDescent="0.35">
      <c r="E112" s="64"/>
      <c r="F112" s="110" t="e">
        <f t="shared" si="20"/>
        <v>#DIV/0!</v>
      </c>
      <c r="G112" s="124"/>
      <c r="H112" s="116"/>
      <c r="I112" s="115"/>
      <c r="J112" s="110" t="e">
        <f t="shared" si="21"/>
        <v>#DIV/0!</v>
      </c>
      <c r="K112" s="114" t="e">
        <f t="shared" si="22"/>
        <v>#DIV/0!</v>
      </c>
      <c r="L112" s="116"/>
      <c r="M112" s="115"/>
      <c r="N112" s="110" t="e">
        <f t="shared" si="23"/>
        <v>#DIV/0!</v>
      </c>
      <c r="O112" s="118" t="e">
        <f t="shared" si="24"/>
        <v>#DIV/0!</v>
      </c>
      <c r="P112" s="121"/>
      <c r="Q112" s="92">
        <f t="shared" si="25"/>
        <v>0</v>
      </c>
      <c r="R112" s="47" t="e">
        <f t="shared" si="26"/>
        <v>#DIV/0!</v>
      </c>
      <c r="S112" s="89" t="e">
        <f t="shared" si="27"/>
        <v>#DIV/0!</v>
      </c>
      <c r="T112" s="93"/>
      <c r="U112" s="137"/>
      <c r="V112" s="134"/>
      <c r="W112" s="93"/>
      <c r="X112" s="137"/>
      <c r="Y112" s="134"/>
      <c r="Z112" s="104"/>
      <c r="AA112" s="5"/>
      <c r="AB112" s="101">
        <f t="shared" si="28"/>
        <v>0</v>
      </c>
      <c r="AC112" s="138"/>
      <c r="AD112" s="42"/>
      <c r="AE112" s="101">
        <f t="shared" si="29"/>
        <v>0</v>
      </c>
    </row>
    <row r="113" spans="5:31" x14ac:dyDescent="0.35">
      <c r="E113" s="64"/>
      <c r="F113" s="110" t="e">
        <f t="shared" si="20"/>
        <v>#DIV/0!</v>
      </c>
      <c r="G113" s="124"/>
      <c r="H113" s="116"/>
      <c r="I113" s="115"/>
      <c r="J113" s="110" t="e">
        <f t="shared" si="21"/>
        <v>#DIV/0!</v>
      </c>
      <c r="K113" s="114" t="e">
        <f t="shared" si="22"/>
        <v>#DIV/0!</v>
      </c>
      <c r="L113" s="116"/>
      <c r="M113" s="115"/>
      <c r="N113" s="110" t="e">
        <f t="shared" si="23"/>
        <v>#DIV/0!</v>
      </c>
      <c r="O113" s="118" t="e">
        <f t="shared" si="24"/>
        <v>#DIV/0!</v>
      </c>
      <c r="P113" s="121"/>
      <c r="Q113" s="92">
        <f t="shared" si="25"/>
        <v>0</v>
      </c>
      <c r="R113" s="47" t="e">
        <f t="shared" si="26"/>
        <v>#DIV/0!</v>
      </c>
      <c r="S113" s="89" t="e">
        <f t="shared" si="27"/>
        <v>#DIV/0!</v>
      </c>
      <c r="T113" s="93"/>
      <c r="U113" s="137"/>
      <c r="V113" s="134"/>
      <c r="W113" s="93"/>
      <c r="X113" s="137"/>
      <c r="Y113" s="134"/>
      <c r="Z113" s="104"/>
      <c r="AA113" s="5"/>
      <c r="AB113" s="101">
        <f t="shared" si="28"/>
        <v>0</v>
      </c>
      <c r="AC113" s="138"/>
      <c r="AD113" s="42"/>
      <c r="AE113" s="101">
        <f t="shared" si="29"/>
        <v>0</v>
      </c>
    </row>
    <row r="114" spans="5:31" x14ac:dyDescent="0.35">
      <c r="E114" s="64"/>
      <c r="F114" s="110" t="e">
        <f t="shared" si="20"/>
        <v>#DIV/0!</v>
      </c>
      <c r="G114" s="124"/>
      <c r="H114" s="116"/>
      <c r="I114" s="115"/>
      <c r="J114" s="110" t="e">
        <f t="shared" si="21"/>
        <v>#DIV/0!</v>
      </c>
      <c r="K114" s="114" t="e">
        <f t="shared" si="22"/>
        <v>#DIV/0!</v>
      </c>
      <c r="L114" s="116"/>
      <c r="M114" s="115"/>
      <c r="N114" s="110" t="e">
        <f t="shared" si="23"/>
        <v>#DIV/0!</v>
      </c>
      <c r="O114" s="118" t="e">
        <f t="shared" si="24"/>
        <v>#DIV/0!</v>
      </c>
      <c r="P114" s="121"/>
      <c r="Q114" s="92">
        <f t="shared" si="25"/>
        <v>0</v>
      </c>
      <c r="R114" s="47" t="e">
        <f t="shared" si="26"/>
        <v>#DIV/0!</v>
      </c>
      <c r="S114" s="89" t="e">
        <f t="shared" si="27"/>
        <v>#DIV/0!</v>
      </c>
      <c r="T114" s="93"/>
      <c r="U114" s="137"/>
      <c r="V114" s="134"/>
      <c r="W114" s="93"/>
      <c r="X114" s="137"/>
      <c r="Y114" s="134"/>
      <c r="Z114" s="104"/>
      <c r="AA114" s="5"/>
      <c r="AB114" s="101">
        <f t="shared" si="28"/>
        <v>0</v>
      </c>
      <c r="AC114" s="138"/>
      <c r="AD114" s="42"/>
      <c r="AE114" s="101">
        <f t="shared" si="29"/>
        <v>0</v>
      </c>
    </row>
    <row r="115" spans="5:31" x14ac:dyDescent="0.35">
      <c r="E115" s="64"/>
      <c r="F115" s="110" t="e">
        <f t="shared" si="20"/>
        <v>#DIV/0!</v>
      </c>
      <c r="G115" s="124"/>
      <c r="H115" s="116"/>
      <c r="I115" s="115"/>
      <c r="J115" s="110" t="e">
        <f t="shared" si="21"/>
        <v>#DIV/0!</v>
      </c>
      <c r="K115" s="114" t="e">
        <f t="shared" si="22"/>
        <v>#DIV/0!</v>
      </c>
      <c r="L115" s="116"/>
      <c r="M115" s="115"/>
      <c r="N115" s="110" t="e">
        <f t="shared" si="23"/>
        <v>#DIV/0!</v>
      </c>
      <c r="O115" s="118" t="e">
        <f t="shared" si="24"/>
        <v>#DIV/0!</v>
      </c>
      <c r="P115" s="121"/>
      <c r="Q115" s="92">
        <f t="shared" si="25"/>
        <v>0</v>
      </c>
      <c r="R115" s="47" t="e">
        <f t="shared" si="26"/>
        <v>#DIV/0!</v>
      </c>
      <c r="S115" s="89" t="e">
        <f t="shared" si="27"/>
        <v>#DIV/0!</v>
      </c>
      <c r="T115" s="93"/>
      <c r="U115" s="137"/>
      <c r="V115" s="134"/>
      <c r="W115" s="93"/>
      <c r="X115" s="137"/>
      <c r="Y115" s="134"/>
      <c r="Z115" s="104"/>
      <c r="AA115" s="5"/>
      <c r="AB115" s="101">
        <f t="shared" si="28"/>
        <v>0</v>
      </c>
      <c r="AC115" s="138"/>
      <c r="AD115" s="42"/>
      <c r="AE115" s="101">
        <f t="shared" si="29"/>
        <v>0</v>
      </c>
    </row>
    <row r="116" spans="5:31" x14ac:dyDescent="0.35">
      <c r="E116" s="64"/>
      <c r="F116" s="110" t="e">
        <f t="shared" si="20"/>
        <v>#DIV/0!</v>
      </c>
      <c r="G116" s="124"/>
      <c r="H116" s="116"/>
      <c r="I116" s="115"/>
      <c r="J116" s="110" t="e">
        <f t="shared" si="21"/>
        <v>#DIV/0!</v>
      </c>
      <c r="K116" s="114" t="e">
        <f t="shared" si="22"/>
        <v>#DIV/0!</v>
      </c>
      <c r="L116" s="116"/>
      <c r="M116" s="115"/>
      <c r="N116" s="110" t="e">
        <f t="shared" si="23"/>
        <v>#DIV/0!</v>
      </c>
      <c r="O116" s="118" t="e">
        <f t="shared" si="24"/>
        <v>#DIV/0!</v>
      </c>
      <c r="P116" s="121"/>
      <c r="Q116" s="92">
        <f t="shared" si="25"/>
        <v>0</v>
      </c>
      <c r="R116" s="47" t="e">
        <f t="shared" si="26"/>
        <v>#DIV/0!</v>
      </c>
      <c r="S116" s="89" t="e">
        <f t="shared" si="27"/>
        <v>#DIV/0!</v>
      </c>
      <c r="T116" s="93"/>
      <c r="U116" s="137"/>
      <c r="V116" s="134"/>
      <c r="W116" s="93"/>
      <c r="X116" s="137"/>
      <c r="Y116" s="134"/>
      <c r="Z116" s="104"/>
      <c r="AA116" s="5"/>
      <c r="AB116" s="101">
        <f t="shared" si="28"/>
        <v>0</v>
      </c>
      <c r="AC116" s="138"/>
      <c r="AD116" s="42"/>
      <c r="AE116" s="101">
        <f t="shared" si="29"/>
        <v>0</v>
      </c>
    </row>
    <row r="117" spans="5:31" x14ac:dyDescent="0.35">
      <c r="E117" s="64"/>
      <c r="F117" s="110" t="e">
        <f t="shared" si="20"/>
        <v>#DIV/0!</v>
      </c>
      <c r="G117" s="124"/>
      <c r="H117" s="116"/>
      <c r="I117" s="115"/>
      <c r="J117" s="110" t="e">
        <f t="shared" si="21"/>
        <v>#DIV/0!</v>
      </c>
      <c r="K117" s="114" t="e">
        <f t="shared" si="22"/>
        <v>#DIV/0!</v>
      </c>
      <c r="L117" s="116"/>
      <c r="M117" s="115"/>
      <c r="N117" s="110" t="e">
        <f t="shared" si="23"/>
        <v>#DIV/0!</v>
      </c>
      <c r="O117" s="118" t="e">
        <f t="shared" si="24"/>
        <v>#DIV/0!</v>
      </c>
      <c r="P117" s="121"/>
      <c r="Q117" s="92">
        <f t="shared" si="25"/>
        <v>0</v>
      </c>
      <c r="R117" s="47" t="e">
        <f t="shared" si="26"/>
        <v>#DIV/0!</v>
      </c>
      <c r="S117" s="89" t="e">
        <f t="shared" si="27"/>
        <v>#DIV/0!</v>
      </c>
      <c r="T117" s="93"/>
      <c r="U117" s="137"/>
      <c r="V117" s="134"/>
      <c r="W117" s="93"/>
      <c r="X117" s="137"/>
      <c r="Y117" s="134"/>
      <c r="Z117" s="104"/>
      <c r="AA117" s="5"/>
      <c r="AB117" s="101">
        <f t="shared" si="28"/>
        <v>0</v>
      </c>
      <c r="AC117" s="138"/>
      <c r="AD117" s="42"/>
      <c r="AE117" s="101">
        <f t="shared" si="29"/>
        <v>0</v>
      </c>
    </row>
    <row r="118" spans="5:31" x14ac:dyDescent="0.35">
      <c r="E118" s="64"/>
      <c r="F118" s="110" t="e">
        <f t="shared" si="20"/>
        <v>#DIV/0!</v>
      </c>
      <c r="G118" s="124"/>
      <c r="H118" s="116"/>
      <c r="I118" s="115"/>
      <c r="J118" s="110" t="e">
        <f t="shared" si="21"/>
        <v>#DIV/0!</v>
      </c>
      <c r="K118" s="114" t="e">
        <f t="shared" si="22"/>
        <v>#DIV/0!</v>
      </c>
      <c r="L118" s="116"/>
      <c r="M118" s="115"/>
      <c r="N118" s="110" t="e">
        <f t="shared" si="23"/>
        <v>#DIV/0!</v>
      </c>
      <c r="O118" s="118" t="e">
        <f t="shared" si="24"/>
        <v>#DIV/0!</v>
      </c>
      <c r="P118" s="121"/>
      <c r="Q118" s="92">
        <f t="shared" si="25"/>
        <v>0</v>
      </c>
      <c r="R118" s="47" t="e">
        <f t="shared" si="26"/>
        <v>#DIV/0!</v>
      </c>
      <c r="S118" s="89" t="e">
        <f t="shared" si="27"/>
        <v>#DIV/0!</v>
      </c>
      <c r="T118" s="93"/>
      <c r="U118" s="137"/>
      <c r="V118" s="134"/>
      <c r="W118" s="93"/>
      <c r="X118" s="137"/>
      <c r="Y118" s="134"/>
      <c r="Z118" s="104"/>
      <c r="AA118" s="5"/>
      <c r="AB118" s="101">
        <f t="shared" si="28"/>
        <v>0</v>
      </c>
      <c r="AC118" s="138"/>
      <c r="AD118" s="42"/>
      <c r="AE118" s="101">
        <f t="shared" si="29"/>
        <v>0</v>
      </c>
    </row>
    <row r="119" spans="5:31" x14ac:dyDescent="0.35">
      <c r="E119" s="64"/>
      <c r="F119" s="110" t="e">
        <f t="shared" si="20"/>
        <v>#DIV/0!</v>
      </c>
      <c r="G119" s="124"/>
      <c r="H119" s="116"/>
      <c r="I119" s="115"/>
      <c r="J119" s="110" t="e">
        <f t="shared" si="21"/>
        <v>#DIV/0!</v>
      </c>
      <c r="K119" s="114" t="e">
        <f t="shared" si="22"/>
        <v>#DIV/0!</v>
      </c>
      <c r="L119" s="116"/>
      <c r="M119" s="115"/>
      <c r="N119" s="110" t="e">
        <f t="shared" si="23"/>
        <v>#DIV/0!</v>
      </c>
      <c r="O119" s="118" t="e">
        <f t="shared" si="24"/>
        <v>#DIV/0!</v>
      </c>
      <c r="P119" s="121"/>
      <c r="Q119" s="92">
        <f t="shared" si="25"/>
        <v>0</v>
      </c>
      <c r="R119" s="47" t="e">
        <f t="shared" si="26"/>
        <v>#DIV/0!</v>
      </c>
      <c r="S119" s="89" t="e">
        <f t="shared" si="27"/>
        <v>#DIV/0!</v>
      </c>
      <c r="T119" s="93"/>
      <c r="U119" s="137"/>
      <c r="V119" s="134"/>
      <c r="W119" s="93"/>
      <c r="X119" s="137"/>
      <c r="Y119" s="134"/>
      <c r="Z119" s="104"/>
      <c r="AA119" s="5"/>
      <c r="AB119" s="101">
        <f t="shared" si="28"/>
        <v>0</v>
      </c>
      <c r="AC119" s="138"/>
      <c r="AD119" s="42"/>
      <c r="AE119" s="101">
        <f t="shared" si="29"/>
        <v>0</v>
      </c>
    </row>
    <row r="120" spans="5:31" x14ac:dyDescent="0.35">
      <c r="E120" s="64"/>
      <c r="F120" s="110" t="e">
        <f t="shared" si="20"/>
        <v>#DIV/0!</v>
      </c>
      <c r="G120" s="124"/>
      <c r="H120" s="116"/>
      <c r="I120" s="115"/>
      <c r="J120" s="110" t="e">
        <f t="shared" si="21"/>
        <v>#DIV/0!</v>
      </c>
      <c r="K120" s="114" t="e">
        <f t="shared" si="22"/>
        <v>#DIV/0!</v>
      </c>
      <c r="L120" s="116"/>
      <c r="M120" s="115"/>
      <c r="N120" s="110" t="e">
        <f t="shared" si="23"/>
        <v>#DIV/0!</v>
      </c>
      <c r="O120" s="118" t="e">
        <f t="shared" si="24"/>
        <v>#DIV/0!</v>
      </c>
      <c r="P120" s="121"/>
      <c r="Q120" s="92">
        <f t="shared" si="25"/>
        <v>0</v>
      </c>
      <c r="R120" s="47" t="e">
        <f t="shared" si="26"/>
        <v>#DIV/0!</v>
      </c>
      <c r="S120" s="89" t="e">
        <f t="shared" si="27"/>
        <v>#DIV/0!</v>
      </c>
      <c r="T120" s="93"/>
      <c r="U120" s="137"/>
      <c r="V120" s="134"/>
      <c r="W120" s="93"/>
      <c r="X120" s="137"/>
      <c r="Y120" s="134"/>
      <c r="Z120" s="104"/>
      <c r="AA120" s="5"/>
      <c r="AB120" s="101">
        <f t="shared" si="28"/>
        <v>0</v>
      </c>
      <c r="AC120" s="138"/>
      <c r="AD120" s="42"/>
      <c r="AE120" s="101">
        <f t="shared" si="29"/>
        <v>0</v>
      </c>
    </row>
    <row r="121" spans="5:31" x14ac:dyDescent="0.35">
      <c r="E121" s="64"/>
      <c r="F121" s="110" t="e">
        <f t="shared" si="20"/>
        <v>#DIV/0!</v>
      </c>
      <c r="G121" s="124"/>
      <c r="H121" s="116"/>
      <c r="I121" s="115"/>
      <c r="J121" s="110" t="e">
        <f t="shared" si="21"/>
        <v>#DIV/0!</v>
      </c>
      <c r="K121" s="114" t="e">
        <f t="shared" si="22"/>
        <v>#DIV/0!</v>
      </c>
      <c r="L121" s="116"/>
      <c r="M121" s="115"/>
      <c r="N121" s="110" t="e">
        <f t="shared" si="23"/>
        <v>#DIV/0!</v>
      </c>
      <c r="O121" s="118" t="e">
        <f t="shared" si="24"/>
        <v>#DIV/0!</v>
      </c>
      <c r="P121" s="121"/>
      <c r="Q121" s="92">
        <f t="shared" si="25"/>
        <v>0</v>
      </c>
      <c r="R121" s="47" t="e">
        <f t="shared" si="26"/>
        <v>#DIV/0!</v>
      </c>
      <c r="S121" s="89" t="e">
        <f t="shared" si="27"/>
        <v>#DIV/0!</v>
      </c>
      <c r="T121" s="93"/>
      <c r="U121" s="137"/>
      <c r="V121" s="134"/>
      <c r="W121" s="93"/>
      <c r="X121" s="137"/>
      <c r="Y121" s="134"/>
      <c r="Z121" s="104"/>
      <c r="AA121" s="5"/>
      <c r="AB121" s="101">
        <f t="shared" si="28"/>
        <v>0</v>
      </c>
      <c r="AC121" s="138"/>
      <c r="AD121" s="42"/>
      <c r="AE121" s="101">
        <f t="shared" si="29"/>
        <v>0</v>
      </c>
    </row>
    <row r="122" spans="5:31" x14ac:dyDescent="0.35">
      <c r="E122" s="64"/>
      <c r="F122" s="110" t="e">
        <f t="shared" si="20"/>
        <v>#DIV/0!</v>
      </c>
      <c r="G122" s="124"/>
      <c r="H122" s="116"/>
      <c r="I122" s="115"/>
      <c r="J122" s="110" t="e">
        <f t="shared" si="21"/>
        <v>#DIV/0!</v>
      </c>
      <c r="K122" s="114" t="e">
        <f t="shared" si="22"/>
        <v>#DIV/0!</v>
      </c>
      <c r="L122" s="116"/>
      <c r="M122" s="115"/>
      <c r="N122" s="110" t="e">
        <f t="shared" si="23"/>
        <v>#DIV/0!</v>
      </c>
      <c r="O122" s="118" t="e">
        <f t="shared" si="24"/>
        <v>#DIV/0!</v>
      </c>
      <c r="P122" s="121"/>
      <c r="Q122" s="92">
        <f t="shared" si="25"/>
        <v>0</v>
      </c>
      <c r="R122" s="47" t="e">
        <f t="shared" si="26"/>
        <v>#DIV/0!</v>
      </c>
      <c r="S122" s="89" t="e">
        <f t="shared" si="27"/>
        <v>#DIV/0!</v>
      </c>
      <c r="T122" s="93"/>
      <c r="U122" s="137"/>
      <c r="V122" s="134"/>
      <c r="W122" s="93"/>
      <c r="X122" s="137"/>
      <c r="Y122" s="134"/>
      <c r="Z122" s="104"/>
      <c r="AA122" s="5"/>
      <c r="AB122" s="101">
        <f t="shared" si="28"/>
        <v>0</v>
      </c>
      <c r="AC122" s="138"/>
      <c r="AD122" s="42"/>
      <c r="AE122" s="101">
        <f t="shared" si="29"/>
        <v>0</v>
      </c>
    </row>
    <row r="123" spans="5:31" x14ac:dyDescent="0.35">
      <c r="E123" s="64"/>
      <c r="F123" s="110" t="e">
        <f t="shared" si="20"/>
        <v>#DIV/0!</v>
      </c>
      <c r="G123" s="124"/>
      <c r="H123" s="116"/>
      <c r="I123" s="115"/>
      <c r="J123" s="110" t="e">
        <f t="shared" si="21"/>
        <v>#DIV/0!</v>
      </c>
      <c r="K123" s="114" t="e">
        <f t="shared" si="22"/>
        <v>#DIV/0!</v>
      </c>
      <c r="L123" s="116"/>
      <c r="M123" s="115"/>
      <c r="N123" s="110" t="e">
        <f t="shared" si="23"/>
        <v>#DIV/0!</v>
      </c>
      <c r="O123" s="118" t="e">
        <f t="shared" si="24"/>
        <v>#DIV/0!</v>
      </c>
      <c r="P123" s="121"/>
      <c r="Q123" s="92">
        <f t="shared" si="25"/>
        <v>0</v>
      </c>
      <c r="R123" s="47" t="e">
        <f t="shared" si="26"/>
        <v>#DIV/0!</v>
      </c>
      <c r="S123" s="89" t="e">
        <f t="shared" si="27"/>
        <v>#DIV/0!</v>
      </c>
      <c r="T123" s="93"/>
      <c r="U123" s="137"/>
      <c r="V123" s="134"/>
      <c r="W123" s="93"/>
      <c r="X123" s="137"/>
      <c r="Y123" s="134"/>
      <c r="Z123" s="104"/>
      <c r="AA123" s="5"/>
      <c r="AB123" s="101">
        <f t="shared" si="28"/>
        <v>0</v>
      </c>
      <c r="AC123" s="138"/>
      <c r="AD123" s="42"/>
      <c r="AE123" s="101">
        <f t="shared" si="29"/>
        <v>0</v>
      </c>
    </row>
    <row r="124" spans="5:31" x14ac:dyDescent="0.35">
      <c r="E124" s="64"/>
      <c r="F124" s="110" t="e">
        <f t="shared" si="20"/>
        <v>#DIV/0!</v>
      </c>
      <c r="G124" s="124"/>
      <c r="H124" s="116"/>
      <c r="I124" s="115"/>
      <c r="J124" s="110" t="e">
        <f t="shared" si="21"/>
        <v>#DIV/0!</v>
      </c>
      <c r="K124" s="114" t="e">
        <f t="shared" si="22"/>
        <v>#DIV/0!</v>
      </c>
      <c r="L124" s="116"/>
      <c r="M124" s="115"/>
      <c r="N124" s="110" t="e">
        <f t="shared" si="23"/>
        <v>#DIV/0!</v>
      </c>
      <c r="O124" s="118" t="e">
        <f t="shared" si="24"/>
        <v>#DIV/0!</v>
      </c>
      <c r="P124" s="121"/>
      <c r="Q124" s="92">
        <f t="shared" si="25"/>
        <v>0</v>
      </c>
      <c r="R124" s="47" t="e">
        <f t="shared" si="26"/>
        <v>#DIV/0!</v>
      </c>
      <c r="S124" s="89" t="e">
        <f t="shared" si="27"/>
        <v>#DIV/0!</v>
      </c>
      <c r="T124" s="93"/>
      <c r="U124" s="137"/>
      <c r="V124" s="134"/>
      <c r="W124" s="93"/>
      <c r="X124" s="137"/>
      <c r="Y124" s="134"/>
      <c r="Z124" s="104"/>
      <c r="AA124" s="5"/>
      <c r="AB124" s="101">
        <f t="shared" si="28"/>
        <v>0</v>
      </c>
      <c r="AC124" s="138"/>
      <c r="AD124" s="42"/>
      <c r="AE124" s="101">
        <f t="shared" si="29"/>
        <v>0</v>
      </c>
    </row>
    <row r="125" spans="5:31" x14ac:dyDescent="0.35">
      <c r="E125" s="64"/>
      <c r="F125" s="110" t="e">
        <f t="shared" si="20"/>
        <v>#DIV/0!</v>
      </c>
      <c r="G125" s="124"/>
      <c r="H125" s="116"/>
      <c r="I125" s="115"/>
      <c r="J125" s="110" t="e">
        <f t="shared" si="21"/>
        <v>#DIV/0!</v>
      </c>
      <c r="K125" s="114" t="e">
        <f t="shared" si="22"/>
        <v>#DIV/0!</v>
      </c>
      <c r="L125" s="116"/>
      <c r="M125" s="115"/>
      <c r="N125" s="110" t="e">
        <f t="shared" si="23"/>
        <v>#DIV/0!</v>
      </c>
      <c r="O125" s="118" t="e">
        <f t="shared" si="24"/>
        <v>#DIV/0!</v>
      </c>
      <c r="P125" s="121"/>
      <c r="Q125" s="92">
        <f t="shared" si="25"/>
        <v>0</v>
      </c>
      <c r="R125" s="47" t="e">
        <f t="shared" si="26"/>
        <v>#DIV/0!</v>
      </c>
      <c r="S125" s="89" t="e">
        <f t="shared" si="27"/>
        <v>#DIV/0!</v>
      </c>
      <c r="T125" s="93"/>
      <c r="U125" s="137"/>
      <c r="V125" s="134"/>
      <c r="W125" s="93"/>
      <c r="X125" s="137"/>
      <c r="Y125" s="134"/>
      <c r="Z125" s="104"/>
      <c r="AA125" s="5"/>
      <c r="AB125" s="101">
        <f t="shared" si="28"/>
        <v>0</v>
      </c>
      <c r="AC125" s="138"/>
      <c r="AD125" s="42"/>
      <c r="AE125" s="101">
        <f t="shared" si="29"/>
        <v>0</v>
      </c>
    </row>
    <row r="126" spans="5:31" x14ac:dyDescent="0.35">
      <c r="E126" s="64"/>
      <c r="F126" s="110" t="e">
        <f t="shared" si="20"/>
        <v>#DIV/0!</v>
      </c>
      <c r="G126" s="124"/>
      <c r="H126" s="116"/>
      <c r="I126" s="115"/>
      <c r="J126" s="110" t="e">
        <f t="shared" si="21"/>
        <v>#DIV/0!</v>
      </c>
      <c r="K126" s="114" t="e">
        <f t="shared" si="22"/>
        <v>#DIV/0!</v>
      </c>
      <c r="L126" s="116"/>
      <c r="M126" s="115"/>
      <c r="N126" s="110" t="e">
        <f t="shared" si="23"/>
        <v>#DIV/0!</v>
      </c>
      <c r="O126" s="118" t="e">
        <f t="shared" si="24"/>
        <v>#DIV/0!</v>
      </c>
      <c r="P126" s="121"/>
      <c r="Q126" s="92">
        <f t="shared" si="25"/>
        <v>0</v>
      </c>
      <c r="R126" s="47" t="e">
        <f t="shared" si="26"/>
        <v>#DIV/0!</v>
      </c>
      <c r="S126" s="89" t="e">
        <f t="shared" si="27"/>
        <v>#DIV/0!</v>
      </c>
      <c r="T126" s="93"/>
      <c r="U126" s="137"/>
      <c r="V126" s="134"/>
      <c r="W126" s="93"/>
      <c r="X126" s="137"/>
      <c r="Y126" s="134"/>
      <c r="Z126" s="104"/>
      <c r="AA126" s="5"/>
      <c r="AB126" s="101">
        <f t="shared" si="28"/>
        <v>0</v>
      </c>
      <c r="AC126" s="138"/>
      <c r="AD126" s="42"/>
      <c r="AE126" s="101">
        <f t="shared" si="29"/>
        <v>0</v>
      </c>
    </row>
    <row r="127" spans="5:31" x14ac:dyDescent="0.35">
      <c r="E127" s="64"/>
      <c r="F127" s="110" t="e">
        <f t="shared" si="20"/>
        <v>#DIV/0!</v>
      </c>
      <c r="G127" s="124"/>
      <c r="H127" s="116"/>
      <c r="I127" s="115"/>
      <c r="J127" s="110" t="e">
        <f t="shared" si="21"/>
        <v>#DIV/0!</v>
      </c>
      <c r="K127" s="114" t="e">
        <f t="shared" si="22"/>
        <v>#DIV/0!</v>
      </c>
      <c r="L127" s="116"/>
      <c r="M127" s="115"/>
      <c r="N127" s="110" t="e">
        <f t="shared" si="23"/>
        <v>#DIV/0!</v>
      </c>
      <c r="O127" s="118" t="e">
        <f t="shared" si="24"/>
        <v>#DIV/0!</v>
      </c>
      <c r="P127" s="121"/>
      <c r="Q127" s="92">
        <f t="shared" si="25"/>
        <v>0</v>
      </c>
      <c r="R127" s="47" t="e">
        <f t="shared" si="26"/>
        <v>#DIV/0!</v>
      </c>
      <c r="S127" s="89" t="e">
        <f t="shared" si="27"/>
        <v>#DIV/0!</v>
      </c>
      <c r="T127" s="93"/>
      <c r="U127" s="137"/>
      <c r="V127" s="134"/>
      <c r="W127" s="93"/>
      <c r="X127" s="137"/>
      <c r="Y127" s="134"/>
      <c r="Z127" s="104"/>
      <c r="AA127" s="5"/>
      <c r="AB127" s="101">
        <f t="shared" si="28"/>
        <v>0</v>
      </c>
      <c r="AC127" s="138"/>
      <c r="AD127" s="42"/>
      <c r="AE127" s="101">
        <f t="shared" si="29"/>
        <v>0</v>
      </c>
    </row>
    <row r="128" spans="5:31" x14ac:dyDescent="0.35">
      <c r="E128" s="64"/>
      <c r="F128" s="110" t="e">
        <f t="shared" si="20"/>
        <v>#DIV/0!</v>
      </c>
      <c r="G128" s="124"/>
      <c r="H128" s="116"/>
      <c r="I128" s="115"/>
      <c r="J128" s="110" t="e">
        <f t="shared" si="21"/>
        <v>#DIV/0!</v>
      </c>
      <c r="K128" s="114" t="e">
        <f t="shared" si="22"/>
        <v>#DIV/0!</v>
      </c>
      <c r="L128" s="116"/>
      <c r="M128" s="115"/>
      <c r="N128" s="110" t="e">
        <f t="shared" si="23"/>
        <v>#DIV/0!</v>
      </c>
      <c r="O128" s="118" t="e">
        <f t="shared" si="24"/>
        <v>#DIV/0!</v>
      </c>
      <c r="P128" s="121"/>
      <c r="Q128" s="92">
        <f t="shared" si="25"/>
        <v>0</v>
      </c>
      <c r="R128" s="47" t="e">
        <f t="shared" si="26"/>
        <v>#DIV/0!</v>
      </c>
      <c r="S128" s="89" t="e">
        <f t="shared" si="27"/>
        <v>#DIV/0!</v>
      </c>
      <c r="T128" s="93"/>
      <c r="U128" s="137"/>
      <c r="V128" s="134"/>
      <c r="W128" s="93"/>
      <c r="X128" s="137"/>
      <c r="Y128" s="134"/>
      <c r="Z128" s="104"/>
      <c r="AA128" s="5"/>
      <c r="AB128" s="101">
        <f t="shared" si="28"/>
        <v>0</v>
      </c>
      <c r="AC128" s="138"/>
      <c r="AD128" s="42"/>
      <c r="AE128" s="101">
        <f t="shared" si="29"/>
        <v>0</v>
      </c>
    </row>
    <row r="129" spans="5:31" x14ac:dyDescent="0.35">
      <c r="E129" s="64"/>
      <c r="F129" s="110" t="e">
        <f t="shared" si="20"/>
        <v>#DIV/0!</v>
      </c>
      <c r="G129" s="124"/>
      <c r="H129" s="116"/>
      <c r="I129" s="115"/>
      <c r="J129" s="110" t="e">
        <f t="shared" si="21"/>
        <v>#DIV/0!</v>
      </c>
      <c r="K129" s="114" t="e">
        <f t="shared" si="22"/>
        <v>#DIV/0!</v>
      </c>
      <c r="L129" s="116"/>
      <c r="M129" s="115"/>
      <c r="N129" s="110" t="e">
        <f t="shared" si="23"/>
        <v>#DIV/0!</v>
      </c>
      <c r="O129" s="118" t="e">
        <f t="shared" si="24"/>
        <v>#DIV/0!</v>
      </c>
      <c r="P129" s="121"/>
      <c r="Q129" s="92">
        <f t="shared" si="25"/>
        <v>0</v>
      </c>
      <c r="R129" s="47" t="e">
        <f t="shared" si="26"/>
        <v>#DIV/0!</v>
      </c>
      <c r="S129" s="89" t="e">
        <f t="shared" si="27"/>
        <v>#DIV/0!</v>
      </c>
      <c r="T129" s="93"/>
      <c r="U129" s="137"/>
      <c r="V129" s="134"/>
      <c r="W129" s="93"/>
      <c r="X129" s="137"/>
      <c r="Y129" s="134"/>
      <c r="Z129" s="104"/>
      <c r="AA129" s="5"/>
      <c r="AB129" s="101">
        <f t="shared" si="28"/>
        <v>0</v>
      </c>
      <c r="AC129" s="138"/>
      <c r="AD129" s="42"/>
      <c r="AE129" s="101">
        <f t="shared" si="29"/>
        <v>0</v>
      </c>
    </row>
    <row r="130" spans="5:31" x14ac:dyDescent="0.35">
      <c r="E130" s="64"/>
      <c r="F130" s="110" t="e">
        <f t="shared" si="20"/>
        <v>#DIV/0!</v>
      </c>
      <c r="G130" s="124"/>
      <c r="H130" s="116"/>
      <c r="I130" s="115"/>
      <c r="J130" s="110" t="e">
        <f t="shared" si="21"/>
        <v>#DIV/0!</v>
      </c>
      <c r="K130" s="114" t="e">
        <f t="shared" si="22"/>
        <v>#DIV/0!</v>
      </c>
      <c r="L130" s="116"/>
      <c r="M130" s="115"/>
      <c r="N130" s="110" t="e">
        <f t="shared" si="23"/>
        <v>#DIV/0!</v>
      </c>
      <c r="O130" s="118" t="e">
        <f t="shared" si="24"/>
        <v>#DIV/0!</v>
      </c>
      <c r="P130" s="121"/>
      <c r="Q130" s="92">
        <f t="shared" si="25"/>
        <v>0</v>
      </c>
      <c r="R130" s="47" t="e">
        <f t="shared" si="26"/>
        <v>#DIV/0!</v>
      </c>
      <c r="S130" s="89" t="e">
        <f t="shared" si="27"/>
        <v>#DIV/0!</v>
      </c>
      <c r="T130" s="93"/>
      <c r="U130" s="137"/>
      <c r="V130" s="134"/>
      <c r="W130" s="93"/>
      <c r="X130" s="137"/>
      <c r="Y130" s="134"/>
      <c r="Z130" s="104"/>
      <c r="AA130" s="5"/>
      <c r="AB130" s="101">
        <f t="shared" si="28"/>
        <v>0</v>
      </c>
      <c r="AC130" s="138"/>
      <c r="AD130" s="42"/>
      <c r="AE130" s="101">
        <f t="shared" si="29"/>
        <v>0</v>
      </c>
    </row>
    <row r="131" spans="5:31" x14ac:dyDescent="0.35">
      <c r="E131" s="64"/>
      <c r="F131" s="110" t="e">
        <f t="shared" si="20"/>
        <v>#DIV/0!</v>
      </c>
      <c r="G131" s="124"/>
      <c r="H131" s="116"/>
      <c r="I131" s="115"/>
      <c r="J131" s="110" t="e">
        <f t="shared" si="21"/>
        <v>#DIV/0!</v>
      </c>
      <c r="K131" s="114" t="e">
        <f t="shared" si="22"/>
        <v>#DIV/0!</v>
      </c>
      <c r="L131" s="116"/>
      <c r="M131" s="115"/>
      <c r="N131" s="110" t="e">
        <f t="shared" si="23"/>
        <v>#DIV/0!</v>
      </c>
      <c r="O131" s="118" t="e">
        <f t="shared" si="24"/>
        <v>#DIV/0!</v>
      </c>
      <c r="P131" s="121"/>
      <c r="Q131" s="92">
        <f t="shared" si="25"/>
        <v>0</v>
      </c>
      <c r="R131" s="47" t="e">
        <f t="shared" si="26"/>
        <v>#DIV/0!</v>
      </c>
      <c r="S131" s="89" t="e">
        <f t="shared" si="27"/>
        <v>#DIV/0!</v>
      </c>
      <c r="T131" s="93"/>
      <c r="U131" s="137"/>
      <c r="V131" s="134"/>
      <c r="W131" s="93"/>
      <c r="X131" s="137"/>
      <c r="Y131" s="134"/>
      <c r="Z131" s="104"/>
      <c r="AA131" s="5"/>
      <c r="AB131" s="101">
        <f t="shared" si="28"/>
        <v>0</v>
      </c>
      <c r="AC131" s="138"/>
      <c r="AD131" s="42"/>
      <c r="AE131" s="101">
        <f t="shared" si="29"/>
        <v>0</v>
      </c>
    </row>
    <row r="132" spans="5:31" x14ac:dyDescent="0.35">
      <c r="E132" s="64"/>
      <c r="F132" s="110" t="e">
        <f t="shared" si="20"/>
        <v>#DIV/0!</v>
      </c>
      <c r="G132" s="124"/>
      <c r="H132" s="116"/>
      <c r="I132" s="115"/>
      <c r="J132" s="110" t="e">
        <f t="shared" si="21"/>
        <v>#DIV/0!</v>
      </c>
      <c r="K132" s="114" t="e">
        <f t="shared" si="22"/>
        <v>#DIV/0!</v>
      </c>
      <c r="L132" s="116"/>
      <c r="M132" s="115"/>
      <c r="N132" s="110" t="e">
        <f t="shared" si="23"/>
        <v>#DIV/0!</v>
      </c>
      <c r="O132" s="118" t="e">
        <f t="shared" si="24"/>
        <v>#DIV/0!</v>
      </c>
      <c r="P132" s="121"/>
      <c r="Q132" s="92">
        <f t="shared" si="25"/>
        <v>0</v>
      </c>
      <c r="R132" s="47" t="e">
        <f t="shared" si="26"/>
        <v>#DIV/0!</v>
      </c>
      <c r="S132" s="89" t="e">
        <f t="shared" si="27"/>
        <v>#DIV/0!</v>
      </c>
      <c r="T132" s="93"/>
      <c r="U132" s="137"/>
      <c r="V132" s="134"/>
      <c r="W132" s="93"/>
      <c r="X132" s="137"/>
      <c r="Y132" s="134"/>
      <c r="Z132" s="104"/>
      <c r="AA132" s="5"/>
      <c r="AB132" s="101">
        <f t="shared" si="28"/>
        <v>0</v>
      </c>
      <c r="AC132" s="138"/>
      <c r="AD132" s="42"/>
      <c r="AE132" s="101">
        <f t="shared" si="29"/>
        <v>0</v>
      </c>
    </row>
    <row r="133" spans="5:31" x14ac:dyDescent="0.35">
      <c r="E133" s="64"/>
      <c r="F133" s="110" t="e">
        <f t="shared" si="20"/>
        <v>#DIV/0!</v>
      </c>
      <c r="G133" s="124"/>
      <c r="H133" s="116"/>
      <c r="I133" s="115"/>
      <c r="J133" s="110" t="e">
        <f t="shared" si="21"/>
        <v>#DIV/0!</v>
      </c>
      <c r="K133" s="114" t="e">
        <f t="shared" si="22"/>
        <v>#DIV/0!</v>
      </c>
      <c r="L133" s="116"/>
      <c r="M133" s="115"/>
      <c r="N133" s="110" t="e">
        <f t="shared" si="23"/>
        <v>#DIV/0!</v>
      </c>
      <c r="O133" s="118" t="e">
        <f t="shared" si="24"/>
        <v>#DIV/0!</v>
      </c>
      <c r="P133" s="121"/>
      <c r="Q133" s="92">
        <f t="shared" si="25"/>
        <v>0</v>
      </c>
      <c r="R133" s="47" t="e">
        <f t="shared" si="26"/>
        <v>#DIV/0!</v>
      </c>
      <c r="S133" s="89" t="e">
        <f t="shared" si="27"/>
        <v>#DIV/0!</v>
      </c>
      <c r="T133" s="93"/>
      <c r="U133" s="137"/>
      <c r="V133" s="134"/>
      <c r="W133" s="93"/>
      <c r="X133" s="137"/>
      <c r="Y133" s="134"/>
      <c r="Z133" s="104"/>
      <c r="AA133" s="5"/>
      <c r="AB133" s="101">
        <f t="shared" si="28"/>
        <v>0</v>
      </c>
      <c r="AC133" s="138"/>
      <c r="AD133" s="42"/>
      <c r="AE133" s="101">
        <f t="shared" si="29"/>
        <v>0</v>
      </c>
    </row>
    <row r="134" spans="5:31" x14ac:dyDescent="0.35">
      <c r="E134" s="64"/>
      <c r="F134" s="110" t="e">
        <f t="shared" si="20"/>
        <v>#DIV/0!</v>
      </c>
      <c r="G134" s="124"/>
      <c r="H134" s="116"/>
      <c r="I134" s="115"/>
      <c r="J134" s="110" t="e">
        <f t="shared" si="21"/>
        <v>#DIV/0!</v>
      </c>
      <c r="K134" s="114" t="e">
        <f t="shared" si="22"/>
        <v>#DIV/0!</v>
      </c>
      <c r="L134" s="116"/>
      <c r="M134" s="115"/>
      <c r="N134" s="110" t="e">
        <f t="shared" si="23"/>
        <v>#DIV/0!</v>
      </c>
      <c r="O134" s="118" t="e">
        <f t="shared" si="24"/>
        <v>#DIV/0!</v>
      </c>
      <c r="P134" s="121"/>
      <c r="Q134" s="92">
        <f t="shared" si="25"/>
        <v>0</v>
      </c>
      <c r="R134" s="47" t="e">
        <f t="shared" si="26"/>
        <v>#DIV/0!</v>
      </c>
      <c r="S134" s="89" t="e">
        <f t="shared" si="27"/>
        <v>#DIV/0!</v>
      </c>
      <c r="T134" s="93"/>
      <c r="U134" s="137"/>
      <c r="V134" s="134"/>
      <c r="W134" s="93"/>
      <c r="X134" s="137"/>
      <c r="Y134" s="134"/>
      <c r="Z134" s="104"/>
      <c r="AA134" s="5"/>
      <c r="AB134" s="101">
        <f t="shared" si="28"/>
        <v>0</v>
      </c>
      <c r="AC134" s="138"/>
      <c r="AD134" s="42"/>
      <c r="AE134" s="101">
        <f t="shared" si="29"/>
        <v>0</v>
      </c>
    </row>
    <row r="135" spans="5:31" x14ac:dyDescent="0.35">
      <c r="E135" s="64"/>
      <c r="F135" s="110" t="e">
        <f t="shared" si="20"/>
        <v>#DIV/0!</v>
      </c>
      <c r="G135" s="124"/>
      <c r="H135" s="116"/>
      <c r="I135" s="115"/>
      <c r="J135" s="110" t="e">
        <f t="shared" si="21"/>
        <v>#DIV/0!</v>
      </c>
      <c r="K135" s="114" t="e">
        <f t="shared" si="22"/>
        <v>#DIV/0!</v>
      </c>
      <c r="L135" s="116"/>
      <c r="M135" s="115"/>
      <c r="N135" s="110" t="e">
        <f t="shared" si="23"/>
        <v>#DIV/0!</v>
      </c>
      <c r="O135" s="118" t="e">
        <f t="shared" si="24"/>
        <v>#DIV/0!</v>
      </c>
      <c r="P135" s="121"/>
      <c r="Q135" s="92">
        <f t="shared" si="25"/>
        <v>0</v>
      </c>
      <c r="R135" s="47" t="e">
        <f t="shared" si="26"/>
        <v>#DIV/0!</v>
      </c>
      <c r="S135" s="89" t="e">
        <f t="shared" si="27"/>
        <v>#DIV/0!</v>
      </c>
      <c r="T135" s="93"/>
      <c r="U135" s="137"/>
      <c r="V135" s="134"/>
      <c r="W135" s="93"/>
      <c r="X135" s="137"/>
      <c r="Y135" s="134"/>
      <c r="Z135" s="104"/>
      <c r="AA135" s="5"/>
      <c r="AB135" s="101">
        <f t="shared" si="28"/>
        <v>0</v>
      </c>
      <c r="AC135" s="138"/>
      <c r="AD135" s="42"/>
      <c r="AE135" s="101">
        <f t="shared" si="29"/>
        <v>0</v>
      </c>
    </row>
    <row r="136" spans="5:31" x14ac:dyDescent="0.35">
      <c r="E136" s="64"/>
      <c r="F136" s="110" t="e">
        <f t="shared" si="20"/>
        <v>#DIV/0!</v>
      </c>
      <c r="G136" s="124"/>
      <c r="H136" s="116"/>
      <c r="I136" s="115"/>
      <c r="J136" s="110" t="e">
        <f t="shared" si="21"/>
        <v>#DIV/0!</v>
      </c>
      <c r="K136" s="114" t="e">
        <f t="shared" si="22"/>
        <v>#DIV/0!</v>
      </c>
      <c r="L136" s="116"/>
      <c r="M136" s="115"/>
      <c r="N136" s="110" t="e">
        <f t="shared" si="23"/>
        <v>#DIV/0!</v>
      </c>
      <c r="O136" s="118" t="e">
        <f t="shared" si="24"/>
        <v>#DIV/0!</v>
      </c>
      <c r="P136" s="121"/>
      <c r="Q136" s="92">
        <f t="shared" si="25"/>
        <v>0</v>
      </c>
      <c r="R136" s="47" t="e">
        <f t="shared" si="26"/>
        <v>#DIV/0!</v>
      </c>
      <c r="S136" s="89" t="e">
        <f t="shared" si="27"/>
        <v>#DIV/0!</v>
      </c>
      <c r="T136" s="93"/>
      <c r="U136" s="137"/>
      <c r="V136" s="134"/>
      <c r="W136" s="93"/>
      <c r="X136" s="137"/>
      <c r="Y136" s="134"/>
      <c r="Z136" s="104"/>
      <c r="AA136" s="5"/>
      <c r="AB136" s="101">
        <f t="shared" si="28"/>
        <v>0</v>
      </c>
      <c r="AC136" s="138"/>
      <c r="AD136" s="42"/>
      <c r="AE136" s="101">
        <f t="shared" si="29"/>
        <v>0</v>
      </c>
    </row>
    <row r="137" spans="5:31" x14ac:dyDescent="0.35">
      <c r="E137" s="64"/>
      <c r="F137" s="110" t="e">
        <f t="shared" si="20"/>
        <v>#DIV/0!</v>
      </c>
      <c r="G137" s="124"/>
      <c r="H137" s="116"/>
      <c r="I137" s="115"/>
      <c r="J137" s="110" t="e">
        <f t="shared" si="21"/>
        <v>#DIV/0!</v>
      </c>
      <c r="K137" s="114" t="e">
        <f t="shared" si="22"/>
        <v>#DIV/0!</v>
      </c>
      <c r="L137" s="116"/>
      <c r="M137" s="115"/>
      <c r="N137" s="110" t="e">
        <f t="shared" si="23"/>
        <v>#DIV/0!</v>
      </c>
      <c r="O137" s="118" t="e">
        <f t="shared" si="24"/>
        <v>#DIV/0!</v>
      </c>
      <c r="P137" s="121"/>
      <c r="Q137" s="92">
        <f t="shared" si="25"/>
        <v>0</v>
      </c>
      <c r="R137" s="47" t="e">
        <f t="shared" si="26"/>
        <v>#DIV/0!</v>
      </c>
      <c r="S137" s="89" t="e">
        <f t="shared" si="27"/>
        <v>#DIV/0!</v>
      </c>
      <c r="T137" s="93"/>
      <c r="U137" s="137"/>
      <c r="V137" s="134"/>
      <c r="W137" s="93"/>
      <c r="X137" s="137"/>
      <c r="Y137" s="134"/>
      <c r="Z137" s="104"/>
      <c r="AA137" s="5"/>
      <c r="AB137" s="101">
        <f t="shared" si="28"/>
        <v>0</v>
      </c>
      <c r="AC137" s="138"/>
      <c r="AD137" s="42"/>
      <c r="AE137" s="101">
        <f t="shared" si="29"/>
        <v>0</v>
      </c>
    </row>
    <row r="138" spans="5:31" x14ac:dyDescent="0.35">
      <c r="E138" s="64"/>
      <c r="F138" s="110" t="e">
        <f t="shared" si="20"/>
        <v>#DIV/0!</v>
      </c>
      <c r="G138" s="124"/>
      <c r="H138" s="116"/>
      <c r="I138" s="115"/>
      <c r="J138" s="110" t="e">
        <f t="shared" si="21"/>
        <v>#DIV/0!</v>
      </c>
      <c r="K138" s="114" t="e">
        <f t="shared" si="22"/>
        <v>#DIV/0!</v>
      </c>
      <c r="L138" s="116"/>
      <c r="M138" s="115"/>
      <c r="N138" s="110" t="e">
        <f t="shared" si="23"/>
        <v>#DIV/0!</v>
      </c>
      <c r="O138" s="118" t="e">
        <f t="shared" si="24"/>
        <v>#DIV/0!</v>
      </c>
      <c r="P138" s="121"/>
      <c r="Q138" s="92">
        <f t="shared" si="25"/>
        <v>0</v>
      </c>
      <c r="R138" s="47" t="e">
        <f t="shared" si="26"/>
        <v>#DIV/0!</v>
      </c>
      <c r="S138" s="89" t="e">
        <f t="shared" si="27"/>
        <v>#DIV/0!</v>
      </c>
      <c r="T138" s="93"/>
      <c r="U138" s="137"/>
      <c r="V138" s="134"/>
      <c r="W138" s="93"/>
      <c r="X138" s="137"/>
      <c r="Y138" s="134"/>
      <c r="Z138" s="104"/>
      <c r="AA138" s="5"/>
      <c r="AB138" s="101">
        <f t="shared" si="28"/>
        <v>0</v>
      </c>
      <c r="AC138" s="138"/>
      <c r="AD138" s="42"/>
      <c r="AE138" s="101">
        <f t="shared" si="29"/>
        <v>0</v>
      </c>
    </row>
    <row r="139" spans="5:31" x14ac:dyDescent="0.35">
      <c r="E139" s="64"/>
      <c r="F139" s="110" t="e">
        <f t="shared" si="20"/>
        <v>#DIV/0!</v>
      </c>
      <c r="G139" s="124"/>
      <c r="H139" s="116"/>
      <c r="I139" s="115"/>
      <c r="J139" s="110" t="e">
        <f t="shared" si="21"/>
        <v>#DIV/0!</v>
      </c>
      <c r="K139" s="114" t="e">
        <f t="shared" si="22"/>
        <v>#DIV/0!</v>
      </c>
      <c r="L139" s="116"/>
      <c r="M139" s="115"/>
      <c r="N139" s="110" t="e">
        <f t="shared" si="23"/>
        <v>#DIV/0!</v>
      </c>
      <c r="O139" s="118" t="e">
        <f t="shared" si="24"/>
        <v>#DIV/0!</v>
      </c>
      <c r="P139" s="121"/>
      <c r="Q139" s="92">
        <f t="shared" si="25"/>
        <v>0</v>
      </c>
      <c r="R139" s="47" t="e">
        <f t="shared" si="26"/>
        <v>#DIV/0!</v>
      </c>
      <c r="S139" s="89" t="e">
        <f t="shared" si="27"/>
        <v>#DIV/0!</v>
      </c>
      <c r="T139" s="93"/>
      <c r="U139" s="137"/>
      <c r="V139" s="134"/>
      <c r="W139" s="93"/>
      <c r="X139" s="137"/>
      <c r="Y139" s="134"/>
      <c r="Z139" s="104"/>
      <c r="AA139" s="5"/>
      <c r="AB139" s="101">
        <f t="shared" si="28"/>
        <v>0</v>
      </c>
      <c r="AC139" s="138"/>
      <c r="AD139" s="42"/>
      <c r="AE139" s="101">
        <f t="shared" si="29"/>
        <v>0</v>
      </c>
    </row>
    <row r="140" spans="5:31" x14ac:dyDescent="0.35">
      <c r="E140" s="64"/>
      <c r="F140" s="110" t="e">
        <f t="shared" si="20"/>
        <v>#DIV/0!</v>
      </c>
      <c r="G140" s="124"/>
      <c r="H140" s="116"/>
      <c r="I140" s="115"/>
      <c r="J140" s="110" t="e">
        <f t="shared" si="21"/>
        <v>#DIV/0!</v>
      </c>
      <c r="K140" s="114" t="e">
        <f t="shared" si="22"/>
        <v>#DIV/0!</v>
      </c>
      <c r="L140" s="116"/>
      <c r="M140" s="115"/>
      <c r="N140" s="110" t="e">
        <f t="shared" si="23"/>
        <v>#DIV/0!</v>
      </c>
      <c r="O140" s="118" t="e">
        <f t="shared" si="24"/>
        <v>#DIV/0!</v>
      </c>
      <c r="P140" s="121"/>
      <c r="Q140" s="92">
        <f t="shared" si="25"/>
        <v>0</v>
      </c>
      <c r="R140" s="47" t="e">
        <f t="shared" si="26"/>
        <v>#DIV/0!</v>
      </c>
      <c r="S140" s="89" t="e">
        <f t="shared" si="27"/>
        <v>#DIV/0!</v>
      </c>
      <c r="T140" s="93"/>
      <c r="U140" s="137"/>
      <c r="V140" s="134"/>
      <c r="W140" s="93"/>
      <c r="X140" s="137"/>
      <c r="Y140" s="134"/>
      <c r="Z140" s="104"/>
      <c r="AA140" s="5"/>
      <c r="AB140" s="101">
        <f t="shared" si="28"/>
        <v>0</v>
      </c>
      <c r="AC140" s="138"/>
      <c r="AD140" s="42"/>
      <c r="AE140" s="101">
        <f t="shared" si="29"/>
        <v>0</v>
      </c>
    </row>
    <row r="141" spans="5:31" x14ac:dyDescent="0.35">
      <c r="E141" s="64"/>
      <c r="F141" s="110" t="e">
        <f t="shared" si="20"/>
        <v>#DIV/0!</v>
      </c>
      <c r="G141" s="124"/>
      <c r="H141" s="116"/>
      <c r="I141" s="115"/>
      <c r="J141" s="110" t="e">
        <f t="shared" si="21"/>
        <v>#DIV/0!</v>
      </c>
      <c r="K141" s="114" t="e">
        <f t="shared" si="22"/>
        <v>#DIV/0!</v>
      </c>
      <c r="L141" s="116"/>
      <c r="M141" s="115"/>
      <c r="N141" s="110" t="e">
        <f t="shared" si="23"/>
        <v>#DIV/0!</v>
      </c>
      <c r="O141" s="118" t="e">
        <f t="shared" si="24"/>
        <v>#DIV/0!</v>
      </c>
      <c r="P141" s="121"/>
      <c r="Q141" s="92">
        <f t="shared" si="25"/>
        <v>0</v>
      </c>
      <c r="R141" s="47" t="e">
        <f t="shared" si="26"/>
        <v>#DIV/0!</v>
      </c>
      <c r="S141" s="89" t="e">
        <f t="shared" si="27"/>
        <v>#DIV/0!</v>
      </c>
      <c r="T141" s="93"/>
      <c r="U141" s="137"/>
      <c r="V141" s="134"/>
      <c r="W141" s="93"/>
      <c r="X141" s="137"/>
      <c r="Y141" s="134"/>
      <c r="Z141" s="104"/>
      <c r="AA141" s="5"/>
      <c r="AB141" s="101">
        <f t="shared" si="28"/>
        <v>0</v>
      </c>
      <c r="AC141" s="138"/>
      <c r="AD141" s="42"/>
      <c r="AE141" s="101">
        <f t="shared" si="29"/>
        <v>0</v>
      </c>
    </row>
    <row r="142" spans="5:31" x14ac:dyDescent="0.35">
      <c r="E142" s="64"/>
      <c r="F142" s="110" t="e">
        <f t="shared" si="20"/>
        <v>#DIV/0!</v>
      </c>
      <c r="G142" s="124"/>
      <c r="H142" s="116"/>
      <c r="I142" s="115"/>
      <c r="J142" s="110" t="e">
        <f t="shared" si="21"/>
        <v>#DIV/0!</v>
      </c>
      <c r="K142" s="114" t="e">
        <f t="shared" si="22"/>
        <v>#DIV/0!</v>
      </c>
      <c r="L142" s="116"/>
      <c r="M142" s="115"/>
      <c r="N142" s="110" t="e">
        <f t="shared" si="23"/>
        <v>#DIV/0!</v>
      </c>
      <c r="O142" s="118" t="e">
        <f t="shared" si="24"/>
        <v>#DIV/0!</v>
      </c>
      <c r="P142" s="121"/>
      <c r="Q142" s="92">
        <f t="shared" si="25"/>
        <v>0</v>
      </c>
      <c r="R142" s="47" t="e">
        <f t="shared" si="26"/>
        <v>#DIV/0!</v>
      </c>
      <c r="S142" s="89" t="e">
        <f t="shared" si="27"/>
        <v>#DIV/0!</v>
      </c>
      <c r="T142" s="93"/>
      <c r="U142" s="137"/>
      <c r="V142" s="134"/>
      <c r="W142" s="93"/>
      <c r="X142" s="137"/>
      <c r="Y142" s="134"/>
      <c r="Z142" s="104"/>
      <c r="AA142" s="5"/>
      <c r="AB142" s="101">
        <f t="shared" si="28"/>
        <v>0</v>
      </c>
      <c r="AC142" s="138"/>
      <c r="AD142" s="42"/>
      <c r="AE142" s="101">
        <f t="shared" si="29"/>
        <v>0</v>
      </c>
    </row>
    <row r="143" spans="5:31" x14ac:dyDescent="0.35">
      <c r="E143" s="64"/>
      <c r="F143" s="110" t="e">
        <f t="shared" si="20"/>
        <v>#DIV/0!</v>
      </c>
      <c r="G143" s="124"/>
      <c r="H143" s="116"/>
      <c r="I143" s="115"/>
      <c r="J143" s="110" t="e">
        <f t="shared" si="21"/>
        <v>#DIV/0!</v>
      </c>
      <c r="K143" s="114" t="e">
        <f t="shared" si="22"/>
        <v>#DIV/0!</v>
      </c>
      <c r="L143" s="116"/>
      <c r="M143" s="115"/>
      <c r="N143" s="110" t="e">
        <f t="shared" si="23"/>
        <v>#DIV/0!</v>
      </c>
      <c r="O143" s="118" t="e">
        <f t="shared" si="24"/>
        <v>#DIV/0!</v>
      </c>
      <c r="P143" s="121"/>
      <c r="Q143" s="92">
        <f t="shared" si="25"/>
        <v>0</v>
      </c>
      <c r="R143" s="47" t="e">
        <f t="shared" si="26"/>
        <v>#DIV/0!</v>
      </c>
      <c r="S143" s="89" t="e">
        <f t="shared" si="27"/>
        <v>#DIV/0!</v>
      </c>
      <c r="T143" s="93"/>
      <c r="U143" s="137"/>
      <c r="V143" s="134"/>
      <c r="W143" s="93"/>
      <c r="X143" s="137"/>
      <c r="Y143" s="134"/>
      <c r="Z143" s="104"/>
      <c r="AA143" s="5"/>
      <c r="AB143" s="101">
        <f t="shared" si="28"/>
        <v>0</v>
      </c>
      <c r="AC143" s="138"/>
      <c r="AD143" s="42"/>
      <c r="AE143" s="101">
        <f t="shared" si="29"/>
        <v>0</v>
      </c>
    </row>
    <row r="144" spans="5:31" x14ac:dyDescent="0.35">
      <c r="E144" s="64"/>
      <c r="F144" s="110" t="e">
        <f t="shared" si="20"/>
        <v>#DIV/0!</v>
      </c>
      <c r="G144" s="124"/>
      <c r="H144" s="116"/>
      <c r="I144" s="115"/>
      <c r="J144" s="110" t="e">
        <f t="shared" si="21"/>
        <v>#DIV/0!</v>
      </c>
      <c r="K144" s="114" t="e">
        <f t="shared" si="22"/>
        <v>#DIV/0!</v>
      </c>
      <c r="L144" s="116"/>
      <c r="M144" s="115"/>
      <c r="N144" s="110" t="e">
        <f t="shared" si="23"/>
        <v>#DIV/0!</v>
      </c>
      <c r="O144" s="118" t="e">
        <f t="shared" si="24"/>
        <v>#DIV/0!</v>
      </c>
      <c r="P144" s="121"/>
      <c r="Q144" s="92">
        <f t="shared" si="25"/>
        <v>0</v>
      </c>
      <c r="R144" s="47" t="e">
        <f t="shared" si="26"/>
        <v>#DIV/0!</v>
      </c>
      <c r="S144" s="89" t="e">
        <f t="shared" si="27"/>
        <v>#DIV/0!</v>
      </c>
      <c r="T144" s="93"/>
      <c r="U144" s="137"/>
      <c r="V144" s="134"/>
      <c r="W144" s="93"/>
      <c r="X144" s="137"/>
      <c r="Y144" s="134"/>
      <c r="Z144" s="104"/>
      <c r="AA144" s="5"/>
      <c r="AB144" s="101">
        <f t="shared" si="28"/>
        <v>0</v>
      </c>
      <c r="AC144" s="138"/>
      <c r="AD144" s="42"/>
      <c r="AE144" s="101">
        <f t="shared" si="29"/>
        <v>0</v>
      </c>
    </row>
    <row r="145" spans="5:31" x14ac:dyDescent="0.35">
      <c r="E145" s="64"/>
      <c r="F145" s="110" t="e">
        <f t="shared" si="20"/>
        <v>#DIV/0!</v>
      </c>
      <c r="G145" s="124"/>
      <c r="H145" s="116"/>
      <c r="I145" s="115"/>
      <c r="J145" s="110" t="e">
        <f t="shared" si="21"/>
        <v>#DIV/0!</v>
      </c>
      <c r="K145" s="114" t="e">
        <f t="shared" si="22"/>
        <v>#DIV/0!</v>
      </c>
      <c r="L145" s="116"/>
      <c r="M145" s="115"/>
      <c r="N145" s="110" t="e">
        <f t="shared" si="23"/>
        <v>#DIV/0!</v>
      </c>
      <c r="O145" s="118" t="e">
        <f t="shared" si="24"/>
        <v>#DIV/0!</v>
      </c>
      <c r="P145" s="121"/>
      <c r="Q145" s="92">
        <f t="shared" si="25"/>
        <v>0</v>
      </c>
      <c r="R145" s="47" t="e">
        <f t="shared" si="26"/>
        <v>#DIV/0!</v>
      </c>
      <c r="S145" s="89" t="e">
        <f t="shared" si="27"/>
        <v>#DIV/0!</v>
      </c>
      <c r="T145" s="93"/>
      <c r="U145" s="137"/>
      <c r="V145" s="134"/>
      <c r="W145" s="93"/>
      <c r="X145" s="137"/>
      <c r="Y145" s="134"/>
      <c r="Z145" s="104"/>
      <c r="AA145" s="5"/>
      <c r="AB145" s="101">
        <f t="shared" si="28"/>
        <v>0</v>
      </c>
      <c r="AC145" s="138"/>
      <c r="AD145" s="42"/>
      <c r="AE145" s="101">
        <f t="shared" si="29"/>
        <v>0</v>
      </c>
    </row>
    <row r="146" spans="5:31" x14ac:dyDescent="0.35">
      <c r="E146" s="64"/>
      <c r="F146" s="110" t="e">
        <f t="shared" si="20"/>
        <v>#DIV/0!</v>
      </c>
      <c r="G146" s="124"/>
      <c r="H146" s="116"/>
      <c r="I146" s="115"/>
      <c r="J146" s="110" t="e">
        <f t="shared" si="21"/>
        <v>#DIV/0!</v>
      </c>
      <c r="K146" s="114" t="e">
        <f t="shared" si="22"/>
        <v>#DIV/0!</v>
      </c>
      <c r="L146" s="116"/>
      <c r="M146" s="115"/>
      <c r="N146" s="110" t="e">
        <f t="shared" si="23"/>
        <v>#DIV/0!</v>
      </c>
      <c r="O146" s="118" t="e">
        <f t="shared" si="24"/>
        <v>#DIV/0!</v>
      </c>
      <c r="P146" s="121"/>
      <c r="Q146" s="92">
        <f t="shared" si="25"/>
        <v>0</v>
      </c>
      <c r="R146" s="47" t="e">
        <f t="shared" si="26"/>
        <v>#DIV/0!</v>
      </c>
      <c r="S146" s="89" t="e">
        <f t="shared" si="27"/>
        <v>#DIV/0!</v>
      </c>
      <c r="T146" s="93"/>
      <c r="U146" s="137"/>
      <c r="V146" s="134"/>
      <c r="W146" s="93"/>
      <c r="X146" s="137"/>
      <c r="Y146" s="134"/>
      <c r="Z146" s="104"/>
      <c r="AA146" s="5"/>
      <c r="AB146" s="101">
        <f t="shared" si="28"/>
        <v>0</v>
      </c>
      <c r="AC146" s="138"/>
      <c r="AD146" s="42"/>
      <c r="AE146" s="101">
        <f t="shared" si="29"/>
        <v>0</v>
      </c>
    </row>
    <row r="147" spans="5:31" x14ac:dyDescent="0.35">
      <c r="E147" s="64"/>
      <c r="F147" s="110" t="e">
        <f t="shared" si="20"/>
        <v>#DIV/0!</v>
      </c>
      <c r="G147" s="124"/>
      <c r="H147" s="116"/>
      <c r="I147" s="115"/>
      <c r="J147" s="110" t="e">
        <f t="shared" si="21"/>
        <v>#DIV/0!</v>
      </c>
      <c r="K147" s="114" t="e">
        <f t="shared" si="22"/>
        <v>#DIV/0!</v>
      </c>
      <c r="L147" s="116"/>
      <c r="M147" s="115"/>
      <c r="N147" s="110" t="e">
        <f t="shared" si="23"/>
        <v>#DIV/0!</v>
      </c>
      <c r="O147" s="118" t="e">
        <f t="shared" si="24"/>
        <v>#DIV/0!</v>
      </c>
      <c r="P147" s="121"/>
      <c r="Q147" s="92">
        <f t="shared" si="25"/>
        <v>0</v>
      </c>
      <c r="R147" s="47" t="e">
        <f t="shared" si="26"/>
        <v>#DIV/0!</v>
      </c>
      <c r="S147" s="89" t="e">
        <f t="shared" si="27"/>
        <v>#DIV/0!</v>
      </c>
      <c r="T147" s="93"/>
      <c r="U147" s="137"/>
      <c r="V147" s="134"/>
      <c r="W147" s="93"/>
      <c r="X147" s="137"/>
      <c r="Y147" s="134"/>
      <c r="Z147" s="104"/>
      <c r="AA147" s="5"/>
      <c r="AB147" s="101">
        <f t="shared" si="28"/>
        <v>0</v>
      </c>
      <c r="AC147" s="138"/>
      <c r="AD147" s="42"/>
      <c r="AE147" s="101">
        <f t="shared" si="29"/>
        <v>0</v>
      </c>
    </row>
    <row r="148" spans="5:31" x14ac:dyDescent="0.35">
      <c r="E148" s="64"/>
      <c r="F148" s="110" t="e">
        <f t="shared" ref="F148:F183" si="30">ROUND(G148/D148,0)</f>
        <v>#DIV/0!</v>
      </c>
      <c r="G148" s="124"/>
      <c r="H148" s="116"/>
      <c r="I148" s="115"/>
      <c r="J148" s="110" t="e">
        <f t="shared" ref="J148:J183" si="31">ROUND(F148*H148*0.7958,0)</f>
        <v>#DIV/0!</v>
      </c>
      <c r="K148" s="114" t="e">
        <f t="shared" ref="K148:K183" si="32">ROUND(I148*H148*F148*0.7958,0)</f>
        <v>#DIV/0!</v>
      </c>
      <c r="L148" s="116"/>
      <c r="M148" s="115"/>
      <c r="N148" s="110" t="e">
        <f t="shared" ref="N148:N183" si="33">ROUND(F148*L148*0.7958,0)</f>
        <v>#DIV/0!</v>
      </c>
      <c r="O148" s="118" t="e">
        <f t="shared" ref="O148:O183" si="34">ROUND(M148*L148*F148*0.7958,0)</f>
        <v>#DIV/0!</v>
      </c>
      <c r="P148" s="121"/>
      <c r="Q148" s="92">
        <f t="shared" ref="Q148:Q183" si="35">D148-I148-M148</f>
        <v>0</v>
      </c>
      <c r="R148" s="47" t="e">
        <f t="shared" ref="R148:R183" si="36">ROUND(F148*P148*0.7958,0)</f>
        <v>#DIV/0!</v>
      </c>
      <c r="S148" s="89" t="e">
        <f t="shared" ref="S148:S183" si="37">ROUND(Q148*P148*F148*0.7958,0)</f>
        <v>#DIV/0!</v>
      </c>
      <c r="T148" s="93"/>
      <c r="U148" s="137"/>
      <c r="V148" s="134"/>
      <c r="W148" s="93"/>
      <c r="X148" s="137"/>
      <c r="Y148" s="134"/>
      <c r="Z148" s="104"/>
      <c r="AA148" s="5"/>
      <c r="AB148" s="101">
        <f t="shared" ref="AB148:AB183" si="38">ROUND(Z148*AA148,0)</f>
        <v>0</v>
      </c>
      <c r="AC148" s="138"/>
      <c r="AD148" s="42"/>
      <c r="AE148" s="101">
        <f t="shared" ref="AE148:AE183" si="39">ROUND(AC148*AD148,0)</f>
        <v>0</v>
      </c>
    </row>
    <row r="149" spans="5:31" x14ac:dyDescent="0.35">
      <c r="E149" s="64"/>
      <c r="F149" s="110" t="e">
        <f t="shared" si="30"/>
        <v>#DIV/0!</v>
      </c>
      <c r="G149" s="124"/>
      <c r="H149" s="116"/>
      <c r="I149" s="115"/>
      <c r="J149" s="110" t="e">
        <f t="shared" si="31"/>
        <v>#DIV/0!</v>
      </c>
      <c r="K149" s="114" t="e">
        <f t="shared" si="32"/>
        <v>#DIV/0!</v>
      </c>
      <c r="L149" s="116"/>
      <c r="M149" s="115"/>
      <c r="N149" s="110" t="e">
        <f t="shared" si="33"/>
        <v>#DIV/0!</v>
      </c>
      <c r="O149" s="118" t="e">
        <f t="shared" si="34"/>
        <v>#DIV/0!</v>
      </c>
      <c r="P149" s="121"/>
      <c r="Q149" s="92">
        <f t="shared" si="35"/>
        <v>0</v>
      </c>
      <c r="R149" s="47" t="e">
        <f t="shared" si="36"/>
        <v>#DIV/0!</v>
      </c>
      <c r="S149" s="89" t="e">
        <f t="shared" si="37"/>
        <v>#DIV/0!</v>
      </c>
      <c r="T149" s="93"/>
      <c r="U149" s="137"/>
      <c r="V149" s="134"/>
      <c r="W149" s="93"/>
      <c r="X149" s="137"/>
      <c r="Y149" s="134"/>
      <c r="Z149" s="104"/>
      <c r="AA149" s="5"/>
      <c r="AB149" s="101">
        <f t="shared" si="38"/>
        <v>0</v>
      </c>
      <c r="AC149" s="138"/>
      <c r="AD149" s="42"/>
      <c r="AE149" s="101">
        <f t="shared" si="39"/>
        <v>0</v>
      </c>
    </row>
    <row r="150" spans="5:31" x14ac:dyDescent="0.35">
      <c r="E150" s="64"/>
      <c r="F150" s="110" t="e">
        <f t="shared" si="30"/>
        <v>#DIV/0!</v>
      </c>
      <c r="G150" s="124"/>
      <c r="H150" s="116"/>
      <c r="I150" s="115"/>
      <c r="J150" s="110" t="e">
        <f t="shared" si="31"/>
        <v>#DIV/0!</v>
      </c>
      <c r="K150" s="114" t="e">
        <f t="shared" si="32"/>
        <v>#DIV/0!</v>
      </c>
      <c r="L150" s="116"/>
      <c r="M150" s="115"/>
      <c r="N150" s="110" t="e">
        <f t="shared" si="33"/>
        <v>#DIV/0!</v>
      </c>
      <c r="O150" s="118" t="e">
        <f t="shared" si="34"/>
        <v>#DIV/0!</v>
      </c>
      <c r="P150" s="121"/>
      <c r="Q150" s="92">
        <f t="shared" si="35"/>
        <v>0</v>
      </c>
      <c r="R150" s="47" t="e">
        <f t="shared" si="36"/>
        <v>#DIV/0!</v>
      </c>
      <c r="S150" s="89" t="e">
        <f t="shared" si="37"/>
        <v>#DIV/0!</v>
      </c>
      <c r="T150" s="93"/>
      <c r="U150" s="137"/>
      <c r="V150" s="134"/>
      <c r="W150" s="93"/>
      <c r="X150" s="137"/>
      <c r="Y150" s="134"/>
      <c r="Z150" s="104"/>
      <c r="AA150" s="5"/>
      <c r="AB150" s="101">
        <f t="shared" si="38"/>
        <v>0</v>
      </c>
      <c r="AC150" s="138"/>
      <c r="AD150" s="42"/>
      <c r="AE150" s="101">
        <f t="shared" si="39"/>
        <v>0</v>
      </c>
    </row>
    <row r="151" spans="5:31" x14ac:dyDescent="0.35">
      <c r="E151" s="64"/>
      <c r="F151" s="110" t="e">
        <f t="shared" si="30"/>
        <v>#DIV/0!</v>
      </c>
      <c r="G151" s="124"/>
      <c r="H151" s="116"/>
      <c r="I151" s="115"/>
      <c r="J151" s="110" t="e">
        <f t="shared" si="31"/>
        <v>#DIV/0!</v>
      </c>
      <c r="K151" s="114" t="e">
        <f t="shared" si="32"/>
        <v>#DIV/0!</v>
      </c>
      <c r="L151" s="116"/>
      <c r="M151" s="115"/>
      <c r="N151" s="110" t="e">
        <f t="shared" si="33"/>
        <v>#DIV/0!</v>
      </c>
      <c r="O151" s="118" t="e">
        <f t="shared" si="34"/>
        <v>#DIV/0!</v>
      </c>
      <c r="P151" s="121"/>
      <c r="Q151" s="92">
        <f t="shared" si="35"/>
        <v>0</v>
      </c>
      <c r="R151" s="47" t="e">
        <f t="shared" si="36"/>
        <v>#DIV/0!</v>
      </c>
      <c r="S151" s="89" t="e">
        <f t="shared" si="37"/>
        <v>#DIV/0!</v>
      </c>
      <c r="T151" s="93"/>
      <c r="U151" s="137"/>
      <c r="V151" s="134"/>
      <c r="W151" s="93"/>
      <c r="X151" s="137"/>
      <c r="Y151" s="134"/>
      <c r="Z151" s="104"/>
      <c r="AA151" s="5"/>
      <c r="AB151" s="101">
        <f t="shared" si="38"/>
        <v>0</v>
      </c>
      <c r="AC151" s="138"/>
      <c r="AD151" s="42"/>
      <c r="AE151" s="101">
        <f t="shared" si="39"/>
        <v>0</v>
      </c>
    </row>
    <row r="152" spans="5:31" x14ac:dyDescent="0.35">
      <c r="E152" s="64"/>
      <c r="F152" s="110" t="e">
        <f t="shared" si="30"/>
        <v>#DIV/0!</v>
      </c>
      <c r="G152" s="124"/>
      <c r="H152" s="116"/>
      <c r="I152" s="115"/>
      <c r="J152" s="110" t="e">
        <f t="shared" si="31"/>
        <v>#DIV/0!</v>
      </c>
      <c r="K152" s="114" t="e">
        <f t="shared" si="32"/>
        <v>#DIV/0!</v>
      </c>
      <c r="L152" s="116"/>
      <c r="M152" s="115"/>
      <c r="N152" s="110" t="e">
        <f t="shared" si="33"/>
        <v>#DIV/0!</v>
      </c>
      <c r="O152" s="118" t="e">
        <f t="shared" si="34"/>
        <v>#DIV/0!</v>
      </c>
      <c r="P152" s="121"/>
      <c r="Q152" s="92">
        <f t="shared" si="35"/>
        <v>0</v>
      </c>
      <c r="R152" s="47" t="e">
        <f t="shared" si="36"/>
        <v>#DIV/0!</v>
      </c>
      <c r="S152" s="89" t="e">
        <f t="shared" si="37"/>
        <v>#DIV/0!</v>
      </c>
      <c r="T152" s="93"/>
      <c r="U152" s="137"/>
      <c r="V152" s="134"/>
      <c r="W152" s="93"/>
      <c r="X152" s="137"/>
      <c r="Y152" s="134"/>
      <c r="Z152" s="104"/>
      <c r="AA152" s="5"/>
      <c r="AB152" s="101">
        <f t="shared" si="38"/>
        <v>0</v>
      </c>
      <c r="AC152" s="138"/>
      <c r="AD152" s="42"/>
      <c r="AE152" s="101">
        <f t="shared" si="39"/>
        <v>0</v>
      </c>
    </row>
    <row r="153" spans="5:31" x14ac:dyDescent="0.35">
      <c r="E153" s="64"/>
      <c r="F153" s="110" t="e">
        <f t="shared" si="30"/>
        <v>#DIV/0!</v>
      </c>
      <c r="G153" s="124"/>
      <c r="H153" s="116"/>
      <c r="I153" s="115"/>
      <c r="J153" s="110" t="e">
        <f t="shared" si="31"/>
        <v>#DIV/0!</v>
      </c>
      <c r="K153" s="114" t="e">
        <f t="shared" si="32"/>
        <v>#DIV/0!</v>
      </c>
      <c r="L153" s="116"/>
      <c r="M153" s="115"/>
      <c r="N153" s="110" t="e">
        <f t="shared" si="33"/>
        <v>#DIV/0!</v>
      </c>
      <c r="O153" s="118" t="e">
        <f t="shared" si="34"/>
        <v>#DIV/0!</v>
      </c>
      <c r="P153" s="121"/>
      <c r="Q153" s="92">
        <f t="shared" si="35"/>
        <v>0</v>
      </c>
      <c r="R153" s="47" t="e">
        <f t="shared" si="36"/>
        <v>#DIV/0!</v>
      </c>
      <c r="S153" s="89" t="e">
        <f t="shared" si="37"/>
        <v>#DIV/0!</v>
      </c>
      <c r="T153" s="93"/>
      <c r="U153" s="137"/>
      <c r="V153" s="134"/>
      <c r="W153" s="93"/>
      <c r="X153" s="137"/>
      <c r="Y153" s="134"/>
      <c r="Z153" s="104"/>
      <c r="AA153" s="5"/>
      <c r="AB153" s="101">
        <f t="shared" si="38"/>
        <v>0</v>
      </c>
      <c r="AC153" s="138"/>
      <c r="AD153" s="42"/>
      <c r="AE153" s="101">
        <f t="shared" si="39"/>
        <v>0</v>
      </c>
    </row>
    <row r="154" spans="5:31" x14ac:dyDescent="0.35">
      <c r="E154" s="64"/>
      <c r="F154" s="110" t="e">
        <f t="shared" si="30"/>
        <v>#DIV/0!</v>
      </c>
      <c r="G154" s="124"/>
      <c r="H154" s="116"/>
      <c r="I154" s="115"/>
      <c r="J154" s="110" t="e">
        <f t="shared" si="31"/>
        <v>#DIV/0!</v>
      </c>
      <c r="K154" s="114" t="e">
        <f t="shared" si="32"/>
        <v>#DIV/0!</v>
      </c>
      <c r="L154" s="116"/>
      <c r="M154" s="115"/>
      <c r="N154" s="110" t="e">
        <f t="shared" si="33"/>
        <v>#DIV/0!</v>
      </c>
      <c r="O154" s="118" t="e">
        <f t="shared" si="34"/>
        <v>#DIV/0!</v>
      </c>
      <c r="P154" s="121"/>
      <c r="Q154" s="92">
        <f t="shared" si="35"/>
        <v>0</v>
      </c>
      <c r="R154" s="47" t="e">
        <f t="shared" si="36"/>
        <v>#DIV/0!</v>
      </c>
      <c r="S154" s="89" t="e">
        <f t="shared" si="37"/>
        <v>#DIV/0!</v>
      </c>
      <c r="T154" s="93"/>
      <c r="U154" s="137"/>
      <c r="V154" s="134"/>
      <c r="W154" s="93"/>
      <c r="X154" s="137"/>
      <c r="Y154" s="134"/>
      <c r="Z154" s="104"/>
      <c r="AA154" s="5"/>
      <c r="AB154" s="101">
        <f t="shared" si="38"/>
        <v>0</v>
      </c>
      <c r="AC154" s="138"/>
      <c r="AD154" s="42"/>
      <c r="AE154" s="101">
        <f t="shared" si="39"/>
        <v>0</v>
      </c>
    </row>
    <row r="155" spans="5:31" x14ac:dyDescent="0.35">
      <c r="E155" s="64"/>
      <c r="F155" s="110" t="e">
        <f t="shared" si="30"/>
        <v>#DIV/0!</v>
      </c>
      <c r="G155" s="124"/>
      <c r="H155" s="116"/>
      <c r="I155" s="115"/>
      <c r="J155" s="110" t="e">
        <f t="shared" si="31"/>
        <v>#DIV/0!</v>
      </c>
      <c r="K155" s="114" t="e">
        <f t="shared" si="32"/>
        <v>#DIV/0!</v>
      </c>
      <c r="L155" s="116"/>
      <c r="M155" s="115"/>
      <c r="N155" s="110" t="e">
        <f t="shared" si="33"/>
        <v>#DIV/0!</v>
      </c>
      <c r="O155" s="118" t="e">
        <f t="shared" si="34"/>
        <v>#DIV/0!</v>
      </c>
      <c r="P155" s="121"/>
      <c r="Q155" s="92">
        <f t="shared" si="35"/>
        <v>0</v>
      </c>
      <c r="R155" s="47" t="e">
        <f t="shared" si="36"/>
        <v>#DIV/0!</v>
      </c>
      <c r="S155" s="89" t="e">
        <f t="shared" si="37"/>
        <v>#DIV/0!</v>
      </c>
      <c r="T155" s="93"/>
      <c r="U155" s="137"/>
      <c r="V155" s="134"/>
      <c r="W155" s="93"/>
      <c r="X155" s="137"/>
      <c r="Y155" s="134"/>
      <c r="Z155" s="104"/>
      <c r="AA155" s="5"/>
      <c r="AB155" s="101">
        <f t="shared" si="38"/>
        <v>0</v>
      </c>
      <c r="AC155" s="138"/>
      <c r="AD155" s="42"/>
      <c r="AE155" s="101">
        <f t="shared" si="39"/>
        <v>0</v>
      </c>
    </row>
    <row r="156" spans="5:31" x14ac:dyDescent="0.35">
      <c r="E156" s="64"/>
      <c r="F156" s="110" t="e">
        <f t="shared" si="30"/>
        <v>#DIV/0!</v>
      </c>
      <c r="G156" s="124"/>
      <c r="H156" s="116"/>
      <c r="I156" s="115"/>
      <c r="J156" s="110" t="e">
        <f t="shared" si="31"/>
        <v>#DIV/0!</v>
      </c>
      <c r="K156" s="114" t="e">
        <f t="shared" si="32"/>
        <v>#DIV/0!</v>
      </c>
      <c r="L156" s="116"/>
      <c r="M156" s="115"/>
      <c r="N156" s="110" t="e">
        <f t="shared" si="33"/>
        <v>#DIV/0!</v>
      </c>
      <c r="O156" s="118" t="e">
        <f t="shared" si="34"/>
        <v>#DIV/0!</v>
      </c>
      <c r="P156" s="121"/>
      <c r="Q156" s="92">
        <f t="shared" si="35"/>
        <v>0</v>
      </c>
      <c r="R156" s="47" t="e">
        <f t="shared" si="36"/>
        <v>#DIV/0!</v>
      </c>
      <c r="S156" s="89" t="e">
        <f t="shared" si="37"/>
        <v>#DIV/0!</v>
      </c>
      <c r="T156" s="93"/>
      <c r="U156" s="137"/>
      <c r="V156" s="134"/>
      <c r="W156" s="93"/>
      <c r="X156" s="137"/>
      <c r="Y156" s="134"/>
      <c r="Z156" s="104"/>
      <c r="AA156" s="5"/>
      <c r="AB156" s="101">
        <f t="shared" si="38"/>
        <v>0</v>
      </c>
      <c r="AC156" s="138"/>
      <c r="AD156" s="42"/>
      <c r="AE156" s="101">
        <f t="shared" si="39"/>
        <v>0</v>
      </c>
    </row>
    <row r="157" spans="5:31" x14ac:dyDescent="0.35">
      <c r="E157" s="64"/>
      <c r="F157" s="110" t="e">
        <f t="shared" si="30"/>
        <v>#DIV/0!</v>
      </c>
      <c r="G157" s="124"/>
      <c r="H157" s="116"/>
      <c r="I157" s="115"/>
      <c r="J157" s="110" t="e">
        <f t="shared" si="31"/>
        <v>#DIV/0!</v>
      </c>
      <c r="K157" s="114" t="e">
        <f t="shared" si="32"/>
        <v>#DIV/0!</v>
      </c>
      <c r="L157" s="116"/>
      <c r="M157" s="115"/>
      <c r="N157" s="110" t="e">
        <f t="shared" si="33"/>
        <v>#DIV/0!</v>
      </c>
      <c r="O157" s="118" t="e">
        <f t="shared" si="34"/>
        <v>#DIV/0!</v>
      </c>
      <c r="P157" s="121"/>
      <c r="Q157" s="92">
        <f t="shared" si="35"/>
        <v>0</v>
      </c>
      <c r="R157" s="47" t="e">
        <f t="shared" si="36"/>
        <v>#DIV/0!</v>
      </c>
      <c r="S157" s="89" t="e">
        <f t="shared" si="37"/>
        <v>#DIV/0!</v>
      </c>
      <c r="T157" s="93"/>
      <c r="U157" s="137"/>
      <c r="V157" s="134"/>
      <c r="W157" s="93"/>
      <c r="X157" s="137"/>
      <c r="Y157" s="134"/>
      <c r="Z157" s="104"/>
      <c r="AA157" s="5"/>
      <c r="AB157" s="101">
        <f t="shared" si="38"/>
        <v>0</v>
      </c>
      <c r="AC157" s="138"/>
      <c r="AD157" s="42"/>
      <c r="AE157" s="101">
        <f t="shared" si="39"/>
        <v>0</v>
      </c>
    </row>
    <row r="158" spans="5:31" x14ac:dyDescent="0.35">
      <c r="E158" s="64"/>
      <c r="F158" s="110" t="e">
        <f t="shared" si="30"/>
        <v>#DIV/0!</v>
      </c>
      <c r="G158" s="124"/>
      <c r="H158" s="116"/>
      <c r="I158" s="115"/>
      <c r="J158" s="110" t="e">
        <f t="shared" si="31"/>
        <v>#DIV/0!</v>
      </c>
      <c r="K158" s="114" t="e">
        <f t="shared" si="32"/>
        <v>#DIV/0!</v>
      </c>
      <c r="L158" s="116"/>
      <c r="M158" s="115"/>
      <c r="N158" s="110" t="e">
        <f t="shared" si="33"/>
        <v>#DIV/0!</v>
      </c>
      <c r="O158" s="118" t="e">
        <f t="shared" si="34"/>
        <v>#DIV/0!</v>
      </c>
      <c r="P158" s="121"/>
      <c r="Q158" s="92">
        <f t="shared" si="35"/>
        <v>0</v>
      </c>
      <c r="R158" s="47" t="e">
        <f t="shared" si="36"/>
        <v>#DIV/0!</v>
      </c>
      <c r="S158" s="89" t="e">
        <f t="shared" si="37"/>
        <v>#DIV/0!</v>
      </c>
      <c r="T158" s="93"/>
      <c r="U158" s="137"/>
      <c r="V158" s="134"/>
      <c r="W158" s="93"/>
      <c r="X158" s="137"/>
      <c r="Y158" s="134"/>
      <c r="Z158" s="104"/>
      <c r="AA158" s="5"/>
      <c r="AB158" s="101">
        <f t="shared" si="38"/>
        <v>0</v>
      </c>
      <c r="AC158" s="138"/>
      <c r="AD158" s="42"/>
      <c r="AE158" s="101">
        <f t="shared" si="39"/>
        <v>0</v>
      </c>
    </row>
    <row r="159" spans="5:31" x14ac:dyDescent="0.35">
      <c r="E159" s="64"/>
      <c r="F159" s="110" t="e">
        <f t="shared" si="30"/>
        <v>#DIV/0!</v>
      </c>
      <c r="G159" s="124"/>
      <c r="H159" s="116"/>
      <c r="I159" s="115"/>
      <c r="J159" s="110" t="e">
        <f t="shared" si="31"/>
        <v>#DIV/0!</v>
      </c>
      <c r="K159" s="114" t="e">
        <f t="shared" si="32"/>
        <v>#DIV/0!</v>
      </c>
      <c r="L159" s="116"/>
      <c r="M159" s="115"/>
      <c r="N159" s="110" t="e">
        <f t="shared" si="33"/>
        <v>#DIV/0!</v>
      </c>
      <c r="O159" s="118" t="e">
        <f t="shared" si="34"/>
        <v>#DIV/0!</v>
      </c>
      <c r="P159" s="121"/>
      <c r="Q159" s="92">
        <f t="shared" si="35"/>
        <v>0</v>
      </c>
      <c r="R159" s="47" t="e">
        <f t="shared" si="36"/>
        <v>#DIV/0!</v>
      </c>
      <c r="S159" s="89" t="e">
        <f t="shared" si="37"/>
        <v>#DIV/0!</v>
      </c>
      <c r="T159" s="93"/>
      <c r="U159" s="137"/>
      <c r="V159" s="134"/>
      <c r="W159" s="93"/>
      <c r="X159" s="137"/>
      <c r="Y159" s="134"/>
      <c r="Z159" s="104"/>
      <c r="AA159" s="5"/>
      <c r="AB159" s="101">
        <f t="shared" si="38"/>
        <v>0</v>
      </c>
      <c r="AC159" s="138"/>
      <c r="AD159" s="42"/>
      <c r="AE159" s="101">
        <f t="shared" si="39"/>
        <v>0</v>
      </c>
    </row>
    <row r="160" spans="5:31" x14ac:dyDescent="0.35">
      <c r="E160" s="64"/>
      <c r="F160" s="110" t="e">
        <f t="shared" si="30"/>
        <v>#DIV/0!</v>
      </c>
      <c r="G160" s="124"/>
      <c r="H160" s="116"/>
      <c r="I160" s="115"/>
      <c r="J160" s="110" t="e">
        <f t="shared" si="31"/>
        <v>#DIV/0!</v>
      </c>
      <c r="K160" s="114" t="e">
        <f t="shared" si="32"/>
        <v>#DIV/0!</v>
      </c>
      <c r="L160" s="116"/>
      <c r="M160" s="115"/>
      <c r="N160" s="110" t="e">
        <f t="shared" si="33"/>
        <v>#DIV/0!</v>
      </c>
      <c r="O160" s="118" t="e">
        <f t="shared" si="34"/>
        <v>#DIV/0!</v>
      </c>
      <c r="P160" s="121"/>
      <c r="Q160" s="92">
        <f t="shared" si="35"/>
        <v>0</v>
      </c>
      <c r="R160" s="47" t="e">
        <f t="shared" si="36"/>
        <v>#DIV/0!</v>
      </c>
      <c r="S160" s="89" t="e">
        <f t="shared" si="37"/>
        <v>#DIV/0!</v>
      </c>
      <c r="T160" s="93"/>
      <c r="U160" s="137"/>
      <c r="V160" s="134"/>
      <c r="W160" s="93"/>
      <c r="X160" s="137"/>
      <c r="Y160" s="134"/>
      <c r="Z160" s="104"/>
      <c r="AA160" s="5"/>
      <c r="AB160" s="101">
        <f t="shared" si="38"/>
        <v>0</v>
      </c>
      <c r="AC160" s="138"/>
      <c r="AD160" s="42"/>
      <c r="AE160" s="101">
        <f t="shared" si="39"/>
        <v>0</v>
      </c>
    </row>
    <row r="161" spans="5:31" x14ac:dyDescent="0.35">
      <c r="E161" s="64"/>
      <c r="F161" s="110" t="e">
        <f t="shared" si="30"/>
        <v>#DIV/0!</v>
      </c>
      <c r="G161" s="124"/>
      <c r="H161" s="116"/>
      <c r="I161" s="115"/>
      <c r="J161" s="110" t="e">
        <f t="shared" si="31"/>
        <v>#DIV/0!</v>
      </c>
      <c r="K161" s="114" t="e">
        <f t="shared" si="32"/>
        <v>#DIV/0!</v>
      </c>
      <c r="L161" s="116"/>
      <c r="M161" s="115"/>
      <c r="N161" s="110" t="e">
        <f t="shared" si="33"/>
        <v>#DIV/0!</v>
      </c>
      <c r="O161" s="118" t="e">
        <f t="shared" si="34"/>
        <v>#DIV/0!</v>
      </c>
      <c r="P161" s="121"/>
      <c r="Q161" s="92">
        <f t="shared" si="35"/>
        <v>0</v>
      </c>
      <c r="R161" s="47" t="e">
        <f t="shared" si="36"/>
        <v>#DIV/0!</v>
      </c>
      <c r="S161" s="89" t="e">
        <f t="shared" si="37"/>
        <v>#DIV/0!</v>
      </c>
      <c r="T161" s="93"/>
      <c r="U161" s="137"/>
      <c r="V161" s="134"/>
      <c r="W161" s="93"/>
      <c r="X161" s="137"/>
      <c r="Y161" s="134"/>
      <c r="Z161" s="104"/>
      <c r="AA161" s="5"/>
      <c r="AB161" s="101">
        <f t="shared" si="38"/>
        <v>0</v>
      </c>
      <c r="AC161" s="138"/>
      <c r="AD161" s="42"/>
      <c r="AE161" s="101">
        <f t="shared" si="39"/>
        <v>0</v>
      </c>
    </row>
    <row r="162" spans="5:31" x14ac:dyDescent="0.35">
      <c r="E162" s="64"/>
      <c r="F162" s="110" t="e">
        <f t="shared" si="30"/>
        <v>#DIV/0!</v>
      </c>
      <c r="G162" s="124"/>
      <c r="H162" s="116"/>
      <c r="I162" s="115"/>
      <c r="J162" s="110" t="e">
        <f t="shared" si="31"/>
        <v>#DIV/0!</v>
      </c>
      <c r="K162" s="114" t="e">
        <f t="shared" si="32"/>
        <v>#DIV/0!</v>
      </c>
      <c r="L162" s="116"/>
      <c r="M162" s="115"/>
      <c r="N162" s="110" t="e">
        <f t="shared" si="33"/>
        <v>#DIV/0!</v>
      </c>
      <c r="O162" s="118" t="e">
        <f t="shared" si="34"/>
        <v>#DIV/0!</v>
      </c>
      <c r="P162" s="121"/>
      <c r="Q162" s="92">
        <f t="shared" si="35"/>
        <v>0</v>
      </c>
      <c r="R162" s="47" t="e">
        <f t="shared" si="36"/>
        <v>#DIV/0!</v>
      </c>
      <c r="S162" s="89" t="e">
        <f t="shared" si="37"/>
        <v>#DIV/0!</v>
      </c>
      <c r="T162" s="93"/>
      <c r="U162" s="137"/>
      <c r="V162" s="134"/>
      <c r="W162" s="93"/>
      <c r="X162" s="137"/>
      <c r="Y162" s="134"/>
      <c r="Z162" s="104"/>
      <c r="AA162" s="5"/>
      <c r="AB162" s="101">
        <f t="shared" si="38"/>
        <v>0</v>
      </c>
      <c r="AC162" s="138"/>
      <c r="AD162" s="42"/>
      <c r="AE162" s="101">
        <f t="shared" si="39"/>
        <v>0</v>
      </c>
    </row>
    <row r="163" spans="5:31" x14ac:dyDescent="0.35">
      <c r="E163" s="64"/>
      <c r="F163" s="110" t="e">
        <f t="shared" si="30"/>
        <v>#DIV/0!</v>
      </c>
      <c r="G163" s="124"/>
      <c r="H163" s="116"/>
      <c r="I163" s="115"/>
      <c r="J163" s="110" t="e">
        <f t="shared" si="31"/>
        <v>#DIV/0!</v>
      </c>
      <c r="K163" s="114" t="e">
        <f t="shared" si="32"/>
        <v>#DIV/0!</v>
      </c>
      <c r="L163" s="116"/>
      <c r="M163" s="115"/>
      <c r="N163" s="110" t="e">
        <f t="shared" si="33"/>
        <v>#DIV/0!</v>
      </c>
      <c r="O163" s="118" t="e">
        <f t="shared" si="34"/>
        <v>#DIV/0!</v>
      </c>
      <c r="P163" s="121"/>
      <c r="Q163" s="92">
        <f t="shared" si="35"/>
        <v>0</v>
      </c>
      <c r="R163" s="47" t="e">
        <f t="shared" si="36"/>
        <v>#DIV/0!</v>
      </c>
      <c r="S163" s="89" t="e">
        <f t="shared" si="37"/>
        <v>#DIV/0!</v>
      </c>
      <c r="T163" s="93"/>
      <c r="U163" s="137"/>
      <c r="V163" s="134"/>
      <c r="W163" s="93"/>
      <c r="X163" s="137"/>
      <c r="Y163" s="134"/>
      <c r="Z163" s="104"/>
      <c r="AA163" s="5"/>
      <c r="AB163" s="101">
        <f t="shared" si="38"/>
        <v>0</v>
      </c>
      <c r="AC163" s="138"/>
      <c r="AD163" s="42"/>
      <c r="AE163" s="101">
        <f t="shared" si="39"/>
        <v>0</v>
      </c>
    </row>
    <row r="164" spans="5:31" x14ac:dyDescent="0.35">
      <c r="E164" s="64"/>
      <c r="F164" s="110" t="e">
        <f t="shared" si="30"/>
        <v>#DIV/0!</v>
      </c>
      <c r="G164" s="124"/>
      <c r="H164" s="116"/>
      <c r="I164" s="115"/>
      <c r="J164" s="110" t="e">
        <f t="shared" si="31"/>
        <v>#DIV/0!</v>
      </c>
      <c r="K164" s="114" t="e">
        <f t="shared" si="32"/>
        <v>#DIV/0!</v>
      </c>
      <c r="L164" s="116"/>
      <c r="M164" s="115"/>
      <c r="N164" s="110" t="e">
        <f t="shared" si="33"/>
        <v>#DIV/0!</v>
      </c>
      <c r="O164" s="118" t="e">
        <f t="shared" si="34"/>
        <v>#DIV/0!</v>
      </c>
      <c r="P164" s="121"/>
      <c r="Q164" s="92">
        <f t="shared" si="35"/>
        <v>0</v>
      </c>
      <c r="R164" s="47" t="e">
        <f t="shared" si="36"/>
        <v>#DIV/0!</v>
      </c>
      <c r="S164" s="89" t="e">
        <f t="shared" si="37"/>
        <v>#DIV/0!</v>
      </c>
      <c r="T164" s="93"/>
      <c r="U164" s="137"/>
      <c r="V164" s="134"/>
      <c r="W164" s="93"/>
      <c r="X164" s="137"/>
      <c r="Y164" s="134"/>
      <c r="Z164" s="104"/>
      <c r="AA164" s="5"/>
      <c r="AB164" s="101">
        <f t="shared" si="38"/>
        <v>0</v>
      </c>
      <c r="AC164" s="138"/>
      <c r="AD164" s="42"/>
      <c r="AE164" s="101">
        <f t="shared" si="39"/>
        <v>0</v>
      </c>
    </row>
    <row r="165" spans="5:31" x14ac:dyDescent="0.35">
      <c r="E165" s="64"/>
      <c r="F165" s="110" t="e">
        <f t="shared" si="30"/>
        <v>#DIV/0!</v>
      </c>
      <c r="G165" s="124"/>
      <c r="H165" s="116"/>
      <c r="I165" s="115"/>
      <c r="J165" s="110" t="e">
        <f t="shared" si="31"/>
        <v>#DIV/0!</v>
      </c>
      <c r="K165" s="114" t="e">
        <f t="shared" si="32"/>
        <v>#DIV/0!</v>
      </c>
      <c r="L165" s="116"/>
      <c r="M165" s="115"/>
      <c r="N165" s="110" t="e">
        <f t="shared" si="33"/>
        <v>#DIV/0!</v>
      </c>
      <c r="O165" s="118" t="e">
        <f t="shared" si="34"/>
        <v>#DIV/0!</v>
      </c>
      <c r="P165" s="121"/>
      <c r="Q165" s="92">
        <f t="shared" si="35"/>
        <v>0</v>
      </c>
      <c r="R165" s="47" t="e">
        <f t="shared" si="36"/>
        <v>#DIV/0!</v>
      </c>
      <c r="S165" s="89" t="e">
        <f t="shared" si="37"/>
        <v>#DIV/0!</v>
      </c>
      <c r="T165" s="93"/>
      <c r="U165" s="137"/>
      <c r="V165" s="134"/>
      <c r="W165" s="93"/>
      <c r="X165" s="137"/>
      <c r="Y165" s="134"/>
      <c r="Z165" s="104"/>
      <c r="AA165" s="5"/>
      <c r="AB165" s="101">
        <f t="shared" si="38"/>
        <v>0</v>
      </c>
      <c r="AC165" s="138"/>
      <c r="AD165" s="42"/>
      <c r="AE165" s="101">
        <f t="shared" si="39"/>
        <v>0</v>
      </c>
    </row>
    <row r="166" spans="5:31" x14ac:dyDescent="0.35">
      <c r="E166" s="64"/>
      <c r="F166" s="110" t="e">
        <f t="shared" si="30"/>
        <v>#DIV/0!</v>
      </c>
      <c r="G166" s="124"/>
      <c r="H166" s="116"/>
      <c r="I166" s="115"/>
      <c r="J166" s="110" t="e">
        <f t="shared" si="31"/>
        <v>#DIV/0!</v>
      </c>
      <c r="K166" s="114" t="e">
        <f t="shared" si="32"/>
        <v>#DIV/0!</v>
      </c>
      <c r="L166" s="116"/>
      <c r="M166" s="115"/>
      <c r="N166" s="110" t="e">
        <f t="shared" si="33"/>
        <v>#DIV/0!</v>
      </c>
      <c r="O166" s="118" t="e">
        <f t="shared" si="34"/>
        <v>#DIV/0!</v>
      </c>
      <c r="P166" s="121"/>
      <c r="Q166" s="92">
        <f t="shared" si="35"/>
        <v>0</v>
      </c>
      <c r="R166" s="47" t="e">
        <f t="shared" si="36"/>
        <v>#DIV/0!</v>
      </c>
      <c r="S166" s="89" t="e">
        <f t="shared" si="37"/>
        <v>#DIV/0!</v>
      </c>
      <c r="T166" s="93"/>
      <c r="U166" s="137"/>
      <c r="V166" s="134"/>
      <c r="W166" s="93"/>
      <c r="X166" s="137"/>
      <c r="Y166" s="134"/>
      <c r="Z166" s="104"/>
      <c r="AA166" s="5"/>
      <c r="AB166" s="101">
        <f t="shared" si="38"/>
        <v>0</v>
      </c>
      <c r="AC166" s="138"/>
      <c r="AD166" s="42"/>
      <c r="AE166" s="101">
        <f t="shared" si="39"/>
        <v>0</v>
      </c>
    </row>
    <row r="167" spans="5:31" x14ac:dyDescent="0.35">
      <c r="E167" s="64"/>
      <c r="F167" s="110" t="e">
        <f t="shared" si="30"/>
        <v>#DIV/0!</v>
      </c>
      <c r="G167" s="124"/>
      <c r="H167" s="116"/>
      <c r="I167" s="115"/>
      <c r="J167" s="110" t="e">
        <f t="shared" si="31"/>
        <v>#DIV/0!</v>
      </c>
      <c r="K167" s="114" t="e">
        <f t="shared" si="32"/>
        <v>#DIV/0!</v>
      </c>
      <c r="L167" s="116"/>
      <c r="M167" s="115"/>
      <c r="N167" s="110" t="e">
        <f t="shared" si="33"/>
        <v>#DIV/0!</v>
      </c>
      <c r="O167" s="118" t="e">
        <f t="shared" si="34"/>
        <v>#DIV/0!</v>
      </c>
      <c r="P167" s="121"/>
      <c r="Q167" s="92">
        <f t="shared" si="35"/>
        <v>0</v>
      </c>
      <c r="R167" s="47" t="e">
        <f t="shared" si="36"/>
        <v>#DIV/0!</v>
      </c>
      <c r="S167" s="89" t="e">
        <f t="shared" si="37"/>
        <v>#DIV/0!</v>
      </c>
      <c r="T167" s="93"/>
      <c r="U167" s="137"/>
      <c r="V167" s="134"/>
      <c r="W167" s="93"/>
      <c r="X167" s="137"/>
      <c r="Y167" s="134"/>
      <c r="Z167" s="104"/>
      <c r="AA167" s="5"/>
      <c r="AB167" s="101">
        <f t="shared" si="38"/>
        <v>0</v>
      </c>
      <c r="AC167" s="138"/>
      <c r="AD167" s="42"/>
      <c r="AE167" s="101">
        <f t="shared" si="39"/>
        <v>0</v>
      </c>
    </row>
    <row r="168" spans="5:31" x14ac:dyDescent="0.35">
      <c r="E168" s="64"/>
      <c r="F168" s="110" t="e">
        <f t="shared" si="30"/>
        <v>#DIV/0!</v>
      </c>
      <c r="G168" s="124"/>
      <c r="H168" s="116"/>
      <c r="I168" s="115"/>
      <c r="J168" s="110" t="e">
        <f t="shared" si="31"/>
        <v>#DIV/0!</v>
      </c>
      <c r="K168" s="114" t="e">
        <f t="shared" si="32"/>
        <v>#DIV/0!</v>
      </c>
      <c r="L168" s="116"/>
      <c r="M168" s="115"/>
      <c r="N168" s="110" t="e">
        <f t="shared" si="33"/>
        <v>#DIV/0!</v>
      </c>
      <c r="O168" s="118" t="e">
        <f t="shared" si="34"/>
        <v>#DIV/0!</v>
      </c>
      <c r="P168" s="121"/>
      <c r="Q168" s="92">
        <f t="shared" si="35"/>
        <v>0</v>
      </c>
      <c r="R168" s="47" t="e">
        <f t="shared" si="36"/>
        <v>#DIV/0!</v>
      </c>
      <c r="S168" s="89" t="e">
        <f t="shared" si="37"/>
        <v>#DIV/0!</v>
      </c>
      <c r="T168" s="93"/>
      <c r="U168" s="137"/>
      <c r="V168" s="134"/>
      <c r="W168" s="93"/>
      <c r="X168" s="137"/>
      <c r="Y168" s="134"/>
      <c r="Z168" s="104"/>
      <c r="AA168" s="5"/>
      <c r="AB168" s="101">
        <f t="shared" si="38"/>
        <v>0</v>
      </c>
      <c r="AC168" s="138"/>
      <c r="AD168" s="42"/>
      <c r="AE168" s="101">
        <f t="shared" si="39"/>
        <v>0</v>
      </c>
    </row>
    <row r="169" spans="5:31" x14ac:dyDescent="0.35">
      <c r="E169" s="64"/>
      <c r="F169" s="110" t="e">
        <f t="shared" si="30"/>
        <v>#DIV/0!</v>
      </c>
      <c r="G169" s="124"/>
      <c r="H169" s="116"/>
      <c r="I169" s="115"/>
      <c r="J169" s="110" t="e">
        <f t="shared" si="31"/>
        <v>#DIV/0!</v>
      </c>
      <c r="K169" s="114" t="e">
        <f t="shared" si="32"/>
        <v>#DIV/0!</v>
      </c>
      <c r="L169" s="116"/>
      <c r="M169" s="115"/>
      <c r="N169" s="110" t="e">
        <f t="shared" si="33"/>
        <v>#DIV/0!</v>
      </c>
      <c r="O169" s="118" t="e">
        <f t="shared" si="34"/>
        <v>#DIV/0!</v>
      </c>
      <c r="P169" s="121"/>
      <c r="Q169" s="92">
        <f t="shared" si="35"/>
        <v>0</v>
      </c>
      <c r="R169" s="47" t="e">
        <f t="shared" si="36"/>
        <v>#DIV/0!</v>
      </c>
      <c r="S169" s="89" t="e">
        <f t="shared" si="37"/>
        <v>#DIV/0!</v>
      </c>
      <c r="T169" s="93"/>
      <c r="U169" s="137"/>
      <c r="V169" s="134"/>
      <c r="W169" s="93"/>
      <c r="X169" s="137"/>
      <c r="Y169" s="134"/>
      <c r="Z169" s="104"/>
      <c r="AA169" s="5"/>
      <c r="AB169" s="101">
        <f t="shared" si="38"/>
        <v>0</v>
      </c>
      <c r="AC169" s="138"/>
      <c r="AD169" s="42"/>
      <c r="AE169" s="101">
        <f t="shared" si="39"/>
        <v>0</v>
      </c>
    </row>
    <row r="170" spans="5:31" x14ac:dyDescent="0.35">
      <c r="E170" s="64"/>
      <c r="F170" s="110" t="e">
        <f t="shared" si="30"/>
        <v>#DIV/0!</v>
      </c>
      <c r="G170" s="124"/>
      <c r="H170" s="116"/>
      <c r="I170" s="115"/>
      <c r="J170" s="110" t="e">
        <f t="shared" si="31"/>
        <v>#DIV/0!</v>
      </c>
      <c r="K170" s="114" t="e">
        <f t="shared" si="32"/>
        <v>#DIV/0!</v>
      </c>
      <c r="L170" s="116"/>
      <c r="M170" s="115"/>
      <c r="N170" s="110" t="e">
        <f t="shared" si="33"/>
        <v>#DIV/0!</v>
      </c>
      <c r="O170" s="118" t="e">
        <f t="shared" si="34"/>
        <v>#DIV/0!</v>
      </c>
      <c r="P170" s="121"/>
      <c r="Q170" s="92">
        <f t="shared" si="35"/>
        <v>0</v>
      </c>
      <c r="R170" s="47" t="e">
        <f t="shared" si="36"/>
        <v>#DIV/0!</v>
      </c>
      <c r="S170" s="89" t="e">
        <f t="shared" si="37"/>
        <v>#DIV/0!</v>
      </c>
      <c r="T170" s="93"/>
      <c r="U170" s="137"/>
      <c r="V170" s="134"/>
      <c r="W170" s="93"/>
      <c r="X170" s="137"/>
      <c r="Y170" s="134"/>
      <c r="Z170" s="104"/>
      <c r="AA170" s="5"/>
      <c r="AB170" s="101">
        <f t="shared" si="38"/>
        <v>0</v>
      </c>
      <c r="AC170" s="138"/>
      <c r="AD170" s="42"/>
      <c r="AE170" s="101">
        <f t="shared" si="39"/>
        <v>0</v>
      </c>
    </row>
    <row r="171" spans="5:31" x14ac:dyDescent="0.35">
      <c r="E171" s="64"/>
      <c r="F171" s="110" t="e">
        <f t="shared" si="30"/>
        <v>#DIV/0!</v>
      </c>
      <c r="G171" s="124"/>
      <c r="H171" s="116"/>
      <c r="I171" s="115"/>
      <c r="J171" s="110" t="e">
        <f t="shared" si="31"/>
        <v>#DIV/0!</v>
      </c>
      <c r="K171" s="114" t="e">
        <f t="shared" si="32"/>
        <v>#DIV/0!</v>
      </c>
      <c r="L171" s="116"/>
      <c r="M171" s="115"/>
      <c r="N171" s="110" t="e">
        <f t="shared" si="33"/>
        <v>#DIV/0!</v>
      </c>
      <c r="O171" s="118" t="e">
        <f t="shared" si="34"/>
        <v>#DIV/0!</v>
      </c>
      <c r="P171" s="121"/>
      <c r="Q171" s="92">
        <f t="shared" si="35"/>
        <v>0</v>
      </c>
      <c r="R171" s="47" t="e">
        <f t="shared" si="36"/>
        <v>#DIV/0!</v>
      </c>
      <c r="S171" s="89" t="e">
        <f t="shared" si="37"/>
        <v>#DIV/0!</v>
      </c>
      <c r="T171" s="93"/>
      <c r="U171" s="137"/>
      <c r="V171" s="134"/>
      <c r="W171" s="93"/>
      <c r="X171" s="137"/>
      <c r="Y171" s="134"/>
      <c r="Z171" s="104"/>
      <c r="AA171" s="5"/>
      <c r="AB171" s="101">
        <f t="shared" si="38"/>
        <v>0</v>
      </c>
      <c r="AC171" s="138"/>
      <c r="AD171" s="42"/>
      <c r="AE171" s="101">
        <f t="shared" si="39"/>
        <v>0</v>
      </c>
    </row>
    <row r="172" spans="5:31" x14ac:dyDescent="0.35">
      <c r="E172" s="64"/>
      <c r="F172" s="110" t="e">
        <f t="shared" si="30"/>
        <v>#DIV/0!</v>
      </c>
      <c r="G172" s="124"/>
      <c r="H172" s="116"/>
      <c r="I172" s="115"/>
      <c r="J172" s="110" t="e">
        <f t="shared" si="31"/>
        <v>#DIV/0!</v>
      </c>
      <c r="K172" s="114" t="e">
        <f t="shared" si="32"/>
        <v>#DIV/0!</v>
      </c>
      <c r="L172" s="116"/>
      <c r="M172" s="115"/>
      <c r="N172" s="110" t="e">
        <f t="shared" si="33"/>
        <v>#DIV/0!</v>
      </c>
      <c r="O172" s="118" t="e">
        <f t="shared" si="34"/>
        <v>#DIV/0!</v>
      </c>
      <c r="P172" s="121"/>
      <c r="Q172" s="92">
        <f t="shared" si="35"/>
        <v>0</v>
      </c>
      <c r="R172" s="47" t="e">
        <f t="shared" si="36"/>
        <v>#DIV/0!</v>
      </c>
      <c r="S172" s="89" t="e">
        <f t="shared" si="37"/>
        <v>#DIV/0!</v>
      </c>
      <c r="T172" s="93"/>
      <c r="U172" s="137"/>
      <c r="V172" s="134"/>
      <c r="W172" s="93"/>
      <c r="X172" s="137"/>
      <c r="Y172" s="134"/>
      <c r="Z172" s="104"/>
      <c r="AA172" s="5"/>
      <c r="AB172" s="101">
        <f t="shared" si="38"/>
        <v>0</v>
      </c>
      <c r="AC172" s="138"/>
      <c r="AD172" s="42"/>
      <c r="AE172" s="101">
        <f t="shared" si="39"/>
        <v>0</v>
      </c>
    </row>
    <row r="173" spans="5:31" x14ac:dyDescent="0.35">
      <c r="E173" s="64"/>
      <c r="F173" s="110" t="e">
        <f t="shared" si="30"/>
        <v>#DIV/0!</v>
      </c>
      <c r="G173" s="124"/>
      <c r="H173" s="116"/>
      <c r="I173" s="115"/>
      <c r="J173" s="110" t="e">
        <f t="shared" si="31"/>
        <v>#DIV/0!</v>
      </c>
      <c r="K173" s="114" t="e">
        <f t="shared" si="32"/>
        <v>#DIV/0!</v>
      </c>
      <c r="L173" s="116"/>
      <c r="M173" s="115"/>
      <c r="N173" s="110" t="e">
        <f t="shared" si="33"/>
        <v>#DIV/0!</v>
      </c>
      <c r="O173" s="118" t="e">
        <f t="shared" si="34"/>
        <v>#DIV/0!</v>
      </c>
      <c r="P173" s="121"/>
      <c r="Q173" s="92">
        <f t="shared" si="35"/>
        <v>0</v>
      </c>
      <c r="R173" s="47" t="e">
        <f t="shared" si="36"/>
        <v>#DIV/0!</v>
      </c>
      <c r="S173" s="89" t="e">
        <f t="shared" si="37"/>
        <v>#DIV/0!</v>
      </c>
      <c r="T173" s="93"/>
      <c r="U173" s="137"/>
      <c r="V173" s="134"/>
      <c r="W173" s="93"/>
      <c r="X173" s="137"/>
      <c r="Y173" s="134"/>
      <c r="Z173" s="104"/>
      <c r="AA173" s="5"/>
      <c r="AB173" s="101">
        <f t="shared" si="38"/>
        <v>0</v>
      </c>
      <c r="AC173" s="138"/>
      <c r="AD173" s="42"/>
      <c r="AE173" s="101">
        <f t="shared" si="39"/>
        <v>0</v>
      </c>
    </row>
    <row r="174" spans="5:31" x14ac:dyDescent="0.35">
      <c r="E174" s="64"/>
      <c r="F174" s="110" t="e">
        <f t="shared" si="30"/>
        <v>#DIV/0!</v>
      </c>
      <c r="G174" s="124"/>
      <c r="H174" s="116"/>
      <c r="I174" s="115"/>
      <c r="J174" s="110" t="e">
        <f t="shared" si="31"/>
        <v>#DIV/0!</v>
      </c>
      <c r="K174" s="114" t="e">
        <f t="shared" si="32"/>
        <v>#DIV/0!</v>
      </c>
      <c r="L174" s="116"/>
      <c r="M174" s="115"/>
      <c r="N174" s="110" t="e">
        <f t="shared" si="33"/>
        <v>#DIV/0!</v>
      </c>
      <c r="O174" s="118" t="e">
        <f t="shared" si="34"/>
        <v>#DIV/0!</v>
      </c>
      <c r="P174" s="121"/>
      <c r="Q174" s="92">
        <f t="shared" si="35"/>
        <v>0</v>
      </c>
      <c r="R174" s="47" t="e">
        <f t="shared" si="36"/>
        <v>#DIV/0!</v>
      </c>
      <c r="S174" s="89" t="e">
        <f t="shared" si="37"/>
        <v>#DIV/0!</v>
      </c>
      <c r="T174" s="93"/>
      <c r="U174" s="137"/>
      <c r="V174" s="134"/>
      <c r="W174" s="93"/>
      <c r="X174" s="137"/>
      <c r="Y174" s="134"/>
      <c r="Z174" s="104"/>
      <c r="AA174" s="5"/>
      <c r="AB174" s="101">
        <f t="shared" si="38"/>
        <v>0</v>
      </c>
      <c r="AC174" s="138"/>
      <c r="AD174" s="42"/>
      <c r="AE174" s="101">
        <f t="shared" si="39"/>
        <v>0</v>
      </c>
    </row>
    <row r="175" spans="5:31" x14ac:dyDescent="0.35">
      <c r="E175" s="64"/>
      <c r="F175" s="110" t="e">
        <f t="shared" si="30"/>
        <v>#DIV/0!</v>
      </c>
      <c r="G175" s="124"/>
      <c r="H175" s="116"/>
      <c r="I175" s="115"/>
      <c r="J175" s="110" t="e">
        <f t="shared" si="31"/>
        <v>#DIV/0!</v>
      </c>
      <c r="K175" s="114" t="e">
        <f t="shared" si="32"/>
        <v>#DIV/0!</v>
      </c>
      <c r="L175" s="116"/>
      <c r="M175" s="115"/>
      <c r="N175" s="110" t="e">
        <f t="shared" si="33"/>
        <v>#DIV/0!</v>
      </c>
      <c r="O175" s="118" t="e">
        <f t="shared" si="34"/>
        <v>#DIV/0!</v>
      </c>
      <c r="P175" s="121"/>
      <c r="Q175" s="92">
        <f t="shared" si="35"/>
        <v>0</v>
      </c>
      <c r="R175" s="47" t="e">
        <f t="shared" si="36"/>
        <v>#DIV/0!</v>
      </c>
      <c r="S175" s="89" t="e">
        <f t="shared" si="37"/>
        <v>#DIV/0!</v>
      </c>
      <c r="T175" s="93"/>
      <c r="U175" s="137"/>
      <c r="V175" s="134"/>
      <c r="W175" s="93"/>
      <c r="X175" s="137"/>
      <c r="Y175" s="134"/>
      <c r="Z175" s="104"/>
      <c r="AA175" s="5"/>
      <c r="AB175" s="101">
        <f t="shared" si="38"/>
        <v>0</v>
      </c>
      <c r="AC175" s="138"/>
      <c r="AD175" s="42"/>
      <c r="AE175" s="101">
        <f t="shared" si="39"/>
        <v>0</v>
      </c>
    </row>
    <row r="176" spans="5:31" x14ac:dyDescent="0.35">
      <c r="E176" s="64"/>
      <c r="F176" s="110" t="e">
        <f t="shared" si="30"/>
        <v>#DIV/0!</v>
      </c>
      <c r="G176" s="124"/>
      <c r="H176" s="116"/>
      <c r="I176" s="115"/>
      <c r="J176" s="110" t="e">
        <f t="shared" si="31"/>
        <v>#DIV/0!</v>
      </c>
      <c r="K176" s="114" t="e">
        <f t="shared" si="32"/>
        <v>#DIV/0!</v>
      </c>
      <c r="L176" s="116"/>
      <c r="M176" s="115"/>
      <c r="N176" s="110" t="e">
        <f t="shared" si="33"/>
        <v>#DIV/0!</v>
      </c>
      <c r="O176" s="118" t="e">
        <f t="shared" si="34"/>
        <v>#DIV/0!</v>
      </c>
      <c r="P176" s="121"/>
      <c r="Q176" s="92">
        <f t="shared" si="35"/>
        <v>0</v>
      </c>
      <c r="R176" s="47" t="e">
        <f t="shared" si="36"/>
        <v>#DIV/0!</v>
      </c>
      <c r="S176" s="89" t="e">
        <f t="shared" si="37"/>
        <v>#DIV/0!</v>
      </c>
      <c r="T176" s="93"/>
      <c r="U176" s="137"/>
      <c r="V176" s="134"/>
      <c r="W176" s="93"/>
      <c r="X176" s="137"/>
      <c r="Y176" s="134"/>
      <c r="Z176" s="104"/>
      <c r="AA176" s="5"/>
      <c r="AB176" s="101">
        <f t="shared" si="38"/>
        <v>0</v>
      </c>
      <c r="AC176" s="138"/>
      <c r="AD176" s="42"/>
      <c r="AE176" s="101">
        <f t="shared" si="39"/>
        <v>0</v>
      </c>
    </row>
    <row r="177" spans="5:31" x14ac:dyDescent="0.35">
      <c r="E177" s="64"/>
      <c r="F177" s="110" t="e">
        <f t="shared" si="30"/>
        <v>#DIV/0!</v>
      </c>
      <c r="G177" s="124"/>
      <c r="H177" s="116"/>
      <c r="I177" s="115"/>
      <c r="J177" s="110" t="e">
        <f t="shared" si="31"/>
        <v>#DIV/0!</v>
      </c>
      <c r="K177" s="114" t="e">
        <f t="shared" si="32"/>
        <v>#DIV/0!</v>
      </c>
      <c r="L177" s="116"/>
      <c r="M177" s="115"/>
      <c r="N177" s="110" t="e">
        <f t="shared" si="33"/>
        <v>#DIV/0!</v>
      </c>
      <c r="O177" s="118" t="e">
        <f t="shared" si="34"/>
        <v>#DIV/0!</v>
      </c>
      <c r="P177" s="121"/>
      <c r="Q177" s="92">
        <f t="shared" si="35"/>
        <v>0</v>
      </c>
      <c r="R177" s="47" t="e">
        <f t="shared" si="36"/>
        <v>#DIV/0!</v>
      </c>
      <c r="S177" s="89" t="e">
        <f t="shared" si="37"/>
        <v>#DIV/0!</v>
      </c>
      <c r="T177" s="93"/>
      <c r="U177" s="137"/>
      <c r="V177" s="134"/>
      <c r="W177" s="93"/>
      <c r="X177" s="137"/>
      <c r="Y177" s="134"/>
      <c r="Z177" s="104"/>
      <c r="AA177" s="5"/>
      <c r="AB177" s="101">
        <f t="shared" si="38"/>
        <v>0</v>
      </c>
      <c r="AC177" s="138"/>
      <c r="AD177" s="42"/>
      <c r="AE177" s="101">
        <f t="shared" si="39"/>
        <v>0</v>
      </c>
    </row>
    <row r="178" spans="5:31" x14ac:dyDescent="0.35">
      <c r="E178" s="64"/>
      <c r="F178" s="110" t="e">
        <f t="shared" si="30"/>
        <v>#DIV/0!</v>
      </c>
      <c r="G178" s="124"/>
      <c r="H178" s="116"/>
      <c r="I178" s="115"/>
      <c r="J178" s="110" t="e">
        <f t="shared" si="31"/>
        <v>#DIV/0!</v>
      </c>
      <c r="K178" s="114" t="e">
        <f t="shared" si="32"/>
        <v>#DIV/0!</v>
      </c>
      <c r="L178" s="116"/>
      <c r="M178" s="115"/>
      <c r="N178" s="110" t="e">
        <f t="shared" si="33"/>
        <v>#DIV/0!</v>
      </c>
      <c r="O178" s="118" t="e">
        <f t="shared" si="34"/>
        <v>#DIV/0!</v>
      </c>
      <c r="P178" s="121"/>
      <c r="Q178" s="92">
        <f t="shared" si="35"/>
        <v>0</v>
      </c>
      <c r="R178" s="47" t="e">
        <f t="shared" si="36"/>
        <v>#DIV/0!</v>
      </c>
      <c r="S178" s="89" t="e">
        <f t="shared" si="37"/>
        <v>#DIV/0!</v>
      </c>
      <c r="T178" s="93"/>
      <c r="U178" s="137"/>
      <c r="V178" s="134"/>
      <c r="W178" s="93"/>
      <c r="X178" s="137"/>
      <c r="Y178" s="134"/>
      <c r="Z178" s="104"/>
      <c r="AA178" s="5"/>
      <c r="AB178" s="101">
        <f t="shared" si="38"/>
        <v>0</v>
      </c>
      <c r="AC178" s="138"/>
      <c r="AD178" s="42"/>
      <c r="AE178" s="101">
        <f t="shared" si="39"/>
        <v>0</v>
      </c>
    </row>
    <row r="179" spans="5:31" x14ac:dyDescent="0.35">
      <c r="E179" s="64"/>
      <c r="F179" s="110" t="e">
        <f t="shared" si="30"/>
        <v>#DIV/0!</v>
      </c>
      <c r="G179" s="124"/>
      <c r="H179" s="116"/>
      <c r="I179" s="115"/>
      <c r="J179" s="110" t="e">
        <f t="shared" si="31"/>
        <v>#DIV/0!</v>
      </c>
      <c r="K179" s="114" t="e">
        <f t="shared" si="32"/>
        <v>#DIV/0!</v>
      </c>
      <c r="L179" s="116"/>
      <c r="M179" s="115"/>
      <c r="N179" s="110" t="e">
        <f t="shared" si="33"/>
        <v>#DIV/0!</v>
      </c>
      <c r="O179" s="118" t="e">
        <f t="shared" si="34"/>
        <v>#DIV/0!</v>
      </c>
      <c r="P179" s="121"/>
      <c r="Q179" s="92">
        <f t="shared" si="35"/>
        <v>0</v>
      </c>
      <c r="R179" s="47" t="e">
        <f t="shared" si="36"/>
        <v>#DIV/0!</v>
      </c>
      <c r="S179" s="89" t="e">
        <f t="shared" si="37"/>
        <v>#DIV/0!</v>
      </c>
      <c r="T179" s="93"/>
      <c r="U179" s="137"/>
      <c r="V179" s="134"/>
      <c r="W179" s="93"/>
      <c r="X179" s="137"/>
      <c r="Y179" s="134"/>
      <c r="Z179" s="104"/>
      <c r="AA179" s="5"/>
      <c r="AB179" s="101">
        <f t="shared" si="38"/>
        <v>0</v>
      </c>
      <c r="AC179" s="138"/>
      <c r="AD179" s="42"/>
      <c r="AE179" s="101">
        <f t="shared" si="39"/>
        <v>0</v>
      </c>
    </row>
    <row r="180" spans="5:31" x14ac:dyDescent="0.35">
      <c r="E180" s="64"/>
      <c r="F180" s="110" t="e">
        <f t="shared" si="30"/>
        <v>#DIV/0!</v>
      </c>
      <c r="G180" s="124"/>
      <c r="H180" s="116"/>
      <c r="I180" s="115"/>
      <c r="J180" s="110" t="e">
        <f t="shared" si="31"/>
        <v>#DIV/0!</v>
      </c>
      <c r="K180" s="114" t="e">
        <f t="shared" si="32"/>
        <v>#DIV/0!</v>
      </c>
      <c r="L180" s="116"/>
      <c r="M180" s="115"/>
      <c r="N180" s="110" t="e">
        <f t="shared" si="33"/>
        <v>#DIV/0!</v>
      </c>
      <c r="O180" s="118" t="e">
        <f t="shared" si="34"/>
        <v>#DIV/0!</v>
      </c>
      <c r="P180" s="121"/>
      <c r="Q180" s="92">
        <f t="shared" si="35"/>
        <v>0</v>
      </c>
      <c r="R180" s="47" t="e">
        <f t="shared" si="36"/>
        <v>#DIV/0!</v>
      </c>
      <c r="S180" s="89" t="e">
        <f t="shared" si="37"/>
        <v>#DIV/0!</v>
      </c>
      <c r="T180" s="93"/>
      <c r="U180" s="137"/>
      <c r="V180" s="134"/>
      <c r="W180" s="93"/>
      <c r="X180" s="137"/>
      <c r="Y180" s="134"/>
      <c r="Z180" s="104"/>
      <c r="AA180" s="5"/>
      <c r="AB180" s="101">
        <f t="shared" si="38"/>
        <v>0</v>
      </c>
      <c r="AC180" s="138"/>
      <c r="AD180" s="42"/>
      <c r="AE180" s="101">
        <f t="shared" si="39"/>
        <v>0</v>
      </c>
    </row>
    <row r="181" spans="5:31" x14ac:dyDescent="0.35">
      <c r="E181" s="64"/>
      <c r="F181" s="110" t="e">
        <f t="shared" si="30"/>
        <v>#DIV/0!</v>
      </c>
      <c r="G181" s="124"/>
      <c r="H181" s="116"/>
      <c r="I181" s="115"/>
      <c r="J181" s="110" t="e">
        <f t="shared" si="31"/>
        <v>#DIV/0!</v>
      </c>
      <c r="K181" s="114" t="e">
        <f t="shared" si="32"/>
        <v>#DIV/0!</v>
      </c>
      <c r="L181" s="116"/>
      <c r="M181" s="115"/>
      <c r="N181" s="110" t="e">
        <f t="shared" si="33"/>
        <v>#DIV/0!</v>
      </c>
      <c r="O181" s="118" t="e">
        <f t="shared" si="34"/>
        <v>#DIV/0!</v>
      </c>
      <c r="P181" s="121"/>
      <c r="Q181" s="92">
        <f t="shared" si="35"/>
        <v>0</v>
      </c>
      <c r="R181" s="47" t="e">
        <f t="shared" si="36"/>
        <v>#DIV/0!</v>
      </c>
      <c r="S181" s="89" t="e">
        <f t="shared" si="37"/>
        <v>#DIV/0!</v>
      </c>
      <c r="T181" s="93"/>
      <c r="U181" s="137"/>
      <c r="V181" s="134"/>
      <c r="W181" s="93"/>
      <c r="X181" s="137"/>
      <c r="Y181" s="134"/>
      <c r="Z181" s="104"/>
      <c r="AA181" s="5"/>
      <c r="AB181" s="101">
        <f t="shared" si="38"/>
        <v>0</v>
      </c>
      <c r="AC181" s="138"/>
      <c r="AD181" s="42"/>
      <c r="AE181" s="101">
        <f t="shared" si="39"/>
        <v>0</v>
      </c>
    </row>
    <row r="182" spans="5:31" x14ac:dyDescent="0.35">
      <c r="E182" s="64"/>
      <c r="F182" s="110" t="e">
        <f t="shared" si="30"/>
        <v>#DIV/0!</v>
      </c>
      <c r="G182" s="124"/>
      <c r="H182" s="116"/>
      <c r="I182" s="115"/>
      <c r="J182" s="110" t="e">
        <f t="shared" si="31"/>
        <v>#DIV/0!</v>
      </c>
      <c r="K182" s="114" t="e">
        <f t="shared" si="32"/>
        <v>#DIV/0!</v>
      </c>
      <c r="L182" s="116"/>
      <c r="M182" s="115"/>
      <c r="N182" s="110" t="e">
        <f t="shared" si="33"/>
        <v>#DIV/0!</v>
      </c>
      <c r="O182" s="118" t="e">
        <f t="shared" si="34"/>
        <v>#DIV/0!</v>
      </c>
      <c r="P182" s="121"/>
      <c r="Q182" s="92">
        <f t="shared" si="35"/>
        <v>0</v>
      </c>
      <c r="R182" s="47" t="e">
        <f t="shared" si="36"/>
        <v>#DIV/0!</v>
      </c>
      <c r="S182" s="89" t="e">
        <f t="shared" si="37"/>
        <v>#DIV/0!</v>
      </c>
      <c r="T182" s="93"/>
      <c r="U182" s="137"/>
      <c r="V182" s="134"/>
      <c r="W182" s="93"/>
      <c r="X182" s="137"/>
      <c r="Y182" s="134"/>
      <c r="Z182" s="104"/>
      <c r="AA182" s="5"/>
      <c r="AB182" s="101">
        <f t="shared" si="38"/>
        <v>0</v>
      </c>
      <c r="AC182" s="138"/>
      <c r="AD182" s="42"/>
      <c r="AE182" s="101">
        <f t="shared" si="39"/>
        <v>0</v>
      </c>
    </row>
    <row r="183" spans="5:31" x14ac:dyDescent="0.35">
      <c r="E183" s="64"/>
      <c r="F183" s="110" t="e">
        <f t="shared" si="30"/>
        <v>#DIV/0!</v>
      </c>
      <c r="G183" s="124"/>
      <c r="H183" s="116"/>
      <c r="I183" s="115"/>
      <c r="J183" s="110" t="e">
        <f t="shared" si="31"/>
        <v>#DIV/0!</v>
      </c>
      <c r="K183" s="114" t="e">
        <f t="shared" si="32"/>
        <v>#DIV/0!</v>
      </c>
      <c r="L183" s="116"/>
      <c r="M183" s="115"/>
      <c r="N183" s="110" t="e">
        <f t="shared" si="33"/>
        <v>#DIV/0!</v>
      </c>
      <c r="O183" s="118" t="e">
        <f t="shared" si="34"/>
        <v>#DIV/0!</v>
      </c>
      <c r="P183" s="121"/>
      <c r="Q183" s="92">
        <f t="shared" si="35"/>
        <v>0</v>
      </c>
      <c r="R183" s="47" t="e">
        <f t="shared" si="36"/>
        <v>#DIV/0!</v>
      </c>
      <c r="S183" s="89" t="e">
        <f t="shared" si="37"/>
        <v>#DIV/0!</v>
      </c>
      <c r="T183" s="93"/>
      <c r="U183" s="137"/>
      <c r="V183" s="134"/>
      <c r="W183" s="93"/>
      <c r="X183" s="137"/>
      <c r="Y183" s="134"/>
      <c r="Z183" s="104"/>
      <c r="AA183" s="5"/>
      <c r="AB183" s="101">
        <f t="shared" si="38"/>
        <v>0</v>
      </c>
      <c r="AC183" s="138"/>
      <c r="AD183" s="42"/>
      <c r="AE183" s="101">
        <f t="shared" si="39"/>
        <v>0</v>
      </c>
    </row>
  </sheetData>
  <mergeCells count="17">
    <mergeCell ref="A2:A4"/>
    <mergeCell ref="B2:B4"/>
    <mergeCell ref="C2:C4"/>
    <mergeCell ref="D2:D4"/>
    <mergeCell ref="E2:E4"/>
    <mergeCell ref="B6:F6"/>
    <mergeCell ref="H2:S2"/>
    <mergeCell ref="T2:Y2"/>
    <mergeCell ref="Z2:AE2"/>
    <mergeCell ref="H3:K3"/>
    <mergeCell ref="L3:O3"/>
    <mergeCell ref="P3:S3"/>
    <mergeCell ref="T3:V3"/>
    <mergeCell ref="W3:Y3"/>
    <mergeCell ref="Z3:AB3"/>
    <mergeCell ref="AC3:AE3"/>
    <mergeCell ref="F2:G3"/>
  </mergeCells>
  <pageMargins left="0.7" right="0.7" top="0.75" bottom="0.75" header="0.3" footer="0.3"/>
  <pageSetup paperSize="9" scale="5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5"/>
  <sheetViews>
    <sheetView workbookViewId="0">
      <selection activeCell="B4" sqref="B4"/>
    </sheetView>
  </sheetViews>
  <sheetFormatPr defaultRowHeight="14.4" x14ac:dyDescent="0.3"/>
  <cols>
    <col min="2" max="2" width="50.5546875" customWidth="1"/>
  </cols>
  <sheetData>
    <row r="5" spans="2:2" x14ac:dyDescent="0.3">
      <c r="B5" s="183" t="s">
        <v>1305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A1E2D-970B-4ECE-B44A-E551A70DA163}">
  <dimension ref="A1:S19"/>
  <sheetViews>
    <sheetView tabSelected="1" view="pageBreakPreview" zoomScaleNormal="100" zoomScaleSheetLayoutView="100" workbookViewId="0">
      <selection activeCell="O9" sqref="O9:Q10"/>
    </sheetView>
  </sheetViews>
  <sheetFormatPr defaultRowHeight="14.4" x14ac:dyDescent="0.3"/>
  <cols>
    <col min="1" max="1" width="6.5546875" customWidth="1"/>
    <col min="2" max="2" width="34.33203125" customWidth="1"/>
    <col min="3" max="3" width="17.6640625" customWidth="1"/>
    <col min="4" max="4" width="19.6640625" customWidth="1"/>
    <col min="5" max="5" width="18.5546875" customWidth="1"/>
    <col min="6" max="6" width="18.33203125" customWidth="1"/>
    <col min="7" max="7" width="19.88671875" customWidth="1"/>
    <col min="8" max="8" width="18.109375" customWidth="1"/>
    <col min="9" max="11" width="18.109375" style="755" customWidth="1"/>
    <col min="12" max="12" width="16" customWidth="1"/>
    <col min="13" max="13" width="19" customWidth="1"/>
    <col min="14" max="14" width="19.44140625" customWidth="1"/>
    <col min="15" max="15" width="16" style="755" customWidth="1"/>
    <col min="16" max="16" width="19" style="755" customWidth="1"/>
    <col min="17" max="17" width="19.44140625" style="755" customWidth="1"/>
    <col min="18" max="18" width="16.5546875" bestFit="1" customWidth="1"/>
    <col min="19" max="20" width="14.5546875" bestFit="1" customWidth="1"/>
  </cols>
  <sheetData>
    <row r="1" spans="1:19" ht="36.75" customHeight="1" x14ac:dyDescent="0.3">
      <c r="A1" s="829" t="s">
        <v>13</v>
      </c>
      <c r="B1" s="829" t="s">
        <v>1880</v>
      </c>
      <c r="C1" s="839" t="s">
        <v>1881</v>
      </c>
      <c r="D1" s="840"/>
      <c r="E1" s="840"/>
      <c r="F1" s="841" t="s">
        <v>1882</v>
      </c>
      <c r="G1" s="842"/>
      <c r="H1" s="842"/>
      <c r="I1" s="837" t="s">
        <v>2256</v>
      </c>
      <c r="J1" s="838"/>
      <c r="K1" s="838"/>
      <c r="L1" s="841" t="s">
        <v>2257</v>
      </c>
      <c r="M1" s="842"/>
      <c r="N1" s="842"/>
      <c r="O1" s="837" t="s">
        <v>2258</v>
      </c>
      <c r="P1" s="838"/>
      <c r="Q1" s="838"/>
      <c r="R1" s="757" t="s">
        <v>2254</v>
      </c>
      <c r="S1" s="757" t="s">
        <v>2255</v>
      </c>
    </row>
    <row r="2" spans="1:19" ht="27.6" x14ac:dyDescent="0.3">
      <c r="A2" s="829"/>
      <c r="B2" s="829"/>
      <c r="C2" s="593" t="s">
        <v>1883</v>
      </c>
      <c r="D2" s="594" t="s">
        <v>1884</v>
      </c>
      <c r="E2" s="594" t="s">
        <v>1885</v>
      </c>
      <c r="F2" s="595" t="s">
        <v>1883</v>
      </c>
      <c r="G2" s="596" t="s">
        <v>1884</v>
      </c>
      <c r="H2" s="596" t="s">
        <v>1885</v>
      </c>
      <c r="I2" s="750" t="s">
        <v>1883</v>
      </c>
      <c r="J2" s="751" t="s">
        <v>1884</v>
      </c>
      <c r="K2" s="751" t="s">
        <v>1885</v>
      </c>
      <c r="L2" s="595" t="s">
        <v>1883</v>
      </c>
      <c r="M2" s="596" t="s">
        <v>1884</v>
      </c>
      <c r="N2" s="596" t="s">
        <v>1885</v>
      </c>
      <c r="O2" s="750" t="s">
        <v>1883</v>
      </c>
      <c r="P2" s="751" t="s">
        <v>1884</v>
      </c>
      <c r="Q2" s="751" t="s">
        <v>1885</v>
      </c>
      <c r="R2" s="756">
        <v>1.3</v>
      </c>
      <c r="S2" s="756">
        <v>1.3</v>
      </c>
    </row>
    <row r="3" spans="1:19" ht="32.25" customHeight="1" x14ac:dyDescent="0.3">
      <c r="A3" s="597">
        <v>1</v>
      </c>
      <c r="B3" s="598" t="s">
        <v>1902</v>
      </c>
      <c r="C3" s="599">
        <f>'ТП Р'!F594</f>
        <v>211302934.33708647</v>
      </c>
      <c r="D3" s="600">
        <f>'ТП М'!F450</f>
        <v>1953919491.4328127</v>
      </c>
      <c r="E3" s="601">
        <f>C3+D3</f>
        <v>2165222425.7698994</v>
      </c>
      <c r="F3" s="602">
        <f>'ТП Р'!H594</f>
        <v>290137837.27089995</v>
      </c>
      <c r="G3" s="603">
        <f>'ТП М'!H450</f>
        <v>1521515578.8898625</v>
      </c>
      <c r="H3" s="604">
        <f>F3+G3</f>
        <v>1811653416.1607625</v>
      </c>
      <c r="I3" s="752">
        <f>F3*$R$2</f>
        <v>377179188.45216995</v>
      </c>
      <c r="J3" s="753">
        <f>G3*$S$2</f>
        <v>1977970252.5568213</v>
      </c>
      <c r="K3" s="754">
        <f>I3+J3</f>
        <v>2355149441.0089912</v>
      </c>
      <c r="L3" s="605">
        <f>-C3-F3</f>
        <v>-501440771.60798645</v>
      </c>
      <c r="M3" s="640">
        <f>D3-G3</f>
        <v>432403912.54295015</v>
      </c>
      <c r="N3" s="641">
        <f>L3+M3</f>
        <v>-69036859.065036297</v>
      </c>
      <c r="O3" s="758">
        <f>C3-I3</f>
        <v>-165876254.11508349</v>
      </c>
      <c r="P3" s="759">
        <f>D3-J3</f>
        <v>-24050761.124008656</v>
      </c>
      <c r="Q3" s="760">
        <f>O3+P3</f>
        <v>-189927015.23909214</v>
      </c>
      <c r="R3" s="606"/>
    </row>
    <row r="4" spans="1:19" ht="32.25" customHeight="1" x14ac:dyDescent="0.3">
      <c r="A4" s="597">
        <v>2</v>
      </c>
      <c r="B4" s="598" t="s">
        <v>1903</v>
      </c>
      <c r="C4" s="599">
        <v>8914849.4300000016</v>
      </c>
      <c r="D4" s="600">
        <v>63029474.659999996</v>
      </c>
      <c r="E4" s="601">
        <f t="shared" ref="E4:E8" si="0">C4+D4</f>
        <v>71944324.090000004</v>
      </c>
      <c r="F4" s="602">
        <f>'Ост Р'!H45</f>
        <v>11465888.709999999</v>
      </c>
      <c r="G4" s="603">
        <f>'Ост М'!H28</f>
        <v>81816741.299999997</v>
      </c>
      <c r="H4" s="604">
        <f t="shared" ref="H4:H10" si="1">F4+G4</f>
        <v>93282630.00999999</v>
      </c>
      <c r="I4" s="752">
        <f t="shared" ref="I4:I9" si="2">F4*$R$2</f>
        <v>14905655.322999999</v>
      </c>
      <c r="J4" s="753">
        <f t="shared" ref="J4:J9" si="3">G4*$S$2</f>
        <v>106361763.69</v>
      </c>
      <c r="K4" s="754">
        <f t="shared" ref="K4:K9" si="4">I4+J4</f>
        <v>121267419.013</v>
      </c>
      <c r="L4" s="605">
        <f>-C4-F4</f>
        <v>-20380738.140000001</v>
      </c>
      <c r="M4" s="640">
        <f t="shared" ref="M4:M9" si="5">D4-G4</f>
        <v>-18787266.640000001</v>
      </c>
      <c r="N4" s="641">
        <f t="shared" ref="N4:N9" si="6">L4+M4</f>
        <v>-39168004.780000001</v>
      </c>
      <c r="O4" s="758">
        <f t="shared" ref="O4:O9" si="7">C4-I4</f>
        <v>-5990805.8929999974</v>
      </c>
      <c r="P4" s="759">
        <f t="shared" ref="P4:P9" si="8">D4-J4</f>
        <v>-43332289.030000001</v>
      </c>
      <c r="Q4" s="760">
        <f t="shared" ref="Q4:Q9" si="9">O4+P4</f>
        <v>-49323094.923</v>
      </c>
      <c r="R4" s="606"/>
    </row>
    <row r="5" spans="1:19" ht="32.25" customHeight="1" x14ac:dyDescent="0.3">
      <c r="A5" s="597">
        <v>3</v>
      </c>
      <c r="B5" s="598" t="s">
        <v>2252</v>
      </c>
      <c r="C5" s="599">
        <v>4413175.3500000015</v>
      </c>
      <c r="D5" s="600">
        <v>62611259.570000008</v>
      </c>
      <c r="E5" s="601">
        <f t="shared" si="0"/>
        <v>67024434.920000009</v>
      </c>
      <c r="F5" s="602">
        <f>'СП Р'!H286</f>
        <v>6878877.2399999993</v>
      </c>
      <c r="G5" s="603">
        <f>'СП М'!H266</f>
        <v>62566869.032199994</v>
      </c>
      <c r="H5" s="604">
        <f t="shared" si="1"/>
        <v>69445746.272199988</v>
      </c>
      <c r="I5" s="752">
        <f t="shared" si="2"/>
        <v>8942540.4119999986</v>
      </c>
      <c r="J5" s="753">
        <f t="shared" si="3"/>
        <v>81336929.741859987</v>
      </c>
      <c r="K5" s="754">
        <f t="shared" si="4"/>
        <v>90279470.153859988</v>
      </c>
      <c r="L5" s="605">
        <f t="shared" ref="L5:L9" si="10">-C5-F5</f>
        <v>-11292052.59</v>
      </c>
      <c r="M5" s="640">
        <f t="shared" si="5"/>
        <v>44390.537800014019</v>
      </c>
      <c r="N5" s="641">
        <f t="shared" si="6"/>
        <v>-11247662.052199986</v>
      </c>
      <c r="O5" s="758">
        <f t="shared" si="7"/>
        <v>-4529365.0619999971</v>
      </c>
      <c r="P5" s="759">
        <f t="shared" si="8"/>
        <v>-18725670.17185998</v>
      </c>
      <c r="Q5" s="760">
        <f t="shared" si="9"/>
        <v>-23255035.233859979</v>
      </c>
      <c r="R5" s="606"/>
    </row>
    <row r="6" spans="1:19" ht="43.8" customHeight="1" x14ac:dyDescent="0.3">
      <c r="A6" s="597">
        <v>4</v>
      </c>
      <c r="B6" s="598" t="s">
        <v>2253</v>
      </c>
      <c r="C6" s="599">
        <v>904647.34</v>
      </c>
      <c r="D6" s="600">
        <v>0</v>
      </c>
      <c r="E6" s="601">
        <f t="shared" si="0"/>
        <v>904647.34</v>
      </c>
      <c r="F6" s="602">
        <f>'СП Р'!H287</f>
        <v>2824407.54</v>
      </c>
      <c r="G6" s="603">
        <v>0</v>
      </c>
      <c r="H6" s="604">
        <f t="shared" si="1"/>
        <v>2824407.54</v>
      </c>
      <c r="I6" s="752">
        <f t="shared" si="2"/>
        <v>3671729.8020000001</v>
      </c>
      <c r="J6" s="753">
        <f t="shared" si="3"/>
        <v>0</v>
      </c>
      <c r="K6" s="754">
        <f t="shared" si="4"/>
        <v>3671729.8020000001</v>
      </c>
      <c r="L6" s="605">
        <f t="shared" si="10"/>
        <v>-3729054.88</v>
      </c>
      <c r="M6" s="640">
        <f t="shared" si="5"/>
        <v>0</v>
      </c>
      <c r="N6" s="641">
        <f t="shared" si="6"/>
        <v>-3729054.88</v>
      </c>
      <c r="O6" s="758">
        <f t="shared" si="7"/>
        <v>-2767082.4620000003</v>
      </c>
      <c r="P6" s="759">
        <f t="shared" si="8"/>
        <v>0</v>
      </c>
      <c r="Q6" s="760">
        <f t="shared" si="9"/>
        <v>-2767082.4620000003</v>
      </c>
      <c r="R6" s="606"/>
    </row>
    <row r="7" spans="1:19" ht="32.25" customHeight="1" x14ac:dyDescent="0.3">
      <c r="A7" s="597">
        <v>5</v>
      </c>
      <c r="B7" s="598" t="s">
        <v>2128</v>
      </c>
      <c r="C7" s="599">
        <v>41903044.992009319</v>
      </c>
      <c r="D7" s="600">
        <v>242007627.43999997</v>
      </c>
      <c r="E7" s="601">
        <f t="shared" si="0"/>
        <v>283910672.43200928</v>
      </c>
      <c r="F7" s="602">
        <f>'КС Р'!H69</f>
        <v>60402705.220000006</v>
      </c>
      <c r="G7" s="603">
        <f>'КС М'!H67</f>
        <v>224119065.37999994</v>
      </c>
      <c r="H7" s="604">
        <f t="shared" si="1"/>
        <v>284521770.59999996</v>
      </c>
      <c r="I7" s="752">
        <f t="shared" si="2"/>
        <v>78523516.786000013</v>
      </c>
      <c r="J7" s="753">
        <f t="shared" si="3"/>
        <v>291354784.9939999</v>
      </c>
      <c r="K7" s="754">
        <f t="shared" si="4"/>
        <v>369878301.77999991</v>
      </c>
      <c r="L7" s="605">
        <f t="shared" si="10"/>
        <v>-102305750.21200933</v>
      </c>
      <c r="M7" s="640">
        <f t="shared" si="5"/>
        <v>17888562.060000032</v>
      </c>
      <c r="N7" s="641">
        <f t="shared" si="6"/>
        <v>-84417188.152009293</v>
      </c>
      <c r="O7" s="758">
        <f t="shared" si="7"/>
        <v>-36620471.793990694</v>
      </c>
      <c r="P7" s="759">
        <f t="shared" si="8"/>
        <v>-49347157.553999931</v>
      </c>
      <c r="Q7" s="760">
        <f t="shared" si="9"/>
        <v>-85967629.347990632</v>
      </c>
      <c r="R7" s="606"/>
    </row>
    <row r="8" spans="1:19" ht="32.25" customHeight="1" x14ac:dyDescent="0.3">
      <c r="A8" s="597">
        <v>6</v>
      </c>
      <c r="B8" s="598" t="s">
        <v>2251</v>
      </c>
      <c r="C8" s="599">
        <v>147216.56732235962</v>
      </c>
      <c r="D8" s="600">
        <v>0</v>
      </c>
      <c r="E8" s="601">
        <f t="shared" si="0"/>
        <v>147216.56732235962</v>
      </c>
      <c r="F8" s="602">
        <f>'КС Р'!H70</f>
        <v>827060.73</v>
      </c>
      <c r="G8" s="603">
        <v>0</v>
      </c>
      <c r="H8" s="604">
        <f t="shared" si="1"/>
        <v>827060.73</v>
      </c>
      <c r="I8" s="752">
        <f t="shared" si="2"/>
        <v>1075178.949</v>
      </c>
      <c r="J8" s="753">
        <f t="shared" si="3"/>
        <v>0</v>
      </c>
      <c r="K8" s="754">
        <f t="shared" si="4"/>
        <v>1075178.949</v>
      </c>
      <c r="L8" s="605">
        <f t="shared" si="10"/>
        <v>-974277.29732235963</v>
      </c>
      <c r="M8" s="640">
        <f t="shared" si="5"/>
        <v>0</v>
      </c>
      <c r="N8" s="641">
        <f t="shared" si="6"/>
        <v>-974277.29732235963</v>
      </c>
      <c r="O8" s="758">
        <f t="shared" si="7"/>
        <v>-927962.38167764037</v>
      </c>
      <c r="P8" s="759">
        <f t="shared" si="8"/>
        <v>0</v>
      </c>
      <c r="Q8" s="760">
        <f t="shared" si="9"/>
        <v>-927962.38167764037</v>
      </c>
      <c r="R8" s="606"/>
    </row>
    <row r="9" spans="1:19" ht="32.25" customHeight="1" x14ac:dyDescent="0.3">
      <c r="A9" s="597">
        <v>1</v>
      </c>
      <c r="B9" s="598" t="s">
        <v>2259</v>
      </c>
      <c r="C9" s="599">
        <v>4300455.96</v>
      </c>
      <c r="D9" s="600">
        <v>4005979.08</v>
      </c>
      <c r="E9" s="601">
        <v>8306435.04</v>
      </c>
      <c r="F9" s="602">
        <f>'НВК Р'!H22</f>
        <v>8954838.5</v>
      </c>
      <c r="G9" s="603">
        <f>'НВК М'!H18</f>
        <v>4403424.2799999993</v>
      </c>
      <c r="H9" s="604">
        <f t="shared" si="1"/>
        <v>13358262.779999999</v>
      </c>
      <c r="I9" s="752">
        <f t="shared" si="2"/>
        <v>11641290.050000001</v>
      </c>
      <c r="J9" s="753">
        <f t="shared" si="3"/>
        <v>5724451.5639999993</v>
      </c>
      <c r="K9" s="754">
        <f t="shared" si="4"/>
        <v>17365741.614</v>
      </c>
      <c r="L9" s="605">
        <f t="shared" si="10"/>
        <v>-13255294.460000001</v>
      </c>
      <c r="M9" s="640">
        <f t="shared" si="5"/>
        <v>-397445.19999999925</v>
      </c>
      <c r="N9" s="641">
        <f t="shared" si="6"/>
        <v>-13652739.66</v>
      </c>
      <c r="O9" s="758">
        <f t="shared" si="7"/>
        <v>-7340834.0900000008</v>
      </c>
      <c r="P9" s="759">
        <f t="shared" si="8"/>
        <v>-1718472.4839999992</v>
      </c>
      <c r="Q9" s="760">
        <f t="shared" si="9"/>
        <v>-9059306.574000001</v>
      </c>
      <c r="R9" s="606"/>
    </row>
    <row r="10" spans="1:19" ht="32.25" customHeight="1" x14ac:dyDescent="0.3">
      <c r="A10" s="597">
        <v>1</v>
      </c>
      <c r="B10" s="598" t="s">
        <v>2295</v>
      </c>
      <c r="C10" s="599">
        <v>342453.85000000003</v>
      </c>
      <c r="D10" s="600">
        <v>26899.53</v>
      </c>
      <c r="E10" s="601">
        <v>8306435.04</v>
      </c>
      <c r="F10" s="602">
        <v>1176909.56</v>
      </c>
      <c r="G10" s="603">
        <v>52992</v>
      </c>
      <c r="H10" s="604">
        <f t="shared" si="1"/>
        <v>1229901.56</v>
      </c>
      <c r="I10" s="752">
        <f>F10*$R$2</f>
        <v>1529982.4280000001</v>
      </c>
      <c r="J10" s="753">
        <f t="shared" ref="J10" si="11">G10*$S$2</f>
        <v>68889.600000000006</v>
      </c>
      <c r="K10" s="754">
        <f t="shared" ref="K10" si="12">I10+J10</f>
        <v>1598872.0280000002</v>
      </c>
      <c r="L10" s="605">
        <f t="shared" ref="L10" si="13">-C10-F10</f>
        <v>-1519363.4100000001</v>
      </c>
      <c r="M10" s="640">
        <f t="shared" ref="M10" si="14">D10-G10</f>
        <v>-26092.47</v>
      </c>
      <c r="N10" s="641">
        <f t="shared" ref="N10" si="15">L10+M10</f>
        <v>-1545455.8800000001</v>
      </c>
      <c r="O10" s="758">
        <f t="shared" ref="O10" si="16">C10-I10</f>
        <v>-1187528.578</v>
      </c>
      <c r="P10" s="759">
        <f t="shared" ref="P10" si="17">D10-J10</f>
        <v>-41990.070000000007</v>
      </c>
      <c r="Q10" s="760">
        <f t="shared" ref="Q10" si="18">O10+P10</f>
        <v>-1229518.648</v>
      </c>
      <c r="R10" s="606"/>
    </row>
    <row r="11" spans="1:19" x14ac:dyDescent="0.3">
      <c r="A11" s="607"/>
      <c r="B11" s="608" t="s">
        <v>1886</v>
      </c>
      <c r="C11" s="609">
        <f>SUM(C3:C10)</f>
        <v>272228777.82641816</v>
      </c>
      <c r="D11" s="609">
        <f>SUM(D3:D10)</f>
        <v>2325600731.7128129</v>
      </c>
      <c r="E11" s="609">
        <f>SUM(E3:E10)</f>
        <v>2605766591.1992311</v>
      </c>
      <c r="F11" s="610">
        <f>SUM(F3:F10)</f>
        <v>382668524.77090001</v>
      </c>
      <c r="G11" s="610">
        <f>SUM(G3:G10)</f>
        <v>1894474670.8820624</v>
      </c>
      <c r="H11" s="610">
        <f>SUM(H3:H10)</f>
        <v>2277143195.6529627</v>
      </c>
      <c r="I11" s="1253">
        <f>SUM(I3:I10)</f>
        <v>497469082.20216995</v>
      </c>
      <c r="J11" s="1253">
        <f>SUM(J3:J10)</f>
        <v>2462817072.1466813</v>
      </c>
      <c r="K11" s="1253">
        <f>SUM(K3:K10)</f>
        <v>2960286154.3488507</v>
      </c>
      <c r="L11" s="611">
        <f t="shared" ref="C11:Q11" si="19">SUM(L3:L9)</f>
        <v>-653377939.18731821</v>
      </c>
      <c r="M11" s="611">
        <f t="shared" si="19"/>
        <v>431152153.3007502</v>
      </c>
      <c r="N11" s="611">
        <f t="shared" si="19"/>
        <v>-222225785.88656795</v>
      </c>
      <c r="O11" s="761">
        <f t="shared" si="19"/>
        <v>-224052775.79775184</v>
      </c>
      <c r="P11" s="761">
        <f t="shared" si="19"/>
        <v>-137174350.36386856</v>
      </c>
      <c r="Q11" s="761">
        <f t="shared" si="19"/>
        <v>-361227126.16162038</v>
      </c>
      <c r="R11" s="606"/>
    </row>
    <row r="12" spans="1:19" x14ac:dyDescent="0.3">
      <c r="A12" s="429"/>
      <c r="B12" s="429"/>
      <c r="C12" s="429"/>
      <c r="D12" s="429"/>
      <c r="E12" s="429"/>
      <c r="R12" s="606"/>
    </row>
    <row r="13" spans="1:19" x14ac:dyDescent="0.3">
      <c r="A13" s="429"/>
      <c r="B13" s="429"/>
      <c r="C13" s="429"/>
      <c r="D13" s="429"/>
      <c r="E13" s="429"/>
    </row>
    <row r="14" spans="1:19" x14ac:dyDescent="0.3">
      <c r="A14" s="429"/>
      <c r="B14" s="429"/>
      <c r="C14" s="429"/>
      <c r="D14" s="429"/>
      <c r="E14" s="429"/>
    </row>
    <row r="15" spans="1:19" x14ac:dyDescent="0.3">
      <c r="A15" s="429"/>
      <c r="B15" s="429"/>
      <c r="C15" s="429"/>
      <c r="D15" s="429"/>
      <c r="E15" s="429"/>
    </row>
    <row r="16" spans="1:19" x14ac:dyDescent="0.3">
      <c r="A16" s="429"/>
      <c r="B16" s="429"/>
      <c r="C16" s="429"/>
      <c r="D16" s="429"/>
      <c r="E16" s="429"/>
    </row>
    <row r="17" spans="1:5" x14ac:dyDescent="0.3">
      <c r="A17" s="429"/>
      <c r="B17" s="429"/>
      <c r="C17" s="429"/>
      <c r="D17" s="429"/>
      <c r="E17" s="429"/>
    </row>
    <row r="18" spans="1:5" x14ac:dyDescent="0.3">
      <c r="A18" s="429"/>
      <c r="B18" s="429"/>
      <c r="C18" s="429"/>
      <c r="D18" s="429"/>
      <c r="E18" s="429"/>
    </row>
    <row r="19" spans="1:5" x14ac:dyDescent="0.3">
      <c r="A19" s="429"/>
      <c r="B19" s="429"/>
      <c r="C19" s="429"/>
      <c r="D19" s="429"/>
      <c r="E19" s="429"/>
    </row>
  </sheetData>
  <mergeCells count="7">
    <mergeCell ref="O1:Q1"/>
    <mergeCell ref="A1:A2"/>
    <mergeCell ref="B1:B2"/>
    <mergeCell ref="C1:E1"/>
    <mergeCell ref="F1:H1"/>
    <mergeCell ref="L1:N1"/>
    <mergeCell ref="I1:K1"/>
  </mergeCells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O595"/>
  <sheetViews>
    <sheetView view="pageBreakPreview" zoomScale="50" zoomScaleNormal="60" zoomScaleSheetLayoutView="50" workbookViewId="0">
      <pane ySplit="4" topLeftCell="A567" activePane="bottomLeft" state="frozen"/>
      <selection pane="bottomLeft" activeCell="G558" sqref="G558:H594"/>
    </sheetView>
  </sheetViews>
  <sheetFormatPr defaultRowHeight="18" outlineLevelRow="1" x14ac:dyDescent="0.3"/>
  <cols>
    <col min="1" max="1" width="6.109375" customWidth="1"/>
    <col min="2" max="2" width="105.88671875" style="106" customWidth="1"/>
    <col min="3" max="3" width="13" style="106" customWidth="1"/>
    <col min="4" max="4" width="15.109375" style="574" customWidth="1"/>
    <col min="5" max="5" width="14.33203125" style="271" customWidth="1"/>
    <col min="6" max="6" width="19.6640625" style="198" customWidth="1"/>
    <col min="7" max="7" width="13.5546875" style="295" customWidth="1"/>
    <col min="8" max="8" width="19.109375" style="209" customWidth="1"/>
    <col min="9" max="9" width="17" style="271" customWidth="1"/>
    <col min="10" max="10" width="18.6640625" style="211" customWidth="1"/>
    <col min="11" max="11" width="26.109375" style="489" customWidth="1"/>
    <col min="12" max="12" width="26" customWidth="1"/>
    <col min="15" max="15" width="19.109375" customWidth="1"/>
  </cols>
  <sheetData>
    <row r="1" spans="1:12" ht="89.25" customHeight="1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2" ht="13.5" customHeight="1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1377</v>
      </c>
      <c r="H2" s="877"/>
      <c r="I2" s="880" t="s">
        <v>1376</v>
      </c>
      <c r="J2" s="881"/>
    </row>
    <row r="3" spans="1:12" ht="22.5" customHeight="1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2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2" s="483" customFormat="1" ht="19.5" customHeight="1" x14ac:dyDescent="0.35">
      <c r="A5" s="555"/>
      <c r="B5" s="884" t="s">
        <v>1388</v>
      </c>
      <c r="C5" s="885"/>
      <c r="D5" s="885"/>
      <c r="E5" s="558"/>
      <c r="F5" s="583"/>
      <c r="G5" s="560"/>
      <c r="H5" s="559"/>
      <c r="I5" s="561"/>
      <c r="J5" s="562"/>
      <c r="K5" s="490" t="s">
        <v>1887</v>
      </c>
    </row>
    <row r="6" spans="1:12" s="484" customFormat="1" ht="21.75" customHeight="1" x14ac:dyDescent="0.3">
      <c r="A6" s="486"/>
      <c r="B6" s="845" t="s">
        <v>1414</v>
      </c>
      <c r="C6" s="846"/>
      <c r="D6" s="846"/>
      <c r="E6" s="846"/>
      <c r="F6" s="846"/>
      <c r="G6" s="846"/>
      <c r="H6" s="846"/>
      <c r="I6" s="846"/>
      <c r="J6" s="847"/>
      <c r="K6" s="550" t="s">
        <v>1877</v>
      </c>
      <c r="L6" s="549"/>
    </row>
    <row r="7" spans="1:12" ht="22.5" customHeight="1" outlineLevel="1" x14ac:dyDescent="0.3">
      <c r="A7" s="443">
        <v>1</v>
      </c>
      <c r="B7" s="506" t="s">
        <v>1415</v>
      </c>
      <c r="C7" s="442" t="s">
        <v>5</v>
      </c>
      <c r="D7" s="565">
        <v>8179.4</v>
      </c>
      <c r="E7" s="480">
        <f>ROUND(F7/D7,2)</f>
        <v>0</v>
      </c>
      <c r="F7" s="585"/>
      <c r="G7" s="767">
        <v>57.23</v>
      </c>
      <c r="H7" s="785">
        <f>ROUND(G7*D7,2)</f>
        <v>468107.06</v>
      </c>
      <c r="I7" s="482">
        <f>ROUND(E7-G7,2)</f>
        <v>-57.23</v>
      </c>
      <c r="J7" s="481">
        <f t="shared" ref="J7:J8" si="0">F7-H7</f>
        <v>-468107.06</v>
      </c>
      <c r="K7" s="499">
        <v>66391.899999999994</v>
      </c>
      <c r="L7" s="582">
        <f>F5+'ТП М'!F5</f>
        <v>0</v>
      </c>
    </row>
    <row r="8" spans="1:12" ht="21" customHeight="1" outlineLevel="1" x14ac:dyDescent="0.3">
      <c r="A8" s="443">
        <f>A7+1</f>
        <v>2</v>
      </c>
      <c r="B8" s="506" t="s">
        <v>1417</v>
      </c>
      <c r="C8" s="442" t="s">
        <v>1416</v>
      </c>
      <c r="D8" s="565">
        <v>28</v>
      </c>
      <c r="E8" s="480">
        <f>ROUND(F8/D8,2)</f>
        <v>0</v>
      </c>
      <c r="F8" s="585"/>
      <c r="G8" s="767">
        <v>2000</v>
      </c>
      <c r="H8" s="785">
        <f>ROUND(G8*D8,2)</f>
        <v>56000</v>
      </c>
      <c r="I8" s="482">
        <f>ROUND(E8-G8,2)</f>
        <v>-2000</v>
      </c>
      <c r="J8" s="481">
        <f t="shared" si="0"/>
        <v>-56000</v>
      </c>
    </row>
    <row r="9" spans="1:12" s="484" customFormat="1" ht="15" customHeight="1" outlineLevel="1" x14ac:dyDescent="0.3">
      <c r="A9" s="502"/>
      <c r="B9" s="503" t="s">
        <v>1418</v>
      </c>
      <c r="C9" s="504"/>
      <c r="D9" s="505"/>
      <c r="E9" s="566"/>
      <c r="F9" s="586"/>
      <c r="G9" s="786"/>
      <c r="H9" s="787"/>
      <c r="I9" s="567"/>
      <c r="J9" s="590"/>
      <c r="K9" s="491"/>
    </row>
    <row r="10" spans="1:12" ht="35.25" customHeight="1" outlineLevel="1" x14ac:dyDescent="0.3">
      <c r="A10" s="443">
        <f>A8+1</f>
        <v>3</v>
      </c>
      <c r="B10" s="428" t="s">
        <v>1553</v>
      </c>
      <c r="C10" s="442" t="s">
        <v>17</v>
      </c>
      <c r="D10" s="565">
        <v>15144.36</v>
      </c>
      <c r="E10" s="575">
        <f t="shared" ref="E10:E16" si="1">ROUND(F10/D10,2)</f>
        <v>9.19</v>
      </c>
      <c r="F10" s="585">
        <v>139137.41</v>
      </c>
      <c r="G10" s="767">
        <v>208</v>
      </c>
      <c r="H10" s="785">
        <f>ROUND(G10*D10,2)</f>
        <v>3150026.88</v>
      </c>
      <c r="I10" s="482">
        <f>ROUND(E10-G10,2)</f>
        <v>-198.81</v>
      </c>
      <c r="J10" s="481">
        <f>F10-H10</f>
        <v>-3010889.4699999997</v>
      </c>
    </row>
    <row r="11" spans="1:12" ht="31.5" customHeight="1" outlineLevel="1" x14ac:dyDescent="0.3">
      <c r="A11" s="443">
        <f>A10+1</f>
        <v>4</v>
      </c>
      <c r="B11" s="428" t="s">
        <v>1419</v>
      </c>
      <c r="C11" s="442" t="s">
        <v>17</v>
      </c>
      <c r="D11" s="565">
        <v>15144.36</v>
      </c>
      <c r="E11" s="575">
        <f t="shared" si="1"/>
        <v>55.19</v>
      </c>
      <c r="F11" s="585">
        <v>835756.23</v>
      </c>
      <c r="G11" s="767">
        <v>260</v>
      </c>
      <c r="H11" s="785">
        <f>ROUND(G11*D11,2)</f>
        <v>3937533.6</v>
      </c>
      <c r="I11" s="482">
        <f>ROUND(E11-G11,2)</f>
        <v>-204.81</v>
      </c>
      <c r="J11" s="481">
        <f t="shared" ref="J11:J16" si="2">F11-H11</f>
        <v>-3101777.37</v>
      </c>
    </row>
    <row r="12" spans="1:12" ht="35.25" customHeight="1" outlineLevel="1" x14ac:dyDescent="0.3">
      <c r="A12" s="443">
        <f t="shared" ref="A12:A21" si="3">A11+1</f>
        <v>5</v>
      </c>
      <c r="B12" s="428" t="s">
        <v>1875</v>
      </c>
      <c r="C12" s="442" t="s">
        <v>28</v>
      </c>
      <c r="D12" s="565">
        <v>29531.5</v>
      </c>
      <c r="E12" s="575">
        <f t="shared" si="1"/>
        <v>187.58</v>
      </c>
      <c r="F12" s="585">
        <v>5539430.1799999997</v>
      </c>
      <c r="G12" s="767">
        <v>250</v>
      </c>
      <c r="H12" s="785">
        <f t="shared" ref="H12:H39" si="4">ROUND(G12*D12,2)</f>
        <v>7382875</v>
      </c>
      <c r="I12" s="482">
        <f t="shared" ref="I12:I38" si="5">ROUND(E12-G12,2)</f>
        <v>-62.42</v>
      </c>
      <c r="J12" s="481">
        <f t="shared" si="2"/>
        <v>-1843444.8200000003</v>
      </c>
    </row>
    <row r="13" spans="1:12" ht="36.75" customHeight="1" outlineLevel="1" x14ac:dyDescent="0.3">
      <c r="A13" s="443">
        <f t="shared" si="3"/>
        <v>6</v>
      </c>
      <c r="B13" s="428" t="s">
        <v>1554</v>
      </c>
      <c r="C13" s="442" t="s">
        <v>17</v>
      </c>
      <c r="D13" s="565">
        <v>596.39</v>
      </c>
      <c r="E13" s="575">
        <f t="shared" si="1"/>
        <v>9.19</v>
      </c>
      <c r="F13" s="585">
        <v>5479.27</v>
      </c>
      <c r="G13" s="767">
        <v>208</v>
      </c>
      <c r="H13" s="785">
        <f t="shared" si="4"/>
        <v>124049.12</v>
      </c>
      <c r="I13" s="482">
        <f t="shared" si="5"/>
        <v>-198.81</v>
      </c>
      <c r="J13" s="481">
        <f t="shared" si="2"/>
        <v>-118569.84999999999</v>
      </c>
    </row>
    <row r="14" spans="1:12" ht="29.25" customHeight="1" outlineLevel="1" x14ac:dyDescent="0.3">
      <c r="A14" s="443">
        <f t="shared" si="3"/>
        <v>7</v>
      </c>
      <c r="B14" s="428" t="s">
        <v>1421</v>
      </c>
      <c r="C14" s="442" t="s">
        <v>17</v>
      </c>
      <c r="D14" s="565">
        <v>596.39</v>
      </c>
      <c r="E14" s="575">
        <f t="shared" si="1"/>
        <v>55.19</v>
      </c>
      <c r="F14" s="585">
        <v>32912.370000000003</v>
      </c>
      <c r="G14" s="767">
        <v>260</v>
      </c>
      <c r="H14" s="785">
        <f t="shared" si="4"/>
        <v>155061.4</v>
      </c>
      <c r="I14" s="482">
        <f t="shared" si="5"/>
        <v>-204.81</v>
      </c>
      <c r="J14" s="481">
        <f t="shared" si="2"/>
        <v>-122149.03</v>
      </c>
    </row>
    <row r="15" spans="1:12" ht="21.75" customHeight="1" outlineLevel="1" x14ac:dyDescent="0.3">
      <c r="A15" s="443">
        <f t="shared" si="3"/>
        <v>8</v>
      </c>
      <c r="B15" s="428" t="s">
        <v>1420</v>
      </c>
      <c r="C15" s="442" t="s">
        <v>28</v>
      </c>
      <c r="D15" s="565">
        <v>1139.0999999999999</v>
      </c>
      <c r="E15" s="575">
        <f t="shared" si="1"/>
        <v>187.58</v>
      </c>
      <c r="F15" s="585">
        <v>213668.96</v>
      </c>
      <c r="G15" s="767">
        <v>250</v>
      </c>
      <c r="H15" s="785">
        <f t="shared" si="4"/>
        <v>284775</v>
      </c>
      <c r="I15" s="482">
        <f t="shared" si="5"/>
        <v>-62.42</v>
      </c>
      <c r="J15" s="481">
        <f t="shared" si="2"/>
        <v>-71106.040000000008</v>
      </c>
    </row>
    <row r="16" spans="1:12" ht="33.75" customHeight="1" outlineLevel="1" x14ac:dyDescent="0.3">
      <c r="A16" s="443">
        <f t="shared" si="3"/>
        <v>9</v>
      </c>
      <c r="B16" s="428" t="s">
        <v>1562</v>
      </c>
      <c r="C16" s="442" t="s">
        <v>17</v>
      </c>
      <c r="D16" s="565">
        <v>117.86</v>
      </c>
      <c r="E16" s="575">
        <f t="shared" si="1"/>
        <v>9.19</v>
      </c>
      <c r="F16" s="585">
        <v>1082.83</v>
      </c>
      <c r="G16" s="767">
        <v>208</v>
      </c>
      <c r="H16" s="785">
        <f t="shared" si="4"/>
        <v>24514.880000000001</v>
      </c>
      <c r="I16" s="482">
        <f t="shared" si="5"/>
        <v>-198.81</v>
      </c>
      <c r="J16" s="481">
        <f t="shared" si="2"/>
        <v>-23432.050000000003</v>
      </c>
    </row>
    <row r="17" spans="1:11" ht="21" customHeight="1" outlineLevel="1" x14ac:dyDescent="0.3">
      <c r="A17" s="443">
        <f t="shared" si="3"/>
        <v>10</v>
      </c>
      <c r="B17" s="428" t="s">
        <v>1422</v>
      </c>
      <c r="C17" s="442" t="s">
        <v>17</v>
      </c>
      <c r="D17" s="565">
        <v>117.86</v>
      </c>
      <c r="E17" s="575">
        <f t="shared" ref="E17:E21" si="6">ROUND(F17/D17,2)</f>
        <v>55.19</v>
      </c>
      <c r="F17" s="585">
        <v>6504.22</v>
      </c>
      <c r="G17" s="767">
        <v>260</v>
      </c>
      <c r="H17" s="785">
        <f t="shared" si="4"/>
        <v>30643.599999999999</v>
      </c>
      <c r="I17" s="482">
        <f t="shared" si="5"/>
        <v>-204.81</v>
      </c>
      <c r="J17" s="481">
        <f t="shared" ref="J17:J49" si="7">F17-H17</f>
        <v>-24139.379999999997</v>
      </c>
    </row>
    <row r="18" spans="1:11" ht="21.75" customHeight="1" outlineLevel="1" x14ac:dyDescent="0.3">
      <c r="A18" s="443">
        <f t="shared" si="3"/>
        <v>11</v>
      </c>
      <c r="B18" s="428" t="s">
        <v>1423</v>
      </c>
      <c r="C18" s="442" t="s">
        <v>28</v>
      </c>
      <c r="D18" s="565">
        <v>248.68</v>
      </c>
      <c r="E18" s="575">
        <f t="shared" si="6"/>
        <v>187.58</v>
      </c>
      <c r="F18" s="585">
        <v>46646.65</v>
      </c>
      <c r="G18" s="767">
        <v>250</v>
      </c>
      <c r="H18" s="785">
        <f t="shared" si="4"/>
        <v>62170</v>
      </c>
      <c r="I18" s="482">
        <f t="shared" si="5"/>
        <v>-62.42</v>
      </c>
      <c r="J18" s="481">
        <f t="shared" si="7"/>
        <v>-15523.349999999999</v>
      </c>
    </row>
    <row r="19" spans="1:11" ht="38.25" customHeight="1" outlineLevel="1" x14ac:dyDescent="0.3">
      <c r="A19" s="443">
        <f t="shared" si="3"/>
        <v>12</v>
      </c>
      <c r="B19" s="428" t="s">
        <v>1563</v>
      </c>
      <c r="C19" s="442" t="s">
        <v>17</v>
      </c>
      <c r="D19" s="565">
        <v>569.69000000000005</v>
      </c>
      <c r="E19" s="575">
        <f t="shared" si="6"/>
        <v>9.19</v>
      </c>
      <c r="F19" s="585">
        <v>5233.96</v>
      </c>
      <c r="G19" s="767">
        <v>208</v>
      </c>
      <c r="H19" s="785">
        <f t="shared" si="4"/>
        <v>118495.52</v>
      </c>
      <c r="I19" s="482">
        <f t="shared" si="5"/>
        <v>-198.81</v>
      </c>
      <c r="J19" s="481">
        <f t="shared" si="7"/>
        <v>-113261.56</v>
      </c>
    </row>
    <row r="20" spans="1:11" ht="32.25" customHeight="1" outlineLevel="1" x14ac:dyDescent="0.3">
      <c r="A20" s="443">
        <f t="shared" si="3"/>
        <v>13</v>
      </c>
      <c r="B20" s="428" t="s">
        <v>1424</v>
      </c>
      <c r="C20" s="442" t="s">
        <v>17</v>
      </c>
      <c r="D20" s="565">
        <v>569.69000000000005</v>
      </c>
      <c r="E20" s="575">
        <f t="shared" si="6"/>
        <v>55.19</v>
      </c>
      <c r="F20" s="585">
        <v>31438.89</v>
      </c>
      <c r="G20" s="767">
        <v>260</v>
      </c>
      <c r="H20" s="785">
        <f t="shared" si="4"/>
        <v>148119.4</v>
      </c>
      <c r="I20" s="482">
        <f t="shared" si="5"/>
        <v>-204.81</v>
      </c>
      <c r="J20" s="481">
        <f t="shared" si="7"/>
        <v>-116680.51</v>
      </c>
    </row>
    <row r="21" spans="1:11" ht="32.25" customHeight="1" outlineLevel="1" x14ac:dyDescent="0.3">
      <c r="A21" s="443">
        <f t="shared" si="3"/>
        <v>14</v>
      </c>
      <c r="B21" s="428" t="s">
        <v>1876</v>
      </c>
      <c r="C21" s="442" t="s">
        <v>28</v>
      </c>
      <c r="D21" s="565">
        <v>1110.8900000000001</v>
      </c>
      <c r="E21" s="575">
        <f t="shared" si="6"/>
        <v>187.58</v>
      </c>
      <c r="F21" s="585">
        <v>208379.29</v>
      </c>
      <c r="G21" s="767">
        <v>250</v>
      </c>
      <c r="H21" s="785">
        <f t="shared" si="4"/>
        <v>277722.5</v>
      </c>
      <c r="I21" s="482">
        <f t="shared" si="5"/>
        <v>-62.42</v>
      </c>
      <c r="J21" s="481">
        <f t="shared" si="7"/>
        <v>-69343.209999999992</v>
      </c>
    </row>
    <row r="22" spans="1:11" s="484" customFormat="1" ht="15" customHeight="1" outlineLevel="1" x14ac:dyDescent="0.3">
      <c r="A22" s="502"/>
      <c r="B22" s="503" t="s">
        <v>1425</v>
      </c>
      <c r="C22" s="504"/>
      <c r="D22" s="505"/>
      <c r="E22" s="566"/>
      <c r="F22" s="586"/>
      <c r="G22" s="786"/>
      <c r="H22" s="787"/>
      <c r="I22" s="567"/>
      <c r="J22" s="590"/>
      <c r="K22" s="491"/>
    </row>
    <row r="23" spans="1:11" ht="35.25" customHeight="1" outlineLevel="1" x14ac:dyDescent="0.3">
      <c r="A23" s="443">
        <f>A21+1</f>
        <v>15</v>
      </c>
      <c r="B23" s="428" t="s">
        <v>1426</v>
      </c>
      <c r="C23" s="442" t="s">
        <v>17</v>
      </c>
      <c r="D23" s="565">
        <v>5498.73</v>
      </c>
      <c r="E23" s="575">
        <f t="shared" ref="E23:E43" si="8">ROUND(F23/D23,2)</f>
        <v>605.71</v>
      </c>
      <c r="F23" s="585">
        <v>3330614.27</v>
      </c>
      <c r="G23" s="767">
        <v>1179.9000000000001</v>
      </c>
      <c r="H23" s="785">
        <f t="shared" si="4"/>
        <v>6487951.5300000003</v>
      </c>
      <c r="I23" s="482">
        <f t="shared" si="5"/>
        <v>-574.19000000000005</v>
      </c>
      <c r="J23" s="481">
        <f t="shared" ref="J23:J38" si="9">F23-H23</f>
        <v>-3157337.2600000002</v>
      </c>
    </row>
    <row r="24" spans="1:11" ht="31.5" customHeight="1" outlineLevel="1" x14ac:dyDescent="0.3">
      <c r="A24" s="443">
        <f>A23+1</f>
        <v>16</v>
      </c>
      <c r="B24" s="428" t="s">
        <v>1427</v>
      </c>
      <c r="C24" s="442" t="s">
        <v>20</v>
      </c>
      <c r="D24" s="568">
        <v>27584</v>
      </c>
      <c r="E24" s="575">
        <f t="shared" si="8"/>
        <v>86.71</v>
      </c>
      <c r="F24" s="585">
        <v>2391672.98</v>
      </c>
      <c r="G24" s="767">
        <v>80</v>
      </c>
      <c r="H24" s="785">
        <f t="shared" si="4"/>
        <v>2206720</v>
      </c>
      <c r="I24" s="482">
        <f t="shared" si="5"/>
        <v>6.71</v>
      </c>
      <c r="J24" s="481">
        <f t="shared" si="9"/>
        <v>184952.97999999998</v>
      </c>
    </row>
    <row r="25" spans="1:11" ht="35.25" customHeight="1" outlineLevel="1" x14ac:dyDescent="0.3">
      <c r="A25" s="443">
        <f>A24+1</f>
        <v>17</v>
      </c>
      <c r="B25" s="428" t="s">
        <v>1428</v>
      </c>
      <c r="C25" s="442" t="s">
        <v>20</v>
      </c>
      <c r="D25" s="568">
        <v>16253</v>
      </c>
      <c r="E25" s="575">
        <f t="shared" si="8"/>
        <v>104.5</v>
      </c>
      <c r="F25" s="585">
        <v>1698506.35</v>
      </c>
      <c r="G25" s="767">
        <v>100</v>
      </c>
      <c r="H25" s="785">
        <f t="shared" si="4"/>
        <v>1625300</v>
      </c>
      <c r="I25" s="482">
        <f t="shared" si="5"/>
        <v>4.5</v>
      </c>
      <c r="J25" s="481">
        <f t="shared" si="9"/>
        <v>73206.350000000093</v>
      </c>
    </row>
    <row r="26" spans="1:11" ht="30" customHeight="1" outlineLevel="1" x14ac:dyDescent="0.3">
      <c r="A26" s="443">
        <f>A25+1</f>
        <v>18</v>
      </c>
      <c r="B26" s="428" t="s">
        <v>1451</v>
      </c>
      <c r="C26" s="442" t="s">
        <v>17</v>
      </c>
      <c r="D26" s="565">
        <v>341.41</v>
      </c>
      <c r="E26" s="576">
        <f t="shared" si="8"/>
        <v>2459.25</v>
      </c>
      <c r="F26" s="587">
        <v>839612.54</v>
      </c>
      <c r="G26" s="767">
        <v>2459.25</v>
      </c>
      <c r="H26" s="785">
        <f>ROUND(G26*D26,2)</f>
        <v>839612.54</v>
      </c>
      <c r="I26" s="482">
        <f t="shared" si="5"/>
        <v>0</v>
      </c>
      <c r="J26" s="481">
        <f>ROUND(F26-H26,0)</f>
        <v>0</v>
      </c>
      <c r="K26" s="515">
        <v>8935.5300000000007</v>
      </c>
    </row>
    <row r="27" spans="1:11" ht="30" customHeight="1" outlineLevel="1" x14ac:dyDescent="0.3">
      <c r="A27" s="443">
        <f>A26+1</f>
        <v>19</v>
      </c>
      <c r="B27" s="428" t="s">
        <v>1452</v>
      </c>
      <c r="C27" s="442" t="s">
        <v>17</v>
      </c>
      <c r="D27" s="565">
        <v>1593.26</v>
      </c>
      <c r="E27" s="576">
        <f t="shared" si="8"/>
        <v>2459.25</v>
      </c>
      <c r="F27" s="587">
        <v>3918224.66</v>
      </c>
      <c r="G27" s="767">
        <v>2459.25</v>
      </c>
      <c r="H27" s="785">
        <f t="shared" si="4"/>
        <v>3918224.66</v>
      </c>
      <c r="I27" s="482">
        <f t="shared" si="5"/>
        <v>0</v>
      </c>
      <c r="J27" s="481">
        <f t="shared" si="9"/>
        <v>0</v>
      </c>
    </row>
    <row r="28" spans="1:11" ht="30" customHeight="1" outlineLevel="1" x14ac:dyDescent="0.3">
      <c r="A28" s="443">
        <f t="shared" ref="A28:A39" si="10">A27+1</f>
        <v>20</v>
      </c>
      <c r="B28" s="428" t="s">
        <v>1453</v>
      </c>
      <c r="C28" s="442" t="s">
        <v>17</v>
      </c>
      <c r="D28" s="565">
        <v>85.51</v>
      </c>
      <c r="E28" s="576">
        <f>ROUND(F28/D28,2)</f>
        <v>2459.25</v>
      </c>
      <c r="F28" s="587">
        <v>210290.47</v>
      </c>
      <c r="G28" s="767">
        <v>2459.25</v>
      </c>
      <c r="H28" s="785">
        <f t="shared" si="4"/>
        <v>210290.47</v>
      </c>
      <c r="I28" s="482">
        <f t="shared" si="5"/>
        <v>0</v>
      </c>
      <c r="J28" s="481">
        <f t="shared" si="9"/>
        <v>0</v>
      </c>
    </row>
    <row r="29" spans="1:11" ht="30" customHeight="1" outlineLevel="1" x14ac:dyDescent="0.3">
      <c r="A29" s="443">
        <f t="shared" si="10"/>
        <v>21</v>
      </c>
      <c r="B29" s="428" t="s">
        <v>1454</v>
      </c>
      <c r="C29" s="442" t="s">
        <v>17</v>
      </c>
      <c r="D29" s="565">
        <v>551.11</v>
      </c>
      <c r="E29" s="576">
        <f t="shared" si="8"/>
        <v>2459.25</v>
      </c>
      <c r="F29" s="587">
        <v>1355317.27</v>
      </c>
      <c r="G29" s="767">
        <v>2459.25</v>
      </c>
      <c r="H29" s="785">
        <f t="shared" si="4"/>
        <v>1355317.27</v>
      </c>
      <c r="I29" s="482">
        <f t="shared" si="5"/>
        <v>0</v>
      </c>
      <c r="J29" s="481">
        <f t="shared" si="9"/>
        <v>0</v>
      </c>
    </row>
    <row r="30" spans="1:11" ht="30" customHeight="1" outlineLevel="1" x14ac:dyDescent="0.3">
      <c r="A30" s="443">
        <f t="shared" si="10"/>
        <v>22</v>
      </c>
      <c r="B30" s="428" t="s">
        <v>1455</v>
      </c>
      <c r="C30" s="442" t="s">
        <v>17</v>
      </c>
      <c r="D30" s="565">
        <v>236.63</v>
      </c>
      <c r="E30" s="576">
        <f t="shared" si="8"/>
        <v>2459.25</v>
      </c>
      <c r="F30" s="587">
        <v>581932.32999999996</v>
      </c>
      <c r="G30" s="767">
        <v>2459.25</v>
      </c>
      <c r="H30" s="785">
        <f t="shared" si="4"/>
        <v>581932.32999999996</v>
      </c>
      <c r="I30" s="482">
        <f t="shared" si="5"/>
        <v>0</v>
      </c>
      <c r="J30" s="481">
        <f t="shared" si="9"/>
        <v>0</v>
      </c>
    </row>
    <row r="31" spans="1:11" ht="30" customHeight="1" outlineLevel="1" x14ac:dyDescent="0.3">
      <c r="A31" s="443">
        <f t="shared" si="10"/>
        <v>23</v>
      </c>
      <c r="B31" s="428" t="s">
        <v>1456</v>
      </c>
      <c r="C31" s="442" t="s">
        <v>17</v>
      </c>
      <c r="D31" s="565">
        <v>331.87</v>
      </c>
      <c r="E31" s="576">
        <f t="shared" si="8"/>
        <v>2459.25</v>
      </c>
      <c r="F31" s="587">
        <v>816151.3</v>
      </c>
      <c r="G31" s="767">
        <v>2459.25</v>
      </c>
      <c r="H31" s="785">
        <f t="shared" si="4"/>
        <v>816151.3</v>
      </c>
      <c r="I31" s="482">
        <f t="shared" si="5"/>
        <v>0</v>
      </c>
      <c r="J31" s="481">
        <f t="shared" si="9"/>
        <v>0</v>
      </c>
    </row>
    <row r="32" spans="1:11" ht="30" customHeight="1" outlineLevel="1" x14ac:dyDescent="0.3">
      <c r="A32" s="443">
        <f t="shared" si="10"/>
        <v>24</v>
      </c>
      <c r="B32" s="428" t="s">
        <v>1457</v>
      </c>
      <c r="C32" s="442" t="s">
        <v>17</v>
      </c>
      <c r="D32" s="565">
        <v>3910.3</v>
      </c>
      <c r="E32" s="576">
        <f t="shared" si="8"/>
        <v>2459.25</v>
      </c>
      <c r="F32" s="587">
        <v>9616405.2799999993</v>
      </c>
      <c r="G32" s="767">
        <v>2459.25</v>
      </c>
      <c r="H32" s="785">
        <f t="shared" si="4"/>
        <v>9616405.2799999993</v>
      </c>
      <c r="I32" s="482">
        <f t="shared" si="5"/>
        <v>0</v>
      </c>
      <c r="J32" s="481">
        <f t="shared" si="9"/>
        <v>0</v>
      </c>
    </row>
    <row r="33" spans="1:11" ht="30" customHeight="1" outlineLevel="1" x14ac:dyDescent="0.3">
      <c r="A33" s="443">
        <f t="shared" si="10"/>
        <v>25</v>
      </c>
      <c r="B33" s="428" t="s">
        <v>1461</v>
      </c>
      <c r="C33" s="442" t="s">
        <v>17</v>
      </c>
      <c r="D33" s="565">
        <v>744.86</v>
      </c>
      <c r="E33" s="576">
        <f t="shared" si="8"/>
        <v>2459.25</v>
      </c>
      <c r="F33" s="587">
        <v>1831796.96</v>
      </c>
      <c r="G33" s="767">
        <v>2459.25</v>
      </c>
      <c r="H33" s="785">
        <f t="shared" si="4"/>
        <v>1831796.96</v>
      </c>
      <c r="I33" s="482">
        <f t="shared" si="5"/>
        <v>0</v>
      </c>
      <c r="J33" s="481">
        <f t="shared" si="9"/>
        <v>0</v>
      </c>
    </row>
    <row r="34" spans="1:11" ht="30" customHeight="1" outlineLevel="1" x14ac:dyDescent="0.3">
      <c r="A34" s="443">
        <f t="shared" si="10"/>
        <v>26</v>
      </c>
      <c r="B34" s="428" t="s">
        <v>1462</v>
      </c>
      <c r="C34" s="442" t="s">
        <v>17</v>
      </c>
      <c r="D34" s="565">
        <v>484.91</v>
      </c>
      <c r="E34" s="576">
        <f t="shared" si="8"/>
        <v>2459.25</v>
      </c>
      <c r="F34" s="587">
        <v>1192514.92</v>
      </c>
      <c r="G34" s="767">
        <v>2459.25</v>
      </c>
      <c r="H34" s="785">
        <f t="shared" si="4"/>
        <v>1192514.92</v>
      </c>
      <c r="I34" s="482">
        <f t="shared" si="5"/>
        <v>0</v>
      </c>
      <c r="J34" s="481">
        <f t="shared" si="9"/>
        <v>0</v>
      </c>
    </row>
    <row r="35" spans="1:11" ht="33" customHeight="1" outlineLevel="1" x14ac:dyDescent="0.3">
      <c r="A35" s="443">
        <f t="shared" si="10"/>
        <v>27</v>
      </c>
      <c r="B35" s="428" t="s">
        <v>1463</v>
      </c>
      <c r="C35" s="442" t="s">
        <v>17</v>
      </c>
      <c r="D35" s="565">
        <v>59.03</v>
      </c>
      <c r="E35" s="576">
        <f t="shared" si="8"/>
        <v>2459.25</v>
      </c>
      <c r="F35" s="587">
        <v>145169.53</v>
      </c>
      <c r="G35" s="767">
        <v>2459.25</v>
      </c>
      <c r="H35" s="785">
        <f t="shared" si="4"/>
        <v>145169.53</v>
      </c>
      <c r="I35" s="482">
        <f t="shared" si="5"/>
        <v>0</v>
      </c>
      <c r="J35" s="481">
        <f t="shared" si="9"/>
        <v>0</v>
      </c>
    </row>
    <row r="36" spans="1:11" ht="36" customHeight="1" outlineLevel="1" x14ac:dyDescent="0.3">
      <c r="A36" s="443">
        <f t="shared" si="10"/>
        <v>28</v>
      </c>
      <c r="B36" s="428" t="s">
        <v>1464</v>
      </c>
      <c r="C36" s="442" t="s">
        <v>17</v>
      </c>
      <c r="D36" s="565">
        <v>197.21</v>
      </c>
      <c r="E36" s="576">
        <f t="shared" si="8"/>
        <v>2459.25</v>
      </c>
      <c r="F36" s="587">
        <v>484988.69</v>
      </c>
      <c r="G36" s="767">
        <v>2459.25</v>
      </c>
      <c r="H36" s="785">
        <f t="shared" si="4"/>
        <v>484988.69</v>
      </c>
      <c r="I36" s="482">
        <f t="shared" si="5"/>
        <v>0</v>
      </c>
      <c r="J36" s="481">
        <f t="shared" si="9"/>
        <v>0</v>
      </c>
    </row>
    <row r="37" spans="1:11" ht="32.25" customHeight="1" outlineLevel="1" x14ac:dyDescent="0.3">
      <c r="A37" s="443">
        <f t="shared" si="10"/>
        <v>29</v>
      </c>
      <c r="B37" s="428" t="s">
        <v>1459</v>
      </c>
      <c r="C37" s="442" t="s">
        <v>17</v>
      </c>
      <c r="D37" s="565">
        <v>123.14</v>
      </c>
      <c r="E37" s="576">
        <f t="shared" si="8"/>
        <v>2459.25</v>
      </c>
      <c r="F37" s="587">
        <v>302832.05</v>
      </c>
      <c r="G37" s="767">
        <v>2459.25</v>
      </c>
      <c r="H37" s="785">
        <f t="shared" si="4"/>
        <v>302832.05</v>
      </c>
      <c r="I37" s="482">
        <f t="shared" si="5"/>
        <v>0</v>
      </c>
      <c r="J37" s="481">
        <f t="shared" si="9"/>
        <v>0</v>
      </c>
    </row>
    <row r="38" spans="1:11" ht="33.75" customHeight="1" outlineLevel="1" x14ac:dyDescent="0.3">
      <c r="A38" s="443">
        <f t="shared" si="10"/>
        <v>30</v>
      </c>
      <c r="B38" s="428" t="s">
        <v>1458</v>
      </c>
      <c r="C38" s="442" t="s">
        <v>17</v>
      </c>
      <c r="D38" s="565">
        <v>224.93</v>
      </c>
      <c r="E38" s="576">
        <f t="shared" si="8"/>
        <v>2459.25</v>
      </c>
      <c r="F38" s="587">
        <v>553159.1</v>
      </c>
      <c r="G38" s="767">
        <v>2459.25</v>
      </c>
      <c r="H38" s="785">
        <f t="shared" si="4"/>
        <v>553159.1</v>
      </c>
      <c r="I38" s="482">
        <f t="shared" si="5"/>
        <v>0</v>
      </c>
      <c r="J38" s="481">
        <f t="shared" si="9"/>
        <v>0</v>
      </c>
      <c r="K38" s="478"/>
    </row>
    <row r="39" spans="1:11" ht="33.75" customHeight="1" outlineLevel="1" x14ac:dyDescent="0.3">
      <c r="A39" s="443">
        <f t="shared" si="10"/>
        <v>31</v>
      </c>
      <c r="B39" s="428" t="s">
        <v>1460</v>
      </c>
      <c r="C39" s="442" t="s">
        <v>17</v>
      </c>
      <c r="D39" s="565">
        <v>51.36</v>
      </c>
      <c r="E39" s="577">
        <f t="shared" si="8"/>
        <v>2459.25</v>
      </c>
      <c r="F39" s="587">
        <v>126307.08</v>
      </c>
      <c r="G39" s="767">
        <v>2459.25</v>
      </c>
      <c r="H39" s="785">
        <f t="shared" si="4"/>
        <v>126307.08</v>
      </c>
      <c r="I39" s="482">
        <f>ROUND(E39-G39,2)</f>
        <v>0</v>
      </c>
      <c r="J39" s="481">
        <f>F39-H39</f>
        <v>0</v>
      </c>
      <c r="K39" s="478"/>
    </row>
    <row r="40" spans="1:11" s="484" customFormat="1" ht="15" customHeight="1" outlineLevel="1" x14ac:dyDescent="0.3">
      <c r="A40" s="502"/>
      <c r="B40" s="503" t="s">
        <v>1450</v>
      </c>
      <c r="C40" s="504"/>
      <c r="D40" s="505"/>
      <c r="E40" s="566"/>
      <c r="F40" s="586"/>
      <c r="G40" s="786"/>
      <c r="H40" s="787"/>
      <c r="I40" s="567"/>
      <c r="J40" s="590"/>
      <c r="K40" s="491"/>
    </row>
    <row r="41" spans="1:11" ht="30.75" customHeight="1" outlineLevel="1" x14ac:dyDescent="0.3">
      <c r="A41" s="852">
        <f>A39+1</f>
        <v>32</v>
      </c>
      <c r="B41" s="428" t="s">
        <v>1679</v>
      </c>
      <c r="C41" s="442" t="s">
        <v>5</v>
      </c>
      <c r="D41" s="565">
        <v>7067.33</v>
      </c>
      <c r="E41" s="854">
        <f t="shared" si="8"/>
        <v>1909.52</v>
      </c>
      <c r="F41" s="856">
        <v>13495178</v>
      </c>
      <c r="G41" s="860">
        <v>1909.52</v>
      </c>
      <c r="H41" s="843">
        <v>13495178</v>
      </c>
      <c r="I41" s="848">
        <f>ROUND(E41-G41,2)</f>
        <v>0</v>
      </c>
      <c r="J41" s="850">
        <f>F41-H41-H42</f>
        <v>0</v>
      </c>
    </row>
    <row r="42" spans="1:11" ht="30" customHeight="1" outlineLevel="1" x14ac:dyDescent="0.3">
      <c r="A42" s="853"/>
      <c r="B42" s="428" t="s">
        <v>1443</v>
      </c>
      <c r="C42" s="442" t="s">
        <v>40</v>
      </c>
      <c r="D42" s="568">
        <f>1232</f>
        <v>1232</v>
      </c>
      <c r="E42" s="855"/>
      <c r="F42" s="857"/>
      <c r="G42" s="862"/>
      <c r="H42" s="844"/>
      <c r="I42" s="849"/>
      <c r="J42" s="851"/>
    </row>
    <row r="43" spans="1:11" ht="33.75" customHeight="1" outlineLevel="1" x14ac:dyDescent="0.3">
      <c r="A43" s="554">
        <f>A41+1</f>
        <v>33</v>
      </c>
      <c r="B43" s="428" t="s">
        <v>1677</v>
      </c>
      <c r="C43" s="442" t="s">
        <v>5</v>
      </c>
      <c r="D43" s="565">
        <v>126.71</v>
      </c>
      <c r="E43" s="576">
        <f t="shared" si="8"/>
        <v>2591.8000000000002</v>
      </c>
      <c r="F43" s="588">
        <v>328406.98</v>
      </c>
      <c r="G43" s="767">
        <v>2591.8000000000002</v>
      </c>
      <c r="H43" s="785">
        <f>ROUND(G43*D43,2)</f>
        <v>328406.98</v>
      </c>
      <c r="I43" s="482">
        <f>ROUND(E43-G43,2)</f>
        <v>0</v>
      </c>
      <c r="J43" s="578">
        <f>F43-H43</f>
        <v>0</v>
      </c>
      <c r="K43" s="489">
        <f>E43*D43</f>
        <v>328406.978</v>
      </c>
    </row>
    <row r="44" spans="1:11" ht="33.75" customHeight="1" outlineLevel="1" x14ac:dyDescent="0.3">
      <c r="A44" s="852">
        <f>A43+1</f>
        <v>34</v>
      </c>
      <c r="B44" s="428" t="s">
        <v>1676</v>
      </c>
      <c r="C44" s="442" t="s">
        <v>5</v>
      </c>
      <c r="D44" s="565">
        <v>276.29000000000002</v>
      </c>
      <c r="E44" s="854">
        <f>F44/D44</f>
        <v>1909.5199971044917</v>
      </c>
      <c r="F44" s="856">
        <v>527581.28</v>
      </c>
      <c r="G44" s="860">
        <v>1909.52</v>
      </c>
      <c r="H44" s="843">
        <f>ROUND(G44*D44,2)</f>
        <v>527581.28</v>
      </c>
      <c r="I44" s="848">
        <f>ROUND(E44-G44,2)</f>
        <v>0</v>
      </c>
      <c r="J44" s="850">
        <f>F44-H44-H45</f>
        <v>0</v>
      </c>
    </row>
    <row r="45" spans="1:11" ht="30" customHeight="1" outlineLevel="1" x14ac:dyDescent="0.3">
      <c r="A45" s="853"/>
      <c r="B45" s="428" t="s">
        <v>1585</v>
      </c>
      <c r="C45" s="442" t="s">
        <v>40</v>
      </c>
      <c r="D45" s="568">
        <v>208</v>
      </c>
      <c r="E45" s="855"/>
      <c r="F45" s="857"/>
      <c r="G45" s="862"/>
      <c r="H45" s="844"/>
      <c r="I45" s="849"/>
      <c r="J45" s="851"/>
    </row>
    <row r="46" spans="1:11" ht="34.5" customHeight="1" outlineLevel="1" x14ac:dyDescent="0.3">
      <c r="A46" s="852">
        <f>A44+1</f>
        <v>35</v>
      </c>
      <c r="B46" s="428" t="s">
        <v>1678</v>
      </c>
      <c r="C46" s="442" t="s">
        <v>5</v>
      </c>
      <c r="D46" s="565">
        <v>565.09</v>
      </c>
      <c r="E46" s="854">
        <f>F46/D46</f>
        <v>2591.7999964607407</v>
      </c>
      <c r="F46" s="856">
        <v>1464600.26</v>
      </c>
      <c r="G46" s="860">
        <v>2591.8000000000002</v>
      </c>
      <c r="H46" s="843">
        <f>ROUND(G46*D46,2)</f>
        <v>1464600.26</v>
      </c>
      <c r="I46" s="848">
        <f>ROUND(E46-G46,2)</f>
        <v>0</v>
      </c>
      <c r="J46" s="850">
        <f>F46-H46</f>
        <v>0</v>
      </c>
    </row>
    <row r="47" spans="1:11" ht="30" customHeight="1" outlineLevel="1" x14ac:dyDescent="0.3">
      <c r="A47" s="853"/>
      <c r="B47" s="428" t="s">
        <v>1754</v>
      </c>
      <c r="C47" s="442" t="s">
        <v>40</v>
      </c>
      <c r="D47" s="568">
        <v>48</v>
      </c>
      <c r="E47" s="855"/>
      <c r="F47" s="857"/>
      <c r="G47" s="862"/>
      <c r="H47" s="844"/>
      <c r="I47" s="849"/>
      <c r="J47" s="851"/>
    </row>
    <row r="48" spans="1:11" ht="49.5" customHeight="1" outlineLevel="1" x14ac:dyDescent="0.3">
      <c r="A48" s="443">
        <f>A46+1</f>
        <v>36</v>
      </c>
      <c r="B48" s="428" t="s">
        <v>1675</v>
      </c>
      <c r="C48" s="442" t="s">
        <v>1385</v>
      </c>
      <c r="D48" s="568">
        <v>1</v>
      </c>
      <c r="E48" s="575">
        <f t="shared" ref="E48:E51" si="11">ROUND(F48/D48,2)</f>
        <v>154091.81</v>
      </c>
      <c r="F48" s="585">
        <f>206933.53-52841.72</f>
        <v>154091.81</v>
      </c>
      <c r="G48" s="770">
        <v>154091.81</v>
      </c>
      <c r="H48" s="785">
        <f t="shared" ref="H48:H106" si="12">ROUND(G48*D48,2)</f>
        <v>154091.81</v>
      </c>
      <c r="I48" s="482">
        <f t="shared" ref="I48:I111" si="13">ROUND(E48-G48,2)</f>
        <v>0</v>
      </c>
      <c r="J48" s="579">
        <f t="shared" si="7"/>
        <v>0</v>
      </c>
    </row>
    <row r="49" spans="1:11" ht="21.75" customHeight="1" outlineLevel="1" x14ac:dyDescent="0.3">
      <c r="A49" s="443">
        <f t="shared" ref="A49:A53" si="14">A48+1</f>
        <v>37</v>
      </c>
      <c r="B49" s="428" t="s">
        <v>1436</v>
      </c>
      <c r="C49" s="442" t="s">
        <v>40</v>
      </c>
      <c r="D49" s="568">
        <v>1</v>
      </c>
      <c r="E49" s="575">
        <f t="shared" si="11"/>
        <v>11294.3</v>
      </c>
      <c r="F49" s="585">
        <v>11294.3</v>
      </c>
      <c r="G49" s="767">
        <v>11294.3</v>
      </c>
      <c r="H49" s="785">
        <f t="shared" si="12"/>
        <v>11294.3</v>
      </c>
      <c r="I49" s="482">
        <f t="shared" si="13"/>
        <v>0</v>
      </c>
      <c r="J49" s="481">
        <f t="shared" si="7"/>
        <v>0</v>
      </c>
    </row>
    <row r="50" spans="1:11" ht="51" customHeight="1" outlineLevel="1" x14ac:dyDescent="0.3">
      <c r="A50" s="443">
        <f t="shared" si="14"/>
        <v>38</v>
      </c>
      <c r="B50" s="428" t="s">
        <v>1673</v>
      </c>
      <c r="C50" s="442" t="s">
        <v>1385</v>
      </c>
      <c r="D50" s="568">
        <v>1</v>
      </c>
      <c r="E50" s="575">
        <f t="shared" si="11"/>
        <v>310343.71999999997</v>
      </c>
      <c r="F50" s="585">
        <f>410994.62-100650.9</f>
        <v>310343.71999999997</v>
      </c>
      <c r="G50" s="770">
        <v>310343.71999999997</v>
      </c>
      <c r="H50" s="785">
        <f t="shared" si="12"/>
        <v>310343.71999999997</v>
      </c>
      <c r="I50" s="482">
        <f t="shared" si="13"/>
        <v>0</v>
      </c>
      <c r="J50" s="481">
        <f t="shared" ref="J50" si="15">F50-H50</f>
        <v>0</v>
      </c>
    </row>
    <row r="51" spans="1:11" ht="50.25" customHeight="1" outlineLevel="1" x14ac:dyDescent="0.3">
      <c r="A51" s="443">
        <f t="shared" si="14"/>
        <v>39</v>
      </c>
      <c r="B51" s="428" t="s">
        <v>1674</v>
      </c>
      <c r="C51" s="442" t="s">
        <v>1385</v>
      </c>
      <c r="D51" s="568">
        <v>1</v>
      </c>
      <c r="E51" s="575">
        <f t="shared" si="11"/>
        <v>435956.7</v>
      </c>
      <c r="F51" s="585">
        <f>569319.14-133362.44</f>
        <v>435956.7</v>
      </c>
      <c r="G51" s="770">
        <v>435956.7</v>
      </c>
      <c r="H51" s="785">
        <f t="shared" si="12"/>
        <v>435956.7</v>
      </c>
      <c r="I51" s="482">
        <f t="shared" si="13"/>
        <v>0</v>
      </c>
      <c r="J51" s="481">
        <f t="shared" ref="J51:J52" si="16">F51-H51</f>
        <v>0</v>
      </c>
    </row>
    <row r="52" spans="1:11" ht="21.75" customHeight="1" outlineLevel="1" x14ac:dyDescent="0.3">
      <c r="A52" s="443">
        <f t="shared" si="14"/>
        <v>40</v>
      </c>
      <c r="B52" s="428" t="s">
        <v>1436</v>
      </c>
      <c r="C52" s="442" t="s">
        <v>40</v>
      </c>
      <c r="D52" s="568">
        <v>1</v>
      </c>
      <c r="E52" s="575">
        <f t="shared" ref="E52" si="17">ROUND(F52/D52,2)</f>
        <v>11294.3</v>
      </c>
      <c r="F52" s="585">
        <v>11294.3</v>
      </c>
      <c r="G52" s="767">
        <v>11294.3</v>
      </c>
      <c r="H52" s="785">
        <f t="shared" si="12"/>
        <v>11294.3</v>
      </c>
      <c r="I52" s="482">
        <f t="shared" si="13"/>
        <v>0</v>
      </c>
      <c r="J52" s="481">
        <f t="shared" si="16"/>
        <v>0</v>
      </c>
    </row>
    <row r="53" spans="1:11" ht="50.25" customHeight="1" outlineLevel="1" x14ac:dyDescent="0.3">
      <c r="A53" s="443">
        <f t="shared" si="14"/>
        <v>41</v>
      </c>
      <c r="B53" s="428" t="s">
        <v>1444</v>
      </c>
      <c r="C53" s="442" t="s">
        <v>40</v>
      </c>
      <c r="D53" s="568">
        <v>52</v>
      </c>
      <c r="E53" s="575">
        <f t="shared" ref="E53" si="18">ROUND(F53/D53,2)</f>
        <v>1456.03</v>
      </c>
      <c r="F53" s="585">
        <f>91163.97-1109.71-14340.47</f>
        <v>75713.789999999994</v>
      </c>
      <c r="G53" s="767">
        <v>1456.03</v>
      </c>
      <c r="H53" s="785">
        <f t="shared" si="12"/>
        <v>75713.56</v>
      </c>
      <c r="I53" s="482">
        <f t="shared" si="13"/>
        <v>0</v>
      </c>
      <c r="J53" s="481">
        <f t="shared" ref="J53:J114" si="19">F53-H53</f>
        <v>0.22999999999592546</v>
      </c>
    </row>
    <row r="54" spans="1:11" ht="23.25" customHeight="1" outlineLevel="1" x14ac:dyDescent="0.3">
      <c r="A54" s="443">
        <f t="shared" ref="A54:A62" si="20">A53+1</f>
        <v>42</v>
      </c>
      <c r="B54" s="428" t="s">
        <v>1445</v>
      </c>
      <c r="C54" s="442" t="s">
        <v>40</v>
      </c>
      <c r="D54" s="568">
        <v>52</v>
      </c>
      <c r="E54" s="575">
        <f t="shared" ref="E54" si="21">ROUND(F54/D54,2)</f>
        <v>1019.22</v>
      </c>
      <c r="F54" s="585">
        <f>52999.44</f>
        <v>52999.44</v>
      </c>
      <c r="G54" s="767">
        <v>1019.22</v>
      </c>
      <c r="H54" s="785">
        <f t="shared" si="12"/>
        <v>52999.44</v>
      </c>
      <c r="I54" s="482">
        <f t="shared" si="13"/>
        <v>0</v>
      </c>
      <c r="J54" s="481">
        <f t="shared" ref="J54" si="22">F54-H54</f>
        <v>0</v>
      </c>
    </row>
    <row r="55" spans="1:11" s="484" customFormat="1" ht="15" customHeight="1" outlineLevel="1" x14ac:dyDescent="0.3">
      <c r="A55" s="502"/>
      <c r="B55" s="503" t="s">
        <v>1477</v>
      </c>
      <c r="C55" s="504"/>
      <c r="D55" s="505"/>
      <c r="E55" s="566"/>
      <c r="F55" s="586"/>
      <c r="G55" s="786"/>
      <c r="H55" s="787"/>
      <c r="I55" s="567"/>
      <c r="J55" s="590"/>
      <c r="K55" s="491"/>
    </row>
    <row r="56" spans="1:11" ht="21.75" customHeight="1" outlineLevel="1" x14ac:dyDescent="0.3">
      <c r="A56" s="443">
        <f>A54+1</f>
        <v>43</v>
      </c>
      <c r="B56" s="428" t="s">
        <v>1468</v>
      </c>
      <c r="C56" s="442" t="s">
        <v>1446</v>
      </c>
      <c r="D56" s="568">
        <v>1232</v>
      </c>
      <c r="E56" s="575">
        <f>ROUND(F56/D56,2)</f>
        <v>3561.88</v>
      </c>
      <c r="F56" s="585">
        <f>4388235.98</f>
        <v>4388235.9800000004</v>
      </c>
      <c r="G56" s="767">
        <v>15000</v>
      </c>
      <c r="H56" s="785">
        <f t="shared" si="12"/>
        <v>18480000</v>
      </c>
      <c r="I56" s="482">
        <f t="shared" si="13"/>
        <v>-11438.12</v>
      </c>
      <c r="J56" s="481">
        <f t="shared" si="19"/>
        <v>-14091764.02</v>
      </c>
    </row>
    <row r="57" spans="1:11" ht="23.25" customHeight="1" outlineLevel="1" x14ac:dyDescent="0.3">
      <c r="A57" s="443">
        <f t="shared" si="20"/>
        <v>44</v>
      </c>
      <c r="B57" s="428" t="s">
        <v>1469</v>
      </c>
      <c r="C57" s="442" t="s">
        <v>1446</v>
      </c>
      <c r="D57" s="568">
        <v>208</v>
      </c>
      <c r="E57" s="575">
        <f>ROUND(F57/D57,2)</f>
        <v>3561.88</v>
      </c>
      <c r="F57" s="585">
        <f>740871.01</f>
        <v>740871.01</v>
      </c>
      <c r="G57" s="767">
        <v>15000</v>
      </c>
      <c r="H57" s="785">
        <f t="shared" si="12"/>
        <v>3120000</v>
      </c>
      <c r="I57" s="482">
        <f t="shared" si="13"/>
        <v>-11438.12</v>
      </c>
      <c r="J57" s="481">
        <f t="shared" si="19"/>
        <v>-2379128.9900000002</v>
      </c>
    </row>
    <row r="58" spans="1:11" ht="23.25" customHeight="1" outlineLevel="1" x14ac:dyDescent="0.3">
      <c r="A58" s="443">
        <f t="shared" si="20"/>
        <v>45</v>
      </c>
      <c r="B58" s="428" t="s">
        <v>1470</v>
      </c>
      <c r="C58" s="442" t="s">
        <v>1446</v>
      </c>
      <c r="D58" s="568">
        <v>48</v>
      </c>
      <c r="E58" s="575">
        <f t="shared" ref="E58:E60" si="23">ROUND(F58/D58,2)</f>
        <v>3561.88</v>
      </c>
      <c r="F58" s="585">
        <f>170970.23</f>
        <v>170970.23</v>
      </c>
      <c r="G58" s="767">
        <v>15000</v>
      </c>
      <c r="H58" s="785">
        <f t="shared" si="12"/>
        <v>720000</v>
      </c>
      <c r="I58" s="482">
        <f t="shared" si="13"/>
        <v>-11438.12</v>
      </c>
      <c r="J58" s="481">
        <f t="shared" si="19"/>
        <v>-549029.77</v>
      </c>
    </row>
    <row r="59" spans="1:11" ht="30" customHeight="1" outlineLevel="1" x14ac:dyDescent="0.3">
      <c r="A59" s="443">
        <f t="shared" si="20"/>
        <v>46</v>
      </c>
      <c r="B59" s="428" t="s">
        <v>1471</v>
      </c>
      <c r="C59" s="442" t="s">
        <v>1446</v>
      </c>
      <c r="D59" s="568">
        <v>80</v>
      </c>
      <c r="E59" s="575">
        <f t="shared" si="23"/>
        <v>3561.88</v>
      </c>
      <c r="F59" s="585">
        <f>284950.38</f>
        <v>284950.38</v>
      </c>
      <c r="G59" s="767">
        <v>15000</v>
      </c>
      <c r="H59" s="785">
        <f t="shared" si="12"/>
        <v>1200000</v>
      </c>
      <c r="I59" s="482">
        <f t="shared" si="13"/>
        <v>-11438.12</v>
      </c>
      <c r="J59" s="481">
        <f t="shared" si="19"/>
        <v>-915049.62</v>
      </c>
      <c r="K59" s="478"/>
    </row>
    <row r="60" spans="1:11" ht="30" customHeight="1" outlineLevel="1" x14ac:dyDescent="0.3">
      <c r="A60" s="443">
        <f t="shared" si="20"/>
        <v>47</v>
      </c>
      <c r="B60" s="428" t="s">
        <v>1472</v>
      </c>
      <c r="C60" s="442" t="s">
        <v>1446</v>
      </c>
      <c r="D60" s="568">
        <v>24</v>
      </c>
      <c r="E60" s="575">
        <f t="shared" si="23"/>
        <v>3561.88</v>
      </c>
      <c r="F60" s="585">
        <f>85485.13</f>
        <v>85485.13</v>
      </c>
      <c r="G60" s="767">
        <v>15000</v>
      </c>
      <c r="H60" s="785">
        <f t="shared" si="12"/>
        <v>360000</v>
      </c>
      <c r="I60" s="482">
        <f t="shared" si="13"/>
        <v>-11438.12</v>
      </c>
      <c r="J60" s="481">
        <f t="shared" si="19"/>
        <v>-274514.87</v>
      </c>
      <c r="K60" s="478"/>
    </row>
    <row r="61" spans="1:11" ht="21.75" customHeight="1" outlineLevel="1" x14ac:dyDescent="0.3">
      <c r="A61" s="443">
        <f t="shared" si="20"/>
        <v>48</v>
      </c>
      <c r="B61" s="428" t="s">
        <v>1447</v>
      </c>
      <c r="C61" s="442" t="s">
        <v>1446</v>
      </c>
      <c r="D61" s="568">
        <v>52</v>
      </c>
      <c r="E61" s="575">
        <f>ROUND(F61/D61,2)</f>
        <v>3575.02</v>
      </c>
      <c r="F61" s="585">
        <f>185900.93</f>
        <v>185900.93</v>
      </c>
      <c r="G61" s="767">
        <v>15000</v>
      </c>
      <c r="H61" s="785">
        <f t="shared" si="12"/>
        <v>780000</v>
      </c>
      <c r="I61" s="482">
        <f t="shared" si="13"/>
        <v>-11424.98</v>
      </c>
      <c r="J61" s="481">
        <f t="shared" si="19"/>
        <v>-594099.07000000007</v>
      </c>
    </row>
    <row r="62" spans="1:11" ht="21.75" customHeight="1" outlineLevel="1" x14ac:dyDescent="0.3">
      <c r="A62" s="443">
        <f t="shared" si="20"/>
        <v>49</v>
      </c>
      <c r="B62" s="428" t="s">
        <v>1449</v>
      </c>
      <c r="C62" s="442" t="s">
        <v>1446</v>
      </c>
      <c r="D62" s="568">
        <v>1592</v>
      </c>
      <c r="E62" s="575">
        <f t="shared" ref="E62:E72" si="24">ROUND(F62/D62,2)</f>
        <v>5140.8999999999996</v>
      </c>
      <c r="F62" s="585">
        <f>8184318.51</f>
        <v>8184318.5099999998</v>
      </c>
      <c r="G62" s="767">
        <v>5000</v>
      </c>
      <c r="H62" s="785">
        <f t="shared" si="12"/>
        <v>7960000</v>
      </c>
      <c r="I62" s="482">
        <f t="shared" si="13"/>
        <v>140.9</v>
      </c>
      <c r="J62" s="481">
        <f t="shared" si="19"/>
        <v>224318.50999999978</v>
      </c>
    </row>
    <row r="63" spans="1:11" s="484" customFormat="1" ht="15" customHeight="1" outlineLevel="1" x14ac:dyDescent="0.3">
      <c r="A63" s="502"/>
      <c r="B63" s="503" t="s">
        <v>1478</v>
      </c>
      <c r="C63" s="504"/>
      <c r="D63" s="505"/>
      <c r="E63" s="566"/>
      <c r="F63" s="586"/>
      <c r="G63" s="786"/>
      <c r="H63" s="787"/>
      <c r="I63" s="567"/>
      <c r="J63" s="590"/>
      <c r="K63" s="491"/>
    </row>
    <row r="64" spans="1:11" ht="35.25" customHeight="1" outlineLevel="1" x14ac:dyDescent="0.3">
      <c r="A64" s="443">
        <f>A62+1</f>
        <v>50</v>
      </c>
      <c r="B64" s="428" t="s">
        <v>1479</v>
      </c>
      <c r="C64" s="442" t="s">
        <v>1390</v>
      </c>
      <c r="D64" s="568">
        <v>65</v>
      </c>
      <c r="E64" s="575">
        <f t="shared" si="24"/>
        <v>4278.4799999999996</v>
      </c>
      <c r="F64" s="585">
        <f>ROUND((1540116.75-327115.43-851469.42)/84.5*D64,2)-0.26</f>
        <v>278101.2</v>
      </c>
      <c r="G64" s="767">
        <v>4278.4799999999996</v>
      </c>
      <c r="H64" s="785">
        <f t="shared" si="12"/>
        <v>278101.2</v>
      </c>
      <c r="I64" s="482">
        <f t="shared" si="13"/>
        <v>0</v>
      </c>
      <c r="J64" s="481">
        <f t="shared" si="19"/>
        <v>0</v>
      </c>
    </row>
    <row r="65" spans="1:12" ht="30" customHeight="1" outlineLevel="1" x14ac:dyDescent="0.3">
      <c r="A65" s="443">
        <f t="shared" ref="A65" si="25">A64+1</f>
        <v>51</v>
      </c>
      <c r="B65" s="428" t="s">
        <v>1480</v>
      </c>
      <c r="C65" s="442" t="s">
        <v>1390</v>
      </c>
      <c r="D65" s="569">
        <v>19.5</v>
      </c>
      <c r="E65" s="575">
        <f t="shared" si="24"/>
        <v>4278.4799999999996</v>
      </c>
      <c r="F65" s="585">
        <f>ROUND((1540116.75-327115.43-851469.42)/84.5*D65,2)-0.08</f>
        <v>83430.36</v>
      </c>
      <c r="G65" s="767">
        <v>4278.4799999999996</v>
      </c>
      <c r="H65" s="785">
        <f t="shared" si="12"/>
        <v>83430.36</v>
      </c>
      <c r="I65" s="482">
        <f t="shared" si="13"/>
        <v>0</v>
      </c>
      <c r="J65" s="481">
        <f t="shared" si="19"/>
        <v>0</v>
      </c>
    </row>
    <row r="66" spans="1:12" s="484" customFormat="1" ht="15" customHeight="1" outlineLevel="1" x14ac:dyDescent="0.3">
      <c r="A66" s="502"/>
      <c r="B66" s="503" t="s">
        <v>1489</v>
      </c>
      <c r="C66" s="504"/>
      <c r="D66" s="505"/>
      <c r="E66" s="566"/>
      <c r="F66" s="586"/>
      <c r="G66" s="786"/>
      <c r="H66" s="787"/>
      <c r="I66" s="567"/>
      <c r="J66" s="590"/>
      <c r="K66" s="491" t="s">
        <v>1494</v>
      </c>
    </row>
    <row r="67" spans="1:12" ht="20.25" customHeight="1" outlineLevel="1" x14ac:dyDescent="0.3">
      <c r="A67" s="443">
        <f>A65+1</f>
        <v>52</v>
      </c>
      <c r="B67" s="428" t="s">
        <v>1795</v>
      </c>
      <c r="C67" s="442" t="s">
        <v>364</v>
      </c>
      <c r="D67" s="568">
        <v>2330</v>
      </c>
      <c r="E67" s="575">
        <f t="shared" si="24"/>
        <v>4699.8</v>
      </c>
      <c r="F67" s="585">
        <v>10950534</v>
      </c>
      <c r="G67" s="767">
        <v>4699.8</v>
      </c>
      <c r="H67" s="785">
        <f t="shared" si="12"/>
        <v>10950534</v>
      </c>
      <c r="I67" s="482">
        <f t="shared" si="13"/>
        <v>0</v>
      </c>
      <c r="J67" s="481">
        <f t="shared" si="19"/>
        <v>0</v>
      </c>
      <c r="K67" s="528">
        <f>9974.73+5011.44+1699.176+3801.006</f>
        <v>20486.351999999999</v>
      </c>
      <c r="L67" s="527" t="s">
        <v>20</v>
      </c>
    </row>
    <row r="68" spans="1:12" ht="21.75" customHeight="1" outlineLevel="1" x14ac:dyDescent="0.3">
      <c r="A68" s="443">
        <f>A67+1</f>
        <v>53</v>
      </c>
      <c r="B68" s="428" t="s">
        <v>1796</v>
      </c>
      <c r="C68" s="442" t="s">
        <v>364</v>
      </c>
      <c r="D68" s="568">
        <v>2198</v>
      </c>
      <c r="E68" s="575">
        <f t="shared" si="24"/>
        <v>2503.0500000000002</v>
      </c>
      <c r="F68" s="585">
        <v>5501703.9000000004</v>
      </c>
      <c r="G68" s="767">
        <v>2503.0500000000002</v>
      </c>
      <c r="H68" s="785">
        <f t="shared" si="12"/>
        <v>5501703.9000000004</v>
      </c>
      <c r="I68" s="482">
        <f t="shared" si="13"/>
        <v>0</v>
      </c>
      <c r="J68" s="481">
        <f t="shared" si="19"/>
        <v>0</v>
      </c>
    </row>
    <row r="69" spans="1:12" ht="21" customHeight="1" outlineLevel="1" x14ac:dyDescent="0.3">
      <c r="A69" s="443">
        <f t="shared" ref="A69:A76" si="26">A68+1</f>
        <v>54</v>
      </c>
      <c r="B69" s="428" t="s">
        <v>1797</v>
      </c>
      <c r="C69" s="442" t="s">
        <v>364</v>
      </c>
      <c r="D69" s="568">
        <v>332</v>
      </c>
      <c r="E69" s="575">
        <f t="shared" si="24"/>
        <v>5618.69</v>
      </c>
      <c r="F69" s="585">
        <v>1865405.08</v>
      </c>
      <c r="G69" s="767">
        <v>5618.69</v>
      </c>
      <c r="H69" s="785">
        <f t="shared" si="12"/>
        <v>1865405.08</v>
      </c>
      <c r="I69" s="482">
        <f t="shared" si="13"/>
        <v>0</v>
      </c>
      <c r="J69" s="481">
        <f t="shared" si="19"/>
        <v>0</v>
      </c>
    </row>
    <row r="70" spans="1:12" ht="20.25" customHeight="1" outlineLevel="1" x14ac:dyDescent="0.3">
      <c r="A70" s="443">
        <f t="shared" si="26"/>
        <v>55</v>
      </c>
      <c r="B70" s="428" t="s">
        <v>1798</v>
      </c>
      <c r="C70" s="442" t="s">
        <v>364</v>
      </c>
      <c r="D70" s="568">
        <v>711</v>
      </c>
      <c r="E70" s="575">
        <f t="shared" si="24"/>
        <v>5868.99</v>
      </c>
      <c r="F70" s="585">
        <v>4172851.89</v>
      </c>
      <c r="G70" s="767">
        <v>5868.99</v>
      </c>
      <c r="H70" s="785">
        <f t="shared" si="12"/>
        <v>4172851.89</v>
      </c>
      <c r="I70" s="482">
        <f t="shared" si="13"/>
        <v>0</v>
      </c>
      <c r="J70" s="481">
        <f t="shared" si="19"/>
        <v>0</v>
      </c>
    </row>
    <row r="71" spans="1:12" ht="20.25" customHeight="1" outlineLevel="1" x14ac:dyDescent="0.3">
      <c r="A71" s="443">
        <f t="shared" si="26"/>
        <v>56</v>
      </c>
      <c r="B71" s="428" t="s">
        <v>1496</v>
      </c>
      <c r="C71" s="442" t="s">
        <v>364</v>
      </c>
      <c r="D71" s="568">
        <v>2085</v>
      </c>
      <c r="E71" s="575">
        <f t="shared" si="24"/>
        <v>0.63</v>
      </c>
      <c r="F71" s="585">
        <f>ROUND((203663.84-196605.64)/11141*D71,2)</f>
        <v>1320.92</v>
      </c>
      <c r="G71" s="767">
        <v>24</v>
      </c>
      <c r="H71" s="785">
        <f t="shared" si="12"/>
        <v>50040</v>
      </c>
      <c r="I71" s="482">
        <f t="shared" si="13"/>
        <v>-23.37</v>
      </c>
      <c r="J71" s="481">
        <f t="shared" si="19"/>
        <v>-48719.08</v>
      </c>
    </row>
    <row r="72" spans="1:12" ht="21" customHeight="1" outlineLevel="1" x14ac:dyDescent="0.3">
      <c r="A72" s="443">
        <f t="shared" si="26"/>
        <v>57</v>
      </c>
      <c r="B72" s="428" t="s">
        <v>1497</v>
      </c>
      <c r="C72" s="442" t="s">
        <v>364</v>
      </c>
      <c r="D72" s="568">
        <v>4660</v>
      </c>
      <c r="E72" s="575">
        <f t="shared" si="24"/>
        <v>0.63</v>
      </c>
      <c r="F72" s="585">
        <f>ROUND((203663.84-196605.64)/11141*D72,2)</f>
        <v>2952.27</v>
      </c>
      <c r="G72" s="767">
        <v>24</v>
      </c>
      <c r="H72" s="785">
        <f t="shared" si="12"/>
        <v>111840</v>
      </c>
      <c r="I72" s="482">
        <f t="shared" si="13"/>
        <v>-23.37</v>
      </c>
      <c r="J72" s="481">
        <f t="shared" si="19"/>
        <v>-108887.73</v>
      </c>
    </row>
    <row r="73" spans="1:12" ht="21.75" customHeight="1" outlineLevel="1" x14ac:dyDescent="0.3">
      <c r="A73" s="443">
        <f t="shared" si="26"/>
        <v>58</v>
      </c>
      <c r="B73" s="428" t="s">
        <v>1495</v>
      </c>
      <c r="C73" s="442" t="s">
        <v>364</v>
      </c>
      <c r="D73" s="568">
        <v>4396</v>
      </c>
      <c r="E73" s="575">
        <f>ROUND(F73/D73,2)</f>
        <v>0.63</v>
      </c>
      <c r="F73" s="585">
        <f>ROUND((203663.84-196605.64)/11141*D73,2)</f>
        <v>2785.01</v>
      </c>
      <c r="G73" s="767">
        <v>24</v>
      </c>
      <c r="H73" s="785">
        <f t="shared" si="12"/>
        <v>105504</v>
      </c>
      <c r="I73" s="482">
        <f t="shared" si="13"/>
        <v>-23.37</v>
      </c>
      <c r="J73" s="481">
        <f t="shared" si="19"/>
        <v>-102718.99</v>
      </c>
    </row>
    <row r="74" spans="1:12" ht="23.25" customHeight="1" outlineLevel="1" x14ac:dyDescent="0.3">
      <c r="A74" s="443">
        <f t="shared" si="26"/>
        <v>59</v>
      </c>
      <c r="B74" s="428" t="s">
        <v>1498</v>
      </c>
      <c r="C74" s="442" t="s">
        <v>364</v>
      </c>
      <c r="D74" s="568">
        <v>23300</v>
      </c>
      <c r="E74" s="575">
        <f>ROUND(F74/D74,2)</f>
        <v>4.16</v>
      </c>
      <c r="F74" s="585">
        <f>ROUND((5954883.94-5814588.22)/(23300+10430)*D74,2)</f>
        <v>96913.44</v>
      </c>
      <c r="G74" s="767">
        <v>32</v>
      </c>
      <c r="H74" s="785">
        <f t="shared" si="12"/>
        <v>745600</v>
      </c>
      <c r="I74" s="482">
        <f t="shared" si="13"/>
        <v>-27.84</v>
      </c>
      <c r="J74" s="481">
        <f t="shared" si="19"/>
        <v>-648686.56000000006</v>
      </c>
    </row>
    <row r="75" spans="1:12" ht="23.25" customHeight="1" outlineLevel="1" x14ac:dyDescent="0.3">
      <c r="A75" s="443">
        <f t="shared" si="26"/>
        <v>60</v>
      </c>
      <c r="B75" s="428" t="s">
        <v>1499</v>
      </c>
      <c r="C75" s="442" t="s">
        <v>364</v>
      </c>
      <c r="D75" s="568">
        <v>10430</v>
      </c>
      <c r="E75" s="575">
        <f t="shared" ref="E75:E77" si="27">ROUND(F75/D75,2)</f>
        <v>4.16</v>
      </c>
      <c r="F75" s="585">
        <f>ROUND((5954883.94-5814588.22)/(23300+10430)*D75,2)</f>
        <v>43382.28</v>
      </c>
      <c r="G75" s="767">
        <v>32</v>
      </c>
      <c r="H75" s="785">
        <f t="shared" si="12"/>
        <v>333760</v>
      </c>
      <c r="I75" s="482">
        <f t="shared" si="13"/>
        <v>-27.84</v>
      </c>
      <c r="J75" s="481">
        <f t="shared" si="19"/>
        <v>-290377.71999999997</v>
      </c>
    </row>
    <row r="76" spans="1:12" ht="30" customHeight="1" outlineLevel="1" x14ac:dyDescent="0.3">
      <c r="A76" s="443">
        <f t="shared" si="26"/>
        <v>61</v>
      </c>
      <c r="B76" s="428" t="s">
        <v>1500</v>
      </c>
      <c r="C76" s="442" t="s">
        <v>364</v>
      </c>
      <c r="D76" s="568">
        <v>10990</v>
      </c>
      <c r="E76" s="575">
        <f t="shared" si="27"/>
        <v>2.64</v>
      </c>
      <c r="F76" s="585">
        <f>(1230670.54-1201676.22)</f>
        <v>28994.320000000065</v>
      </c>
      <c r="G76" s="767">
        <v>32</v>
      </c>
      <c r="H76" s="785">
        <f t="shared" si="12"/>
        <v>351680</v>
      </c>
      <c r="I76" s="482">
        <f t="shared" si="13"/>
        <v>-29.36</v>
      </c>
      <c r="J76" s="481">
        <f t="shared" si="19"/>
        <v>-322685.67999999993</v>
      </c>
      <c r="K76" s="478"/>
    </row>
    <row r="77" spans="1:12" ht="19.5" customHeight="1" outlineLevel="1" x14ac:dyDescent="0.3">
      <c r="A77" s="443">
        <f>A76+1</f>
        <v>62</v>
      </c>
      <c r="B77" s="428" t="s">
        <v>1502</v>
      </c>
      <c r="C77" s="442" t="s">
        <v>1390</v>
      </c>
      <c r="D77" s="568">
        <v>6594</v>
      </c>
      <c r="E77" s="575">
        <f t="shared" si="27"/>
        <v>35.880000000000003</v>
      </c>
      <c r="F77" s="585">
        <f>ROUND((40863547.29-39900811.41)/26832*D77,2)</f>
        <v>236593.63</v>
      </c>
      <c r="G77" s="767">
        <v>35</v>
      </c>
      <c r="H77" s="785">
        <f t="shared" si="12"/>
        <v>230790</v>
      </c>
      <c r="I77" s="482">
        <f t="shared" si="13"/>
        <v>0.88</v>
      </c>
      <c r="J77" s="481">
        <f t="shared" si="19"/>
        <v>5803.6300000000047</v>
      </c>
      <c r="K77" s="478"/>
    </row>
    <row r="78" spans="1:12" ht="19.5" customHeight="1" outlineLevel="1" x14ac:dyDescent="0.3">
      <c r="A78" s="443">
        <f t="shared" ref="A78:A89" si="28">A77+1</f>
        <v>63</v>
      </c>
      <c r="B78" s="428" t="s">
        <v>1503</v>
      </c>
      <c r="C78" s="442" t="s">
        <v>1390</v>
      </c>
      <c r="D78" s="568">
        <v>13980</v>
      </c>
      <c r="E78" s="575">
        <f t="shared" ref="E78" si="29">ROUND(F78/D78,2)</f>
        <v>35.880000000000003</v>
      </c>
      <c r="F78" s="585">
        <f>ROUND((40863547.29-39900811.41)/26832*D78,2)</f>
        <v>501604.34</v>
      </c>
      <c r="G78" s="767">
        <v>35</v>
      </c>
      <c r="H78" s="785">
        <f t="shared" si="12"/>
        <v>489300</v>
      </c>
      <c r="I78" s="482">
        <f t="shared" si="13"/>
        <v>0.88</v>
      </c>
      <c r="J78" s="481">
        <f t="shared" ref="J78" si="30">F78-H78</f>
        <v>12304.340000000026</v>
      </c>
      <c r="K78" s="478"/>
    </row>
    <row r="79" spans="1:12" ht="19.5" customHeight="1" outlineLevel="1" x14ac:dyDescent="0.3">
      <c r="A79" s="443">
        <f t="shared" si="28"/>
        <v>64</v>
      </c>
      <c r="B79" s="428" t="s">
        <v>1504</v>
      </c>
      <c r="C79" s="442" t="s">
        <v>1390</v>
      </c>
      <c r="D79" s="568">
        <v>6258</v>
      </c>
      <c r="E79" s="575">
        <f t="shared" ref="E79:E83" si="31">ROUND(F79/D79,2)</f>
        <v>35.880000000000003</v>
      </c>
      <c r="F79" s="585">
        <f>ROUND((40863547.29-39900811.41)/26832*D79,2)</f>
        <v>224537.91</v>
      </c>
      <c r="G79" s="767">
        <v>35</v>
      </c>
      <c r="H79" s="785">
        <f t="shared" si="12"/>
        <v>219030</v>
      </c>
      <c r="I79" s="482">
        <f t="shared" si="13"/>
        <v>0.88</v>
      </c>
      <c r="J79" s="481">
        <f t="shared" ref="J79:J89" si="32">F79-H79</f>
        <v>5507.9100000000035</v>
      </c>
      <c r="K79" s="478"/>
    </row>
    <row r="80" spans="1:12" s="484" customFormat="1" ht="15" customHeight="1" outlineLevel="1" x14ac:dyDescent="0.3">
      <c r="A80" s="502"/>
      <c r="B80" s="503" t="s">
        <v>1510</v>
      </c>
      <c r="C80" s="504"/>
      <c r="D80" s="505"/>
      <c r="E80" s="566"/>
      <c r="F80" s="586"/>
      <c r="G80" s="786"/>
      <c r="H80" s="787"/>
      <c r="I80" s="567"/>
      <c r="J80" s="590"/>
      <c r="K80" s="491"/>
    </row>
    <row r="81" spans="1:11" ht="21.75" customHeight="1" outlineLevel="1" x14ac:dyDescent="0.3">
      <c r="A81" s="443">
        <f>A79+1</f>
        <v>65</v>
      </c>
      <c r="B81" s="428" t="s">
        <v>1505</v>
      </c>
      <c r="C81" s="442" t="s">
        <v>1390</v>
      </c>
      <c r="D81" s="568">
        <v>3681</v>
      </c>
      <c r="E81" s="575">
        <f t="shared" si="31"/>
        <v>37.119999999999997</v>
      </c>
      <c r="F81" s="585">
        <f>ROUND((13381906.04-13066631.37)/8493*D81,2)</f>
        <v>136645.01</v>
      </c>
      <c r="G81" s="767">
        <v>77.599999999999994</v>
      </c>
      <c r="H81" s="785">
        <f t="shared" si="12"/>
        <v>285645.59999999998</v>
      </c>
      <c r="I81" s="482">
        <f t="shared" si="13"/>
        <v>-40.479999999999997</v>
      </c>
      <c r="J81" s="481">
        <f t="shared" si="32"/>
        <v>-149000.58999999997</v>
      </c>
    </row>
    <row r="82" spans="1:11" ht="21" customHeight="1" outlineLevel="1" x14ac:dyDescent="0.3">
      <c r="A82" s="443">
        <f t="shared" si="28"/>
        <v>66</v>
      </c>
      <c r="B82" s="428" t="s">
        <v>1511</v>
      </c>
      <c r="C82" s="442" t="s">
        <v>1390</v>
      </c>
      <c r="D82" s="568">
        <v>3681</v>
      </c>
      <c r="E82" s="575">
        <f t="shared" si="31"/>
        <v>37.119999999999997</v>
      </c>
      <c r="F82" s="585">
        <f t="shared" ref="F82:F83" si="33">ROUND((13381906.04-13066631.37)/8493*D82,2)</f>
        <v>136645.01</v>
      </c>
      <c r="G82" s="767">
        <v>77.599999999999994</v>
      </c>
      <c r="H82" s="785">
        <f t="shared" si="12"/>
        <v>285645.59999999998</v>
      </c>
      <c r="I82" s="482">
        <f t="shared" si="13"/>
        <v>-40.479999999999997</v>
      </c>
      <c r="J82" s="481">
        <f t="shared" si="32"/>
        <v>-149000.58999999997</v>
      </c>
    </row>
    <row r="83" spans="1:11" ht="20.25" customHeight="1" outlineLevel="1" x14ac:dyDescent="0.3">
      <c r="A83" s="443">
        <f t="shared" si="28"/>
        <v>67</v>
      </c>
      <c r="B83" s="428" t="s">
        <v>1506</v>
      </c>
      <c r="C83" s="442" t="s">
        <v>1390</v>
      </c>
      <c r="D83" s="568">
        <v>1131</v>
      </c>
      <c r="E83" s="575">
        <f t="shared" si="31"/>
        <v>37.119999999999997</v>
      </c>
      <c r="F83" s="585">
        <f t="shared" si="33"/>
        <v>41984.65</v>
      </c>
      <c r="G83" s="767">
        <v>77.599999999999994</v>
      </c>
      <c r="H83" s="785">
        <f t="shared" si="12"/>
        <v>87765.6</v>
      </c>
      <c r="I83" s="482">
        <f t="shared" si="13"/>
        <v>-40.479999999999997</v>
      </c>
      <c r="J83" s="481">
        <f t="shared" si="32"/>
        <v>-45780.950000000004</v>
      </c>
    </row>
    <row r="84" spans="1:11" s="484" customFormat="1" ht="15" customHeight="1" outlineLevel="1" x14ac:dyDescent="0.3">
      <c r="A84" s="502"/>
      <c r="B84" s="503" t="s">
        <v>1512</v>
      </c>
      <c r="C84" s="504"/>
      <c r="D84" s="505"/>
      <c r="E84" s="566"/>
      <c r="F84" s="586"/>
      <c r="G84" s="786"/>
      <c r="H84" s="785"/>
      <c r="I84" s="567"/>
      <c r="J84" s="590"/>
      <c r="K84" s="491"/>
    </row>
    <row r="85" spans="1:11" ht="21.75" customHeight="1" outlineLevel="1" x14ac:dyDescent="0.3">
      <c r="A85" s="443">
        <f>A83+1</f>
        <v>68</v>
      </c>
      <c r="B85" s="428" t="s">
        <v>1518</v>
      </c>
      <c r="C85" s="442" t="s">
        <v>17</v>
      </c>
      <c r="D85" s="565">
        <v>276.95</v>
      </c>
      <c r="E85" s="575">
        <f>ROUND(F85/D85,2)</f>
        <v>950.71</v>
      </c>
      <c r="F85" s="585">
        <f>ROUND(554473.22/583.22*D85,2)</f>
        <v>263299.20000000001</v>
      </c>
      <c r="G85" s="767">
        <v>1680</v>
      </c>
      <c r="H85" s="785">
        <f t="shared" si="12"/>
        <v>465276</v>
      </c>
      <c r="I85" s="482">
        <f t="shared" si="13"/>
        <v>-729.29</v>
      </c>
      <c r="J85" s="481">
        <f t="shared" si="32"/>
        <v>-201976.8</v>
      </c>
    </row>
    <row r="86" spans="1:11" ht="21.75" customHeight="1" outlineLevel="1" x14ac:dyDescent="0.3">
      <c r="A86" s="443">
        <f>A85+1</f>
        <v>69</v>
      </c>
      <c r="B86" s="428" t="s">
        <v>1519</v>
      </c>
      <c r="C86" s="442" t="s">
        <v>17</v>
      </c>
      <c r="D86" s="565">
        <v>306.27</v>
      </c>
      <c r="E86" s="575">
        <f>ROUND(F86/D86,2)</f>
        <v>950.71</v>
      </c>
      <c r="F86" s="585">
        <f>ROUND(554473.22/583.22*D86,2)</f>
        <v>291174.02</v>
      </c>
      <c r="G86" s="767">
        <v>1680</v>
      </c>
      <c r="H86" s="785">
        <f t="shared" si="12"/>
        <v>514533.6</v>
      </c>
      <c r="I86" s="482">
        <f t="shared" si="13"/>
        <v>-729.29</v>
      </c>
      <c r="J86" s="481">
        <f t="shared" ref="J86" si="34">F86-H86</f>
        <v>-223359.57999999996</v>
      </c>
    </row>
    <row r="87" spans="1:11" ht="21.75" customHeight="1" outlineLevel="1" x14ac:dyDescent="0.3">
      <c r="A87" s="443">
        <f>A86+1</f>
        <v>70</v>
      </c>
      <c r="B87" s="428" t="s">
        <v>1513</v>
      </c>
      <c r="C87" s="442" t="s">
        <v>20</v>
      </c>
      <c r="D87" s="568">
        <v>4084</v>
      </c>
      <c r="E87" s="575">
        <f>ROUND(F87/D87,2)</f>
        <v>957</v>
      </c>
      <c r="F87" s="585">
        <v>3908388</v>
      </c>
      <c r="G87" s="767">
        <v>957</v>
      </c>
      <c r="H87" s="785">
        <f t="shared" si="12"/>
        <v>3908388</v>
      </c>
      <c r="I87" s="482">
        <f t="shared" si="13"/>
        <v>0</v>
      </c>
      <c r="J87" s="481">
        <f t="shared" si="32"/>
        <v>0</v>
      </c>
    </row>
    <row r="88" spans="1:11" ht="21" customHeight="1" outlineLevel="1" x14ac:dyDescent="0.3">
      <c r="A88" s="443">
        <f t="shared" si="28"/>
        <v>71</v>
      </c>
      <c r="B88" s="428" t="s">
        <v>1521</v>
      </c>
      <c r="C88" s="442" t="s">
        <v>40</v>
      </c>
      <c r="D88" s="568">
        <v>14</v>
      </c>
      <c r="E88" s="575">
        <f t="shared" ref="E88:E89" si="35">ROUND(F88/D88,2)</f>
        <v>1648.18</v>
      </c>
      <c r="F88" s="585">
        <v>23074.52</v>
      </c>
      <c r="G88" s="767">
        <v>1648.18</v>
      </c>
      <c r="H88" s="785">
        <f t="shared" si="12"/>
        <v>23074.52</v>
      </c>
      <c r="I88" s="482">
        <f t="shared" si="13"/>
        <v>0</v>
      </c>
      <c r="J88" s="481">
        <f t="shared" si="32"/>
        <v>0</v>
      </c>
    </row>
    <row r="89" spans="1:11" ht="20.25" customHeight="1" outlineLevel="1" x14ac:dyDescent="0.3">
      <c r="A89" s="443">
        <f t="shared" si="28"/>
        <v>72</v>
      </c>
      <c r="B89" s="428" t="s">
        <v>1520</v>
      </c>
      <c r="C89" s="442" t="s">
        <v>40</v>
      </c>
      <c r="D89" s="568">
        <v>55</v>
      </c>
      <c r="E89" s="575">
        <f t="shared" si="35"/>
        <v>1648.18</v>
      </c>
      <c r="F89" s="585">
        <v>90649.9</v>
      </c>
      <c r="G89" s="767">
        <v>1648.18</v>
      </c>
      <c r="H89" s="785">
        <f t="shared" si="12"/>
        <v>90649.9</v>
      </c>
      <c r="I89" s="482">
        <f t="shared" si="13"/>
        <v>0</v>
      </c>
      <c r="J89" s="481">
        <f t="shared" si="32"/>
        <v>0</v>
      </c>
    </row>
    <row r="90" spans="1:11" s="484" customFormat="1" ht="15" customHeight="1" outlineLevel="1" x14ac:dyDescent="0.3">
      <c r="A90" s="502"/>
      <c r="B90" s="503" t="s">
        <v>1522</v>
      </c>
      <c r="C90" s="504"/>
      <c r="D90" s="505"/>
      <c r="E90" s="566"/>
      <c r="F90" s="586"/>
      <c r="G90" s="786"/>
      <c r="H90" s="787"/>
      <c r="I90" s="567"/>
      <c r="J90" s="590"/>
      <c r="K90" s="491"/>
    </row>
    <row r="91" spans="1:11" ht="28.5" customHeight="1" outlineLevel="1" x14ac:dyDescent="0.3">
      <c r="A91" s="443">
        <f>A89+1</f>
        <v>73</v>
      </c>
      <c r="B91" s="428" t="s">
        <v>1527</v>
      </c>
      <c r="C91" s="442" t="s">
        <v>17</v>
      </c>
      <c r="D91" s="565">
        <v>189.9</v>
      </c>
      <c r="E91" s="575">
        <f>ROUND(F91/D91,2)</f>
        <v>1317.1</v>
      </c>
      <c r="F91" s="585">
        <v>250118.07</v>
      </c>
      <c r="G91" s="767">
        <v>1680</v>
      </c>
      <c r="H91" s="785">
        <f t="shared" si="12"/>
        <v>319032</v>
      </c>
      <c r="I91" s="482">
        <f t="shared" si="13"/>
        <v>-362.9</v>
      </c>
      <c r="J91" s="481">
        <f>F91-H91</f>
        <v>-68913.929999999993</v>
      </c>
    </row>
    <row r="92" spans="1:11" ht="21.75" customHeight="1" outlineLevel="1" x14ac:dyDescent="0.3">
      <c r="A92" s="852">
        <f>A91+1</f>
        <v>74</v>
      </c>
      <c r="B92" s="428" t="s">
        <v>1523</v>
      </c>
      <c r="C92" s="442" t="s">
        <v>17</v>
      </c>
      <c r="D92" s="565">
        <v>339.12</v>
      </c>
      <c r="E92" s="854">
        <f>ROUND(F92/D93,2)</f>
        <v>950.56</v>
      </c>
      <c r="F92" s="856">
        <v>6446697.9199999999</v>
      </c>
      <c r="G92" s="858">
        <v>950.56</v>
      </c>
      <c r="H92" s="843">
        <f>ROUND(G92*D93,2)</f>
        <v>6446697.9199999999</v>
      </c>
      <c r="I92" s="482">
        <f t="shared" si="13"/>
        <v>0</v>
      </c>
      <c r="J92" s="850">
        <f>F92-H92</f>
        <v>0</v>
      </c>
    </row>
    <row r="93" spans="1:11" ht="21" customHeight="1" outlineLevel="1" x14ac:dyDescent="0.3">
      <c r="A93" s="853"/>
      <c r="B93" s="428" t="s">
        <v>1386</v>
      </c>
      <c r="C93" s="442" t="s">
        <v>5</v>
      </c>
      <c r="D93" s="565">
        <v>6782</v>
      </c>
      <c r="E93" s="855"/>
      <c r="F93" s="857"/>
      <c r="G93" s="859"/>
      <c r="H93" s="844"/>
      <c r="I93" s="482">
        <f t="shared" si="13"/>
        <v>0</v>
      </c>
      <c r="J93" s="851"/>
    </row>
    <row r="94" spans="1:11" s="484" customFormat="1" ht="15" customHeight="1" outlineLevel="1" x14ac:dyDescent="0.3">
      <c r="A94" s="502"/>
      <c r="B94" s="503" t="s">
        <v>1530</v>
      </c>
      <c r="C94" s="504"/>
      <c r="D94" s="505"/>
      <c r="E94" s="566"/>
      <c r="F94" s="586"/>
      <c r="G94" s="786"/>
      <c r="H94" s="787"/>
      <c r="I94" s="567"/>
      <c r="J94" s="590"/>
      <c r="K94" s="491"/>
    </row>
    <row r="95" spans="1:11" ht="33.75" customHeight="1" outlineLevel="1" x14ac:dyDescent="0.3">
      <c r="A95" s="443">
        <f>A92+1</f>
        <v>75</v>
      </c>
      <c r="B95" s="428" t="s">
        <v>1531</v>
      </c>
      <c r="C95" s="442" t="s">
        <v>1131</v>
      </c>
      <c r="D95" s="565">
        <v>7194.04</v>
      </c>
      <c r="E95" s="575">
        <f t="shared" ref="E95:E103" si="36">ROUND(F95/D95,2)</f>
        <v>1051.8499999999999</v>
      </c>
      <c r="F95" s="585">
        <f>ROUND(8603493.34/8179.4*D95,2)</f>
        <v>7567043.4500000002</v>
      </c>
      <c r="G95" s="767">
        <v>1788.15</v>
      </c>
      <c r="H95" s="785">
        <f t="shared" si="12"/>
        <v>12864022.630000001</v>
      </c>
      <c r="I95" s="482">
        <f t="shared" si="13"/>
        <v>-736.3</v>
      </c>
      <c r="J95" s="481">
        <f t="shared" si="19"/>
        <v>-5296979.1800000006</v>
      </c>
    </row>
    <row r="96" spans="1:11" ht="33.75" customHeight="1" outlineLevel="1" x14ac:dyDescent="0.3">
      <c r="A96" s="443">
        <f>A95+1</f>
        <v>76</v>
      </c>
      <c r="B96" s="428" t="s">
        <v>1598</v>
      </c>
      <c r="C96" s="442" t="s">
        <v>1131</v>
      </c>
      <c r="D96" s="565">
        <v>841.38</v>
      </c>
      <c r="E96" s="575">
        <f t="shared" si="36"/>
        <v>1051.8499999999999</v>
      </c>
      <c r="F96" s="585">
        <f>ROUND(8603493.34/8179.4*D96,2)</f>
        <v>885004.67</v>
      </c>
      <c r="G96" s="767">
        <v>1788.15</v>
      </c>
      <c r="H96" s="785">
        <f t="shared" si="12"/>
        <v>1504513.65</v>
      </c>
      <c r="I96" s="482">
        <f t="shared" si="13"/>
        <v>-736.3</v>
      </c>
      <c r="J96" s="481">
        <f t="shared" si="19"/>
        <v>-619508.97999999986</v>
      </c>
    </row>
    <row r="97" spans="1:11" ht="30.75" customHeight="1" outlineLevel="1" x14ac:dyDescent="0.3">
      <c r="A97" s="443">
        <f t="shared" ref="A97:A101" si="37">A96+1</f>
        <v>77</v>
      </c>
      <c r="B97" s="428" t="s">
        <v>1532</v>
      </c>
      <c r="C97" s="442" t="s">
        <v>1131</v>
      </c>
      <c r="D97" s="565">
        <v>84.5</v>
      </c>
      <c r="E97" s="575">
        <f t="shared" si="36"/>
        <v>1051.8499999999999</v>
      </c>
      <c r="F97" s="585">
        <f>ROUND(8603493.34/8179.4*D97,2)</f>
        <v>88881.24</v>
      </c>
      <c r="G97" s="767">
        <v>1788.15</v>
      </c>
      <c r="H97" s="785">
        <f t="shared" si="12"/>
        <v>151098.68</v>
      </c>
      <c r="I97" s="482">
        <f t="shared" si="13"/>
        <v>-736.3</v>
      </c>
      <c r="J97" s="481">
        <f t="shared" si="19"/>
        <v>-62217.439999999988</v>
      </c>
    </row>
    <row r="98" spans="1:11" ht="31.5" customHeight="1" outlineLevel="1" x14ac:dyDescent="0.3">
      <c r="A98" s="443">
        <f t="shared" si="37"/>
        <v>78</v>
      </c>
      <c r="B98" s="428" t="s">
        <v>1533</v>
      </c>
      <c r="C98" s="442" t="s">
        <v>1131</v>
      </c>
      <c r="D98" s="570">
        <v>59.478000000000002</v>
      </c>
      <c r="E98" s="575">
        <f t="shared" si="36"/>
        <v>1051.8499999999999</v>
      </c>
      <c r="F98" s="585">
        <f>ROUND(8603493.34/8179.4*D98,2)</f>
        <v>62561.87</v>
      </c>
      <c r="G98" s="767">
        <v>1788.15</v>
      </c>
      <c r="H98" s="785">
        <f t="shared" si="12"/>
        <v>106355.59</v>
      </c>
      <c r="I98" s="482">
        <f t="shared" si="13"/>
        <v>-736.3</v>
      </c>
      <c r="J98" s="481">
        <f t="shared" si="19"/>
        <v>-43793.719999999994</v>
      </c>
    </row>
    <row r="99" spans="1:11" ht="20.25" customHeight="1" outlineLevel="1" x14ac:dyDescent="0.3">
      <c r="A99" s="443">
        <f t="shared" si="37"/>
        <v>79</v>
      </c>
      <c r="B99" s="428" t="s">
        <v>1528</v>
      </c>
      <c r="C99" s="442" t="s">
        <v>17</v>
      </c>
      <c r="D99" s="565">
        <v>6.16</v>
      </c>
      <c r="E99" s="575">
        <f t="shared" si="36"/>
        <v>950.73</v>
      </c>
      <c r="F99" s="585">
        <f>5856.48</f>
        <v>5856.48</v>
      </c>
      <c r="G99" s="767">
        <v>1680</v>
      </c>
      <c r="H99" s="785">
        <f t="shared" si="12"/>
        <v>10348.799999999999</v>
      </c>
      <c r="I99" s="482">
        <f t="shared" si="13"/>
        <v>-729.27</v>
      </c>
      <c r="J99" s="481">
        <f t="shared" si="19"/>
        <v>-4492.32</v>
      </c>
    </row>
    <row r="100" spans="1:11" ht="20.25" customHeight="1" outlineLevel="1" x14ac:dyDescent="0.3">
      <c r="A100" s="443">
        <f t="shared" si="37"/>
        <v>80</v>
      </c>
      <c r="B100" s="540" t="s">
        <v>1534</v>
      </c>
      <c r="C100" s="442" t="s">
        <v>1131</v>
      </c>
      <c r="D100" s="565">
        <v>8179.4</v>
      </c>
      <c r="E100" s="575">
        <f t="shared" si="36"/>
        <v>0</v>
      </c>
      <c r="F100" s="585"/>
      <c r="G100" s="767"/>
      <c r="H100" s="785">
        <f t="shared" si="12"/>
        <v>0</v>
      </c>
      <c r="I100" s="482">
        <f t="shared" si="13"/>
        <v>0</v>
      </c>
      <c r="J100" s="481">
        <f t="shared" si="19"/>
        <v>0</v>
      </c>
      <c r="K100" s="489" t="s">
        <v>1536</v>
      </c>
    </row>
    <row r="101" spans="1:11" ht="20.25" customHeight="1" outlineLevel="1" x14ac:dyDescent="0.3">
      <c r="A101" s="443">
        <f t="shared" si="37"/>
        <v>81</v>
      </c>
      <c r="B101" s="540" t="s">
        <v>1535</v>
      </c>
      <c r="C101" s="442" t="s">
        <v>1131</v>
      </c>
      <c r="D101" s="565">
        <v>8179.4</v>
      </c>
      <c r="E101" s="575">
        <f t="shared" ref="E101" si="38">ROUND(F101/D101,2)</f>
        <v>0</v>
      </c>
      <c r="F101" s="585"/>
      <c r="G101" s="767"/>
      <c r="H101" s="785">
        <f t="shared" si="12"/>
        <v>0</v>
      </c>
      <c r="I101" s="482">
        <f t="shared" si="13"/>
        <v>0</v>
      </c>
      <c r="J101" s="481">
        <f t="shared" ref="J101" si="39">F101-H101</f>
        <v>0</v>
      </c>
      <c r="K101" s="489" t="s">
        <v>1536</v>
      </c>
    </row>
    <row r="102" spans="1:11" s="484" customFormat="1" ht="15" customHeight="1" outlineLevel="1" x14ac:dyDescent="0.3">
      <c r="A102" s="502"/>
      <c r="B102" s="503" t="s">
        <v>1529</v>
      </c>
      <c r="C102" s="504"/>
      <c r="D102" s="505"/>
      <c r="E102" s="566"/>
      <c r="F102" s="586"/>
      <c r="G102" s="786"/>
      <c r="H102" s="787"/>
      <c r="I102" s="567"/>
      <c r="J102" s="590"/>
      <c r="K102" s="491"/>
    </row>
    <row r="103" spans="1:11" ht="33" customHeight="1" outlineLevel="1" x14ac:dyDescent="0.3">
      <c r="A103" s="443">
        <f>A101+1</f>
        <v>82</v>
      </c>
      <c r="B103" s="428" t="s">
        <v>1538</v>
      </c>
      <c r="C103" s="442" t="s">
        <v>17</v>
      </c>
      <c r="D103" s="569">
        <f>5764.7*0.12</f>
        <v>691.7639999999999</v>
      </c>
      <c r="E103" s="575">
        <f t="shared" si="36"/>
        <v>3453.75</v>
      </c>
      <c r="F103" s="585">
        <v>2389180.2000000002</v>
      </c>
      <c r="G103" s="767">
        <v>3000</v>
      </c>
      <c r="H103" s="785">
        <f t="shared" si="12"/>
        <v>2075292</v>
      </c>
      <c r="I103" s="482">
        <f t="shared" si="13"/>
        <v>453.75</v>
      </c>
      <c r="J103" s="481">
        <f t="shared" si="19"/>
        <v>313888.20000000019</v>
      </c>
    </row>
    <row r="104" spans="1:11" ht="21" customHeight="1" outlineLevel="1" x14ac:dyDescent="0.3">
      <c r="A104" s="443">
        <f>A103+1</f>
        <v>83</v>
      </c>
      <c r="B104" s="428" t="s">
        <v>1539</v>
      </c>
      <c r="C104" s="442" t="s">
        <v>17</v>
      </c>
      <c r="D104" s="569">
        <f>5764.7*0.12</f>
        <v>691.7639999999999</v>
      </c>
      <c r="E104" s="575">
        <f t="shared" ref="E104" si="40">ROUND(F104/D104,2)</f>
        <v>55.19</v>
      </c>
      <c r="F104" s="585">
        <v>38177.660000000003</v>
      </c>
      <c r="G104" s="767">
        <v>260</v>
      </c>
      <c r="H104" s="785">
        <f t="shared" si="12"/>
        <v>179858.64</v>
      </c>
      <c r="I104" s="482">
        <f t="shared" si="13"/>
        <v>-204.81</v>
      </c>
      <c r="J104" s="481">
        <f t="shared" ref="J104" si="41">F104-H104</f>
        <v>-141680.98000000001</v>
      </c>
    </row>
    <row r="105" spans="1:11" ht="21" customHeight="1" outlineLevel="1" x14ac:dyDescent="0.3">
      <c r="A105" s="443">
        <f>A104+1</f>
        <v>84</v>
      </c>
      <c r="B105" s="428" t="s">
        <v>1540</v>
      </c>
      <c r="C105" s="442" t="s">
        <v>28</v>
      </c>
      <c r="D105" s="569">
        <f>5764.7*0.12*1.9</f>
        <v>1314.3515999999997</v>
      </c>
      <c r="E105" s="575">
        <f t="shared" ref="E105" si="42">ROUND(F105/D105,2)</f>
        <v>187.59</v>
      </c>
      <c r="F105" s="585">
        <v>246554.96</v>
      </c>
      <c r="G105" s="767">
        <v>250</v>
      </c>
      <c r="H105" s="785">
        <f t="shared" si="12"/>
        <v>328587.90000000002</v>
      </c>
      <c r="I105" s="482">
        <f t="shared" si="13"/>
        <v>-62.41</v>
      </c>
      <c r="J105" s="481">
        <f t="shared" ref="J105" si="43">F105-H105</f>
        <v>-82032.940000000031</v>
      </c>
    </row>
    <row r="106" spans="1:11" ht="35.25" customHeight="1" outlineLevel="1" x14ac:dyDescent="0.3">
      <c r="A106" s="443">
        <f>A105+1</f>
        <v>85</v>
      </c>
      <c r="B106" s="428" t="s">
        <v>1537</v>
      </c>
      <c r="C106" s="442" t="s">
        <v>20</v>
      </c>
      <c r="D106" s="565">
        <v>5764.7</v>
      </c>
      <c r="E106" s="575">
        <f>ROUND(F106/D106,2)</f>
        <v>373.92</v>
      </c>
      <c r="F106" s="585">
        <f>967118.53+55328.45+967118.53+165985.38</f>
        <v>2155550.89</v>
      </c>
      <c r="G106" s="767">
        <v>960</v>
      </c>
      <c r="H106" s="785">
        <f t="shared" si="12"/>
        <v>5534112</v>
      </c>
      <c r="I106" s="482">
        <f t="shared" si="13"/>
        <v>-586.08000000000004</v>
      </c>
      <c r="J106" s="481">
        <f t="shared" si="19"/>
        <v>-3378561.11</v>
      </c>
    </row>
    <row r="107" spans="1:11" s="484" customFormat="1" ht="15" customHeight="1" outlineLevel="1" x14ac:dyDescent="0.3">
      <c r="A107" s="502"/>
      <c r="B107" s="503" t="s">
        <v>1542</v>
      </c>
      <c r="C107" s="504"/>
      <c r="D107" s="505"/>
      <c r="E107" s="566"/>
      <c r="F107" s="586"/>
      <c r="G107" s="786"/>
      <c r="H107" s="787"/>
      <c r="I107" s="567"/>
      <c r="J107" s="590"/>
      <c r="K107" s="491"/>
    </row>
    <row r="108" spans="1:11" ht="23.25" customHeight="1" outlineLevel="1" x14ac:dyDescent="0.3">
      <c r="A108" s="852">
        <f>A106+1</f>
        <v>86</v>
      </c>
      <c r="B108" s="428" t="s">
        <v>1549</v>
      </c>
      <c r="C108" s="442" t="s">
        <v>1391</v>
      </c>
      <c r="D108" s="568">
        <v>10</v>
      </c>
      <c r="E108" s="854">
        <f>ROUND(F108/D108,2)</f>
        <v>9695.4699999999993</v>
      </c>
      <c r="F108" s="856">
        <f>87545.51+23832.38-14456.19+33.01</f>
        <v>96954.709999999992</v>
      </c>
      <c r="G108" s="858">
        <v>38400</v>
      </c>
      <c r="H108" s="843">
        <f>ROUND(G108*D108,2)</f>
        <v>384000</v>
      </c>
      <c r="I108" s="848">
        <f t="shared" si="13"/>
        <v>-28704.53</v>
      </c>
      <c r="J108" s="850">
        <f t="shared" si="19"/>
        <v>-287045.29000000004</v>
      </c>
    </row>
    <row r="109" spans="1:11" ht="23.25" customHeight="1" outlineLevel="1" x14ac:dyDescent="0.3">
      <c r="A109" s="853"/>
      <c r="B109" s="428" t="s">
        <v>1543</v>
      </c>
      <c r="C109" s="442" t="s">
        <v>40</v>
      </c>
      <c r="D109" s="568">
        <v>10</v>
      </c>
      <c r="E109" s="855"/>
      <c r="F109" s="857"/>
      <c r="G109" s="859"/>
      <c r="H109" s="844"/>
      <c r="I109" s="849"/>
      <c r="J109" s="851"/>
    </row>
    <row r="110" spans="1:11" ht="19.5" customHeight="1" outlineLevel="1" x14ac:dyDescent="0.3">
      <c r="A110" s="443">
        <f>A108+1</f>
        <v>87</v>
      </c>
      <c r="B110" s="428" t="s">
        <v>1544</v>
      </c>
      <c r="C110" s="442" t="s">
        <v>40</v>
      </c>
      <c r="D110" s="568">
        <v>10</v>
      </c>
      <c r="E110" s="575">
        <f t="shared" ref="E110:E111" si="44">ROUND(F110/D110,2)</f>
        <v>24747.98</v>
      </c>
      <c r="F110" s="585">
        <v>247479.79</v>
      </c>
      <c r="G110" s="767">
        <v>20000</v>
      </c>
      <c r="H110" s="785">
        <f t="shared" ref="H110:H141" si="45">ROUND(G110*D110,2)</f>
        <v>200000</v>
      </c>
      <c r="I110" s="482">
        <f t="shared" si="13"/>
        <v>4747.9799999999996</v>
      </c>
      <c r="J110" s="481">
        <f t="shared" ref="J110:J112" si="46">F110-H110</f>
        <v>47479.790000000008</v>
      </c>
      <c r="K110" s="478"/>
    </row>
    <row r="111" spans="1:11" ht="19.5" customHeight="1" outlineLevel="1" x14ac:dyDescent="0.3">
      <c r="A111" s="443">
        <f t="shared" ref="A111:A114" si="47">A110+1</f>
        <v>88</v>
      </c>
      <c r="B111" s="428" t="s">
        <v>1545</v>
      </c>
      <c r="C111" s="442" t="s">
        <v>40</v>
      </c>
      <c r="D111" s="568">
        <v>20</v>
      </c>
      <c r="E111" s="575">
        <f t="shared" si="44"/>
        <v>1199.08</v>
      </c>
      <c r="F111" s="585">
        <v>23981.54</v>
      </c>
      <c r="G111" s="767">
        <v>1558.8</v>
      </c>
      <c r="H111" s="785">
        <f t="shared" si="45"/>
        <v>31176</v>
      </c>
      <c r="I111" s="482">
        <f t="shared" si="13"/>
        <v>-359.72</v>
      </c>
      <c r="J111" s="481">
        <f t="shared" si="46"/>
        <v>-7194.4599999999991</v>
      </c>
      <c r="K111" s="478"/>
    </row>
    <row r="112" spans="1:11" ht="21.75" customHeight="1" outlineLevel="1" x14ac:dyDescent="0.3">
      <c r="A112" s="443">
        <f t="shared" si="47"/>
        <v>89</v>
      </c>
      <c r="B112" s="428" t="s">
        <v>1546</v>
      </c>
      <c r="C112" s="442" t="s">
        <v>40</v>
      </c>
      <c r="D112" s="568">
        <v>20</v>
      </c>
      <c r="E112" s="575">
        <f>ROUND(F112/D112,2)</f>
        <v>1128.03</v>
      </c>
      <c r="F112" s="585">
        <v>22560.65</v>
      </c>
      <c r="G112" s="767">
        <v>1466.4</v>
      </c>
      <c r="H112" s="785">
        <f t="shared" si="45"/>
        <v>29328</v>
      </c>
      <c r="I112" s="482">
        <f t="shared" ref="I112:I141" si="48">ROUND(E112-G112,2)</f>
        <v>-338.37</v>
      </c>
      <c r="J112" s="481">
        <f t="shared" si="46"/>
        <v>-6767.3499999999985</v>
      </c>
    </row>
    <row r="113" spans="1:12" ht="23.25" customHeight="1" outlineLevel="1" x14ac:dyDescent="0.3">
      <c r="A113" s="443">
        <f t="shared" si="47"/>
        <v>90</v>
      </c>
      <c r="B113" s="428" t="s">
        <v>1547</v>
      </c>
      <c r="C113" s="442" t="s">
        <v>5</v>
      </c>
      <c r="D113" s="568">
        <v>200</v>
      </c>
      <c r="E113" s="575">
        <f t="shared" ref="E113:E114" si="49">ROUND(F113/D113,2)</f>
        <v>34.68</v>
      </c>
      <c r="F113" s="585">
        <v>6935.37</v>
      </c>
      <c r="G113" s="767">
        <v>80</v>
      </c>
      <c r="H113" s="785">
        <f t="shared" si="45"/>
        <v>16000</v>
      </c>
      <c r="I113" s="482">
        <f t="shared" si="48"/>
        <v>-45.32</v>
      </c>
      <c r="J113" s="481">
        <f t="shared" si="19"/>
        <v>-9064.630000000001</v>
      </c>
    </row>
    <row r="114" spans="1:12" ht="19.5" customHeight="1" outlineLevel="1" x14ac:dyDescent="0.3">
      <c r="A114" s="443">
        <f t="shared" si="47"/>
        <v>91</v>
      </c>
      <c r="B114" s="428" t="s">
        <v>1548</v>
      </c>
      <c r="C114" s="442" t="s">
        <v>5</v>
      </c>
      <c r="D114" s="568">
        <v>200</v>
      </c>
      <c r="E114" s="575">
        <f t="shared" si="49"/>
        <v>53.24</v>
      </c>
      <c r="F114" s="585">
        <v>10648.51</v>
      </c>
      <c r="G114" s="767">
        <v>80</v>
      </c>
      <c r="H114" s="785">
        <f t="shared" si="45"/>
        <v>16000</v>
      </c>
      <c r="I114" s="482">
        <f t="shared" si="48"/>
        <v>-26.76</v>
      </c>
      <c r="J114" s="481">
        <f t="shared" si="19"/>
        <v>-5351.49</v>
      </c>
      <c r="K114" s="478"/>
    </row>
    <row r="115" spans="1:12" s="484" customFormat="1" ht="21.75" customHeight="1" x14ac:dyDescent="0.3">
      <c r="A115" s="555"/>
      <c r="B115" s="612" t="s">
        <v>1888</v>
      </c>
      <c r="C115" s="613"/>
      <c r="D115" s="614"/>
      <c r="E115" s="615"/>
      <c r="F115" s="616">
        <f>SUM(F7:F114)</f>
        <v>116796517.63000001</v>
      </c>
      <c r="G115" s="772"/>
      <c r="H115" s="773">
        <f>SUM(H7:H114)</f>
        <v>159349201.07999998</v>
      </c>
      <c r="I115" s="617"/>
      <c r="J115" s="616">
        <f>SUM(J7:J114)</f>
        <v>-42552683.449999988</v>
      </c>
      <c r="K115" s="550">
        <f>F115+'ТП М'!F82</f>
        <v>1205591883.2761078</v>
      </c>
      <c r="L115" s="549"/>
    </row>
    <row r="116" spans="1:12" s="484" customFormat="1" ht="21.75" customHeight="1" x14ac:dyDescent="0.3">
      <c r="A116" s="486"/>
      <c r="B116" s="845" t="s">
        <v>1551</v>
      </c>
      <c r="C116" s="846"/>
      <c r="D116" s="846"/>
      <c r="E116" s="846"/>
      <c r="F116" s="846"/>
      <c r="G116" s="846"/>
      <c r="H116" s="846"/>
      <c r="I116" s="846"/>
      <c r="J116" s="847"/>
      <c r="K116" s="491"/>
    </row>
    <row r="117" spans="1:12" ht="22.5" customHeight="1" outlineLevel="1" x14ac:dyDescent="0.3">
      <c r="A117" s="443">
        <f>A114+1</f>
        <v>92</v>
      </c>
      <c r="B117" s="506" t="s">
        <v>1415</v>
      </c>
      <c r="C117" s="442" t="s">
        <v>5</v>
      </c>
      <c r="D117" s="565">
        <v>43.4</v>
      </c>
      <c r="E117" s="575">
        <f>ROUND(F117/D117,2)</f>
        <v>0</v>
      </c>
      <c r="F117" s="585"/>
      <c r="G117" s="767">
        <v>57.53</v>
      </c>
      <c r="H117" s="785">
        <f>ROUND(G117*D117,2)</f>
        <v>2496.8000000000002</v>
      </c>
      <c r="I117" s="482">
        <f t="shared" si="48"/>
        <v>-57.53</v>
      </c>
      <c r="J117" s="481">
        <f t="shared" ref="J117:J118" si="50">F117-H117</f>
        <v>-2496.8000000000002</v>
      </c>
    </row>
    <row r="118" spans="1:12" ht="21" customHeight="1" outlineLevel="1" x14ac:dyDescent="0.3">
      <c r="A118" s="443">
        <f>A117+1</f>
        <v>93</v>
      </c>
      <c r="B118" s="506" t="s">
        <v>1417</v>
      </c>
      <c r="C118" s="442" t="s">
        <v>1416</v>
      </c>
      <c r="D118" s="565">
        <v>6</v>
      </c>
      <c r="E118" s="575">
        <f>ROUND(F118/D118,2)</f>
        <v>0</v>
      </c>
      <c r="F118" s="585"/>
      <c r="G118" s="767">
        <v>2000</v>
      </c>
      <c r="H118" s="785">
        <f t="shared" si="45"/>
        <v>12000</v>
      </c>
      <c r="I118" s="482">
        <f t="shared" si="48"/>
        <v>-2000</v>
      </c>
      <c r="J118" s="481">
        <f t="shared" si="50"/>
        <v>-12000</v>
      </c>
    </row>
    <row r="119" spans="1:12" s="484" customFormat="1" ht="15" customHeight="1" outlineLevel="1" x14ac:dyDescent="0.3">
      <c r="A119" s="502"/>
      <c r="B119" s="503" t="s">
        <v>1418</v>
      </c>
      <c r="C119" s="504"/>
      <c r="D119" s="505"/>
      <c r="E119" s="566"/>
      <c r="F119" s="586"/>
      <c r="G119" s="786"/>
      <c r="H119" s="787"/>
      <c r="I119" s="567"/>
      <c r="J119" s="590"/>
      <c r="K119" s="491"/>
    </row>
    <row r="120" spans="1:12" ht="35.25" customHeight="1" outlineLevel="1" x14ac:dyDescent="0.3">
      <c r="A120" s="443">
        <f>A118+1</f>
        <v>94</v>
      </c>
      <c r="B120" s="428" t="s">
        <v>1552</v>
      </c>
      <c r="C120" s="442" t="s">
        <v>17</v>
      </c>
      <c r="D120" s="565">
        <v>468.73</v>
      </c>
      <c r="E120" s="575">
        <f t="shared" ref="E120:E130" si="51">ROUND(F120/D120,2)</f>
        <v>9.19</v>
      </c>
      <c r="F120" s="585">
        <v>4306.41</v>
      </c>
      <c r="G120" s="767">
        <v>208</v>
      </c>
      <c r="H120" s="785">
        <f t="shared" si="45"/>
        <v>97495.84</v>
      </c>
      <c r="I120" s="482">
        <f t="shared" si="48"/>
        <v>-198.81</v>
      </c>
      <c r="J120" s="481">
        <f t="shared" ref="J120:J130" si="52">F120-H120</f>
        <v>-93189.43</v>
      </c>
    </row>
    <row r="121" spans="1:12" ht="31.5" customHeight="1" outlineLevel="1" x14ac:dyDescent="0.3">
      <c r="A121" s="443">
        <f>A120+1</f>
        <v>95</v>
      </c>
      <c r="B121" s="428" t="s">
        <v>1424</v>
      </c>
      <c r="C121" s="442" t="s">
        <v>17</v>
      </c>
      <c r="D121" s="565">
        <v>468.73</v>
      </c>
      <c r="E121" s="575">
        <f t="shared" si="51"/>
        <v>55.19</v>
      </c>
      <c r="F121" s="585">
        <v>25867.32</v>
      </c>
      <c r="G121" s="767">
        <v>260</v>
      </c>
      <c r="H121" s="785">
        <f t="shared" si="45"/>
        <v>121869.8</v>
      </c>
      <c r="I121" s="482">
        <f t="shared" si="48"/>
        <v>-204.81</v>
      </c>
      <c r="J121" s="481">
        <f t="shared" si="52"/>
        <v>-96002.48000000001</v>
      </c>
    </row>
    <row r="122" spans="1:12" ht="35.25" customHeight="1" outlineLevel="1" x14ac:dyDescent="0.3">
      <c r="A122" s="443">
        <f t="shared" ref="A122" si="53">A121+1</f>
        <v>96</v>
      </c>
      <c r="B122" s="428" t="s">
        <v>1555</v>
      </c>
      <c r="C122" s="442" t="s">
        <v>28</v>
      </c>
      <c r="D122" s="565">
        <f>D121*1.95</f>
        <v>914.02350000000001</v>
      </c>
      <c r="E122" s="575">
        <f t="shared" si="51"/>
        <v>187.58</v>
      </c>
      <c r="F122" s="585">
        <v>171449.13</v>
      </c>
      <c r="G122" s="767">
        <v>250</v>
      </c>
      <c r="H122" s="785">
        <f t="shared" si="45"/>
        <v>228505.88</v>
      </c>
      <c r="I122" s="482">
        <f t="shared" si="48"/>
        <v>-62.42</v>
      </c>
      <c r="J122" s="481">
        <f t="shared" si="52"/>
        <v>-57056.75</v>
      </c>
    </row>
    <row r="123" spans="1:12" s="484" customFormat="1" ht="15" customHeight="1" outlineLevel="1" x14ac:dyDescent="0.3">
      <c r="A123" s="502"/>
      <c r="B123" s="503" t="s">
        <v>1558</v>
      </c>
      <c r="C123" s="504"/>
      <c r="D123" s="505"/>
      <c r="E123" s="566"/>
      <c r="F123" s="586"/>
      <c r="G123" s="786"/>
      <c r="H123" s="787"/>
      <c r="I123" s="567"/>
      <c r="J123" s="590"/>
      <c r="K123" s="491"/>
    </row>
    <row r="124" spans="1:12" ht="33.75" customHeight="1" outlineLevel="1" x14ac:dyDescent="0.3">
      <c r="A124" s="443">
        <f>A122+1</f>
        <v>97</v>
      </c>
      <c r="B124" s="428" t="s">
        <v>1557</v>
      </c>
      <c r="C124" s="442" t="s">
        <v>17</v>
      </c>
      <c r="D124" s="565">
        <v>192.19</v>
      </c>
      <c r="E124" s="575">
        <f>ROUND(F124/D124,2)</f>
        <v>882.19</v>
      </c>
      <c r="F124" s="585">
        <f>ROUND(726720.33/823.77*D124,2)</f>
        <v>169547.79</v>
      </c>
      <c r="G124" s="767">
        <v>208</v>
      </c>
      <c r="H124" s="785">
        <f t="shared" si="45"/>
        <v>39975.519999999997</v>
      </c>
      <c r="I124" s="482">
        <f t="shared" si="48"/>
        <v>674.19</v>
      </c>
      <c r="J124" s="481">
        <f t="shared" ref="J124:J127" si="54">F124-H124</f>
        <v>129572.27000000002</v>
      </c>
    </row>
    <row r="125" spans="1:12" ht="36.75" customHeight="1" outlineLevel="1" x14ac:dyDescent="0.3">
      <c r="A125" s="443">
        <f>A124+1</f>
        <v>98</v>
      </c>
      <c r="B125" s="428" t="s">
        <v>1559</v>
      </c>
      <c r="C125" s="442" t="s">
        <v>17</v>
      </c>
      <c r="D125" s="565">
        <v>631.58000000000004</v>
      </c>
      <c r="E125" s="575">
        <f>ROUND(F125/D125,2)</f>
        <v>882.19</v>
      </c>
      <c r="F125" s="585">
        <f>ROUND(726720.33/823.77*D125,2)</f>
        <v>557172.54</v>
      </c>
      <c r="G125" s="767">
        <v>208</v>
      </c>
      <c r="H125" s="785">
        <f t="shared" si="45"/>
        <v>131368.64000000001</v>
      </c>
      <c r="I125" s="482">
        <f t="shared" si="48"/>
        <v>674.19</v>
      </c>
      <c r="J125" s="481">
        <f t="shared" si="54"/>
        <v>425803.9</v>
      </c>
    </row>
    <row r="126" spans="1:12" ht="21" customHeight="1" outlineLevel="1" x14ac:dyDescent="0.3">
      <c r="A126" s="443">
        <f t="shared" ref="A126:A130" si="55">A125+1</f>
        <v>99</v>
      </c>
      <c r="B126" s="428" t="s">
        <v>1560</v>
      </c>
      <c r="C126" s="442" t="s">
        <v>17</v>
      </c>
      <c r="D126" s="565">
        <f>192.19+D125</f>
        <v>823.77</v>
      </c>
      <c r="E126" s="575">
        <f>ROUND(F126/D126,2)</f>
        <v>55.19</v>
      </c>
      <c r="F126" s="585">
        <f>45460.55</f>
        <v>45460.55</v>
      </c>
      <c r="G126" s="767">
        <v>260</v>
      </c>
      <c r="H126" s="785">
        <f t="shared" si="45"/>
        <v>214180.2</v>
      </c>
      <c r="I126" s="482">
        <f t="shared" si="48"/>
        <v>-204.81</v>
      </c>
      <c r="J126" s="481">
        <f t="shared" si="54"/>
        <v>-168719.65000000002</v>
      </c>
    </row>
    <row r="127" spans="1:12" ht="21.75" customHeight="1" outlineLevel="1" x14ac:dyDescent="0.3">
      <c r="A127" s="443">
        <f t="shared" si="55"/>
        <v>100</v>
      </c>
      <c r="B127" s="428" t="s">
        <v>1561</v>
      </c>
      <c r="C127" s="442" t="s">
        <v>28</v>
      </c>
      <c r="D127" s="565">
        <f>(D124*2.11+D125*1.95)*0.25</f>
        <v>409.27547500000003</v>
      </c>
      <c r="E127" s="575">
        <f>ROUND(F127/D127,2)</f>
        <v>187.58</v>
      </c>
      <c r="F127" s="585">
        <v>76771.509999999995</v>
      </c>
      <c r="G127" s="767">
        <v>250</v>
      </c>
      <c r="H127" s="785">
        <f t="shared" si="45"/>
        <v>102318.87</v>
      </c>
      <c r="I127" s="482">
        <f t="shared" si="48"/>
        <v>-62.42</v>
      </c>
      <c r="J127" s="481">
        <f t="shared" si="54"/>
        <v>-25547.360000000001</v>
      </c>
    </row>
    <row r="128" spans="1:12" ht="22.5" customHeight="1" outlineLevel="1" x14ac:dyDescent="0.3">
      <c r="A128" s="443">
        <f t="shared" si="55"/>
        <v>101</v>
      </c>
      <c r="B128" s="428" t="s">
        <v>1564</v>
      </c>
      <c r="C128" s="442" t="s">
        <v>20</v>
      </c>
      <c r="D128" s="565">
        <v>613.98</v>
      </c>
      <c r="E128" s="575">
        <f t="shared" si="51"/>
        <v>51.68</v>
      </c>
      <c r="F128" s="585">
        <f>ROUND(35977.6/696.21*D128,2)</f>
        <v>31728.25</v>
      </c>
      <c r="G128" s="767">
        <v>104.5</v>
      </c>
      <c r="H128" s="785">
        <f t="shared" si="45"/>
        <v>64160.91</v>
      </c>
      <c r="I128" s="482">
        <f t="shared" si="48"/>
        <v>-52.82</v>
      </c>
      <c r="J128" s="481">
        <f t="shared" si="52"/>
        <v>-32432.660000000003</v>
      </c>
    </row>
    <row r="129" spans="1:11" ht="21.75" customHeight="1" outlineLevel="1" x14ac:dyDescent="0.3">
      <c r="A129" s="443">
        <f t="shared" si="55"/>
        <v>102</v>
      </c>
      <c r="B129" s="428" t="s">
        <v>1565</v>
      </c>
      <c r="C129" s="442" t="s">
        <v>20</v>
      </c>
      <c r="D129" s="565">
        <v>82.23</v>
      </c>
      <c r="E129" s="575">
        <f t="shared" si="51"/>
        <v>51.68</v>
      </c>
      <c r="F129" s="585">
        <f>ROUND(35977.6/696.21*D129,2)</f>
        <v>4249.3500000000004</v>
      </c>
      <c r="G129" s="767">
        <v>104.5</v>
      </c>
      <c r="H129" s="785">
        <f t="shared" si="45"/>
        <v>8593.0400000000009</v>
      </c>
      <c r="I129" s="482">
        <f t="shared" si="48"/>
        <v>-52.82</v>
      </c>
      <c r="J129" s="481">
        <f t="shared" si="52"/>
        <v>-4343.6900000000005</v>
      </c>
    </row>
    <row r="130" spans="1:11" ht="36" customHeight="1" outlineLevel="1" x14ac:dyDescent="0.3">
      <c r="A130" s="443">
        <f t="shared" si="55"/>
        <v>103</v>
      </c>
      <c r="B130" s="428" t="s">
        <v>1566</v>
      </c>
      <c r="C130" s="442" t="s">
        <v>17</v>
      </c>
      <c r="D130" s="565">
        <v>154.72999999999999</v>
      </c>
      <c r="E130" s="575">
        <f t="shared" si="51"/>
        <v>26.74</v>
      </c>
      <c r="F130" s="585">
        <v>4137.6899999999996</v>
      </c>
      <c r="G130" s="767">
        <v>1179.9000000000001</v>
      </c>
      <c r="H130" s="785">
        <f t="shared" si="45"/>
        <v>182565.93</v>
      </c>
      <c r="I130" s="482">
        <f t="shared" si="48"/>
        <v>-1153.1600000000001</v>
      </c>
      <c r="J130" s="481">
        <f t="shared" si="52"/>
        <v>-178428.24</v>
      </c>
    </row>
    <row r="131" spans="1:11" s="484" customFormat="1" ht="15" customHeight="1" outlineLevel="1" x14ac:dyDescent="0.3">
      <c r="A131" s="502"/>
      <c r="B131" s="503" t="s">
        <v>1570</v>
      </c>
      <c r="C131" s="504"/>
      <c r="D131" s="505"/>
      <c r="E131" s="566"/>
      <c r="F131" s="586"/>
      <c r="G131" s="786"/>
      <c r="H131" s="787"/>
      <c r="I131" s="567"/>
      <c r="J131" s="590"/>
      <c r="K131" s="491"/>
    </row>
    <row r="132" spans="1:11" ht="35.25" customHeight="1" outlineLevel="1" x14ac:dyDescent="0.3">
      <c r="A132" s="443">
        <f>A130+1</f>
        <v>104</v>
      </c>
      <c r="B132" s="428" t="s">
        <v>1737</v>
      </c>
      <c r="C132" s="442" t="s">
        <v>17</v>
      </c>
      <c r="D132" s="565">
        <v>60.95</v>
      </c>
      <c r="E132" s="575">
        <f t="shared" ref="E132:E138" si="56">ROUND(F132/D132,2)</f>
        <v>605.71</v>
      </c>
      <c r="F132" s="585">
        <v>36917.760000000002</v>
      </c>
      <c r="G132" s="767">
        <v>1179.9000000000001</v>
      </c>
      <c r="H132" s="785">
        <f t="shared" si="45"/>
        <v>71914.91</v>
      </c>
      <c r="I132" s="482">
        <f t="shared" si="48"/>
        <v>-574.19000000000005</v>
      </c>
      <c r="J132" s="481">
        <f t="shared" ref="J132:J139" si="57">F132-H132</f>
        <v>-34997.15</v>
      </c>
    </row>
    <row r="133" spans="1:11" ht="34.5" customHeight="1" outlineLevel="1" x14ac:dyDescent="0.3">
      <c r="A133" s="443">
        <f>A132+1</f>
        <v>105</v>
      </c>
      <c r="B133" s="428" t="s">
        <v>1572</v>
      </c>
      <c r="C133" s="442" t="s">
        <v>17</v>
      </c>
      <c r="D133" s="565">
        <f>874.78</f>
        <v>874.78</v>
      </c>
      <c r="E133" s="575">
        <f t="shared" si="56"/>
        <v>86.71</v>
      </c>
      <c r="F133" s="585">
        <v>75847.88</v>
      </c>
      <c r="G133" s="767">
        <v>80</v>
      </c>
      <c r="H133" s="785">
        <f t="shared" si="45"/>
        <v>69982.399999999994</v>
      </c>
      <c r="I133" s="482">
        <f t="shared" si="48"/>
        <v>6.71</v>
      </c>
      <c r="J133" s="481">
        <f t="shared" si="57"/>
        <v>5865.4800000000105</v>
      </c>
    </row>
    <row r="134" spans="1:11" ht="30" customHeight="1" outlineLevel="1" x14ac:dyDescent="0.3">
      <c r="A134" s="443">
        <f>A133+1</f>
        <v>106</v>
      </c>
      <c r="B134" s="428" t="s">
        <v>1573</v>
      </c>
      <c r="C134" s="442" t="s">
        <v>17</v>
      </c>
      <c r="D134" s="565">
        <v>19.43</v>
      </c>
      <c r="E134" s="576">
        <f t="shared" si="56"/>
        <v>2459.25</v>
      </c>
      <c r="F134" s="587">
        <v>47783.229999999996</v>
      </c>
      <c r="G134" s="767">
        <v>2459.25</v>
      </c>
      <c r="H134" s="785">
        <f t="shared" si="45"/>
        <v>47783.23</v>
      </c>
      <c r="I134" s="482">
        <f t="shared" si="48"/>
        <v>0</v>
      </c>
      <c r="J134" s="481">
        <f t="shared" si="57"/>
        <v>0</v>
      </c>
      <c r="K134" s="581"/>
    </row>
    <row r="135" spans="1:11" ht="30" customHeight="1" outlineLevel="1" x14ac:dyDescent="0.3">
      <c r="A135" s="443">
        <f>A134+1</f>
        <v>107</v>
      </c>
      <c r="B135" s="428" t="s">
        <v>1573</v>
      </c>
      <c r="C135" s="442" t="s">
        <v>17</v>
      </c>
      <c r="D135" s="565">
        <v>23.59</v>
      </c>
      <c r="E135" s="576">
        <f t="shared" si="56"/>
        <v>2459.25</v>
      </c>
      <c r="F135" s="587">
        <v>58013.71</v>
      </c>
      <c r="G135" s="767">
        <v>2459.25</v>
      </c>
      <c r="H135" s="785">
        <f t="shared" si="45"/>
        <v>58013.71</v>
      </c>
      <c r="I135" s="482">
        <f t="shared" si="48"/>
        <v>0</v>
      </c>
      <c r="J135" s="481">
        <f t="shared" si="57"/>
        <v>0</v>
      </c>
    </row>
    <row r="136" spans="1:11" ht="30" customHeight="1" outlineLevel="1" x14ac:dyDescent="0.3">
      <c r="A136" s="443">
        <f t="shared" ref="A136:A139" si="58">A135+1</f>
        <v>108</v>
      </c>
      <c r="B136" s="428" t="s">
        <v>1574</v>
      </c>
      <c r="C136" s="442" t="s">
        <v>17</v>
      </c>
      <c r="D136" s="565">
        <v>65.89</v>
      </c>
      <c r="E136" s="576">
        <f t="shared" si="56"/>
        <v>2459.25</v>
      </c>
      <c r="F136" s="587">
        <v>162039.98000000001</v>
      </c>
      <c r="G136" s="767">
        <v>2459.25</v>
      </c>
      <c r="H136" s="785">
        <f t="shared" si="45"/>
        <v>162039.98000000001</v>
      </c>
      <c r="I136" s="482">
        <f t="shared" si="48"/>
        <v>0</v>
      </c>
      <c r="J136" s="481">
        <f t="shared" si="57"/>
        <v>0</v>
      </c>
    </row>
    <row r="137" spans="1:11" ht="30" customHeight="1" outlineLevel="1" x14ac:dyDescent="0.3">
      <c r="A137" s="443">
        <f t="shared" si="58"/>
        <v>109</v>
      </c>
      <c r="B137" s="428" t="s">
        <v>1575</v>
      </c>
      <c r="C137" s="442" t="s">
        <v>17</v>
      </c>
      <c r="D137" s="565">
        <v>65.89</v>
      </c>
      <c r="E137" s="576">
        <f t="shared" si="56"/>
        <v>2459.25</v>
      </c>
      <c r="F137" s="587">
        <v>162039.98000000001</v>
      </c>
      <c r="G137" s="767">
        <v>2459.25</v>
      </c>
      <c r="H137" s="785">
        <f t="shared" si="45"/>
        <v>162039.98000000001</v>
      </c>
      <c r="I137" s="482">
        <f t="shared" si="48"/>
        <v>0</v>
      </c>
      <c r="J137" s="481">
        <f t="shared" si="57"/>
        <v>0</v>
      </c>
    </row>
    <row r="138" spans="1:11" ht="30" customHeight="1" outlineLevel="1" x14ac:dyDescent="0.3">
      <c r="A138" s="443">
        <f t="shared" si="58"/>
        <v>110</v>
      </c>
      <c r="B138" s="428" t="s">
        <v>1576</v>
      </c>
      <c r="C138" s="442" t="s">
        <v>17</v>
      </c>
      <c r="D138" s="565">
        <v>10.35</v>
      </c>
      <c r="E138" s="576">
        <f t="shared" si="56"/>
        <v>2459.25</v>
      </c>
      <c r="F138" s="587">
        <v>25453.24</v>
      </c>
      <c r="G138" s="767">
        <v>2459.25</v>
      </c>
      <c r="H138" s="785">
        <f t="shared" si="45"/>
        <v>25453.24</v>
      </c>
      <c r="I138" s="482">
        <f t="shared" si="48"/>
        <v>0</v>
      </c>
      <c r="J138" s="481">
        <f t="shared" si="57"/>
        <v>0</v>
      </c>
    </row>
    <row r="139" spans="1:11" ht="30" customHeight="1" outlineLevel="1" x14ac:dyDescent="0.3">
      <c r="A139" s="443">
        <f t="shared" si="58"/>
        <v>111</v>
      </c>
      <c r="B139" s="428" t="s">
        <v>1577</v>
      </c>
      <c r="C139" s="442" t="s">
        <v>17</v>
      </c>
      <c r="D139" s="565">
        <v>10.35</v>
      </c>
      <c r="E139" s="577">
        <f>ROUND(F139/D139,2)</f>
        <v>2459.25</v>
      </c>
      <c r="F139" s="587">
        <v>25453.24</v>
      </c>
      <c r="G139" s="767">
        <v>2459.25</v>
      </c>
      <c r="H139" s="785">
        <f t="shared" si="45"/>
        <v>25453.24</v>
      </c>
      <c r="I139" s="482">
        <f t="shared" si="48"/>
        <v>0</v>
      </c>
      <c r="J139" s="481">
        <f t="shared" si="57"/>
        <v>0</v>
      </c>
    </row>
    <row r="140" spans="1:11" s="484" customFormat="1" ht="15" customHeight="1" outlineLevel="1" x14ac:dyDescent="0.3">
      <c r="A140" s="502"/>
      <c r="B140" s="503" t="s">
        <v>1450</v>
      </c>
      <c r="C140" s="504"/>
      <c r="D140" s="505"/>
      <c r="E140" s="566"/>
      <c r="F140" s="586"/>
      <c r="G140" s="786"/>
      <c r="H140" s="787"/>
      <c r="I140" s="567"/>
      <c r="J140" s="590"/>
      <c r="K140" s="491"/>
    </row>
    <row r="141" spans="1:11" ht="30.75" customHeight="1" outlineLevel="1" x14ac:dyDescent="0.3">
      <c r="A141" s="443">
        <f>A139+1</f>
        <v>112</v>
      </c>
      <c r="B141" s="428" t="s">
        <v>1672</v>
      </c>
      <c r="C141" s="442" t="s">
        <v>5</v>
      </c>
      <c r="D141" s="565">
        <v>43.4</v>
      </c>
      <c r="E141" s="577">
        <f t="shared" ref="E141:E142" si="59">ROUND(F141/D141,2)</f>
        <v>1909.52</v>
      </c>
      <c r="F141" s="587">
        <f>157052.16-1018.46-44928.77-8723.03-19508.93+0.2</f>
        <v>82873.170000000027</v>
      </c>
      <c r="G141" s="788">
        <v>1909.52</v>
      </c>
      <c r="H141" s="785">
        <f t="shared" si="45"/>
        <v>82873.17</v>
      </c>
      <c r="I141" s="482">
        <f t="shared" si="48"/>
        <v>0</v>
      </c>
      <c r="J141" s="481">
        <f>F141-H141</f>
        <v>0</v>
      </c>
    </row>
    <row r="142" spans="1:11" ht="33.75" customHeight="1" outlineLevel="1" x14ac:dyDescent="0.3">
      <c r="A142" s="852">
        <f>A141+1</f>
        <v>113</v>
      </c>
      <c r="B142" s="428" t="s">
        <v>1670</v>
      </c>
      <c r="C142" s="442" t="s">
        <v>5</v>
      </c>
      <c r="D142" s="565">
        <v>21.96</v>
      </c>
      <c r="E142" s="854">
        <f t="shared" si="59"/>
        <v>1909.52</v>
      </c>
      <c r="F142" s="856">
        <f>79466.97-515.33-22733.54-4413.77-9871.34+0.07</f>
        <v>41933.060000000005</v>
      </c>
      <c r="G142" s="860">
        <v>1909.52</v>
      </c>
      <c r="H142" s="843">
        <f>ROUND(G142*D142,2)</f>
        <v>41933.06</v>
      </c>
      <c r="I142" s="848">
        <f>ROUND(E142-G142-G143,2)</f>
        <v>0</v>
      </c>
      <c r="J142" s="850">
        <f>F142-H142-H143</f>
        <v>7.2759576141834259E-12</v>
      </c>
    </row>
    <row r="143" spans="1:11" ht="30" customHeight="1" outlineLevel="1" x14ac:dyDescent="0.3">
      <c r="A143" s="853"/>
      <c r="B143" s="428" t="s">
        <v>1585</v>
      </c>
      <c r="C143" s="442" t="s">
        <v>40</v>
      </c>
      <c r="D143" s="568">
        <v>22</v>
      </c>
      <c r="E143" s="855"/>
      <c r="F143" s="857"/>
      <c r="G143" s="861"/>
      <c r="H143" s="844"/>
      <c r="I143" s="849"/>
      <c r="J143" s="851"/>
    </row>
    <row r="144" spans="1:11" ht="34.5" customHeight="1" outlineLevel="1" x14ac:dyDescent="0.3">
      <c r="A144" s="852">
        <f>A142+1</f>
        <v>114</v>
      </c>
      <c r="B144" s="428" t="s">
        <v>1671</v>
      </c>
      <c r="C144" s="442" t="s">
        <v>5</v>
      </c>
      <c r="D144" s="565">
        <v>106.27</v>
      </c>
      <c r="E144" s="854">
        <f>F144/D144</f>
        <v>2591.8000376399741</v>
      </c>
      <c r="F144" s="856">
        <f>(384560.67-2493.81-110013.37-21359.35-47769.91)+(241922.47-169415.82)-0.29</f>
        <v>275430.59000000003</v>
      </c>
      <c r="G144" s="860">
        <v>2591.8000000000002</v>
      </c>
      <c r="H144" s="843">
        <f>ROUND(G144*D144,2)</f>
        <v>275430.59000000003</v>
      </c>
      <c r="I144" s="848">
        <f>ROUND(E144-G144-G145,2)</f>
        <v>0</v>
      </c>
      <c r="J144" s="850">
        <f>F144-H144-H145</f>
        <v>0</v>
      </c>
    </row>
    <row r="145" spans="1:11" ht="30" customHeight="1" outlineLevel="1" x14ac:dyDescent="0.3">
      <c r="A145" s="853"/>
      <c r="B145" s="428" t="s">
        <v>1443</v>
      </c>
      <c r="C145" s="442" t="s">
        <v>40</v>
      </c>
      <c r="D145" s="568">
        <v>6</v>
      </c>
      <c r="E145" s="855"/>
      <c r="F145" s="857"/>
      <c r="G145" s="862"/>
      <c r="H145" s="844"/>
      <c r="I145" s="849"/>
      <c r="J145" s="851"/>
    </row>
    <row r="146" spans="1:11" s="484" customFormat="1" ht="15" customHeight="1" outlineLevel="1" x14ac:dyDescent="0.3">
      <c r="A146" s="535"/>
      <c r="B146" s="503" t="s">
        <v>1590</v>
      </c>
      <c r="C146" s="504"/>
      <c r="D146" s="505"/>
      <c r="E146" s="566"/>
      <c r="F146" s="586"/>
      <c r="G146" s="786"/>
      <c r="H146" s="787"/>
      <c r="I146" s="567"/>
      <c r="J146" s="590"/>
      <c r="K146" s="491"/>
    </row>
    <row r="147" spans="1:11" ht="21.75" customHeight="1" outlineLevel="1" x14ac:dyDescent="0.3">
      <c r="A147" s="443">
        <f>A144+1</f>
        <v>115</v>
      </c>
      <c r="B147" s="428" t="s">
        <v>1468</v>
      </c>
      <c r="C147" s="442" t="s">
        <v>1446</v>
      </c>
      <c r="D147" s="568">
        <v>6</v>
      </c>
      <c r="E147" s="575">
        <f>ROUND(F147/D147,2)</f>
        <v>3561.88</v>
      </c>
      <c r="F147" s="585">
        <f>21371.28</f>
        <v>21371.279999999999</v>
      </c>
      <c r="G147" s="767">
        <v>15000</v>
      </c>
      <c r="H147" s="785">
        <f t="shared" ref="H147:H155" si="60">ROUND(G147*D147,2)</f>
        <v>90000</v>
      </c>
      <c r="I147" s="482">
        <f t="shared" ref="I147:I155" si="61">ROUND(E147-G147,2)</f>
        <v>-11438.12</v>
      </c>
      <c r="J147" s="481">
        <f t="shared" ref="J147:J150" si="62">F147-H147</f>
        <v>-68628.72</v>
      </c>
    </row>
    <row r="148" spans="1:11" ht="23.25" customHeight="1" outlineLevel="1" x14ac:dyDescent="0.3">
      <c r="A148" s="443">
        <f t="shared" ref="A148:A150" si="63">A147+1</f>
        <v>116</v>
      </c>
      <c r="B148" s="428" t="s">
        <v>1469</v>
      </c>
      <c r="C148" s="442" t="s">
        <v>1446</v>
      </c>
      <c r="D148" s="568">
        <v>22</v>
      </c>
      <c r="E148" s="575">
        <f>ROUND(F148/D148,2)</f>
        <v>3561.88</v>
      </c>
      <c r="F148" s="585">
        <f>78361.35</f>
        <v>78361.350000000006</v>
      </c>
      <c r="G148" s="767">
        <v>15000</v>
      </c>
      <c r="H148" s="785">
        <f t="shared" si="60"/>
        <v>330000</v>
      </c>
      <c r="I148" s="482">
        <f t="shared" si="61"/>
        <v>-11438.12</v>
      </c>
      <c r="J148" s="481">
        <f t="shared" si="62"/>
        <v>-251638.65</v>
      </c>
    </row>
    <row r="149" spans="1:11" ht="23.25" customHeight="1" outlineLevel="1" x14ac:dyDescent="0.3">
      <c r="A149" s="443">
        <f t="shared" si="63"/>
        <v>117</v>
      </c>
      <c r="B149" s="428" t="s">
        <v>1470</v>
      </c>
      <c r="C149" s="442" t="s">
        <v>1446</v>
      </c>
      <c r="D149" s="568">
        <v>6</v>
      </c>
      <c r="E149" s="575">
        <f t="shared" ref="E149" si="64">ROUND(F149/D149,2)</f>
        <v>3561.88</v>
      </c>
      <c r="F149" s="585">
        <f>21371.28</f>
        <v>21371.279999999999</v>
      </c>
      <c r="G149" s="767">
        <v>15000</v>
      </c>
      <c r="H149" s="785">
        <f t="shared" si="60"/>
        <v>90000</v>
      </c>
      <c r="I149" s="482">
        <f t="shared" si="61"/>
        <v>-11438.12</v>
      </c>
      <c r="J149" s="481">
        <f t="shared" si="62"/>
        <v>-68628.72</v>
      </c>
    </row>
    <row r="150" spans="1:11" ht="21.75" customHeight="1" outlineLevel="1" x14ac:dyDescent="0.3">
      <c r="A150" s="443">
        <f t="shared" si="63"/>
        <v>118</v>
      </c>
      <c r="B150" s="428" t="s">
        <v>1591</v>
      </c>
      <c r="C150" s="442" t="s">
        <v>1446</v>
      </c>
      <c r="D150" s="568">
        <v>34</v>
      </c>
      <c r="E150" s="575">
        <f t="shared" ref="E150" si="65">ROUND(F150/D150,2)</f>
        <v>5140.8999999999996</v>
      </c>
      <c r="F150" s="585">
        <f>174790.73</f>
        <v>174790.73</v>
      </c>
      <c r="G150" s="767">
        <v>5000</v>
      </c>
      <c r="H150" s="785">
        <f t="shared" si="60"/>
        <v>170000</v>
      </c>
      <c r="I150" s="482">
        <f t="shared" si="61"/>
        <v>140.9</v>
      </c>
      <c r="J150" s="481">
        <f t="shared" si="62"/>
        <v>4790.7300000000105</v>
      </c>
    </row>
    <row r="151" spans="1:11" s="484" customFormat="1" ht="15" customHeight="1" outlineLevel="1" x14ac:dyDescent="0.3">
      <c r="A151" s="535"/>
      <c r="B151" s="503" t="s">
        <v>1594</v>
      </c>
      <c r="C151" s="504"/>
      <c r="D151" s="505"/>
      <c r="E151" s="566"/>
      <c r="F151" s="586"/>
      <c r="G151" s="786"/>
      <c r="H151" s="787"/>
      <c r="I151" s="567"/>
      <c r="J151" s="590"/>
      <c r="K151" s="491"/>
    </row>
    <row r="152" spans="1:11" ht="35.25" customHeight="1" outlineLevel="1" x14ac:dyDescent="0.3">
      <c r="A152" s="443">
        <f>A150+1</f>
        <v>119</v>
      </c>
      <c r="B152" s="428" t="s">
        <v>1593</v>
      </c>
      <c r="C152" s="442" t="s">
        <v>40</v>
      </c>
      <c r="D152" s="568">
        <v>1</v>
      </c>
      <c r="E152" s="575">
        <f t="shared" ref="E152" si="66">ROUND(F152/D152,2)</f>
        <v>13905.06</v>
      </c>
      <c r="F152" s="585">
        <f>59235.24-12581.36-32748.82</f>
        <v>13905.059999999998</v>
      </c>
      <c r="G152" s="767">
        <v>4278.4799999999996</v>
      </c>
      <c r="H152" s="785">
        <f t="shared" si="60"/>
        <v>4278.4799999999996</v>
      </c>
      <c r="I152" s="482">
        <f t="shared" si="61"/>
        <v>9626.58</v>
      </c>
      <c r="J152" s="481">
        <f t="shared" ref="J152" si="67">F152-H152</f>
        <v>9626.5799999999981</v>
      </c>
    </row>
    <row r="153" spans="1:11" ht="21" customHeight="1" outlineLevel="1" x14ac:dyDescent="0.3">
      <c r="A153" s="443">
        <f>A152+1</f>
        <v>120</v>
      </c>
      <c r="B153" s="428" t="s">
        <v>1521</v>
      </c>
      <c r="C153" s="442" t="s">
        <v>40</v>
      </c>
      <c r="D153" s="568">
        <v>1</v>
      </c>
      <c r="E153" s="575">
        <f t="shared" ref="E153" si="68">ROUND(F153/D153,2)</f>
        <v>1648.18</v>
      </c>
      <c r="F153" s="585">
        <f>ROUND(113724.24/69*D153,2)</f>
        <v>1648.18</v>
      </c>
      <c r="G153" s="767">
        <v>1648.18</v>
      </c>
      <c r="H153" s="785">
        <f t="shared" si="60"/>
        <v>1648.18</v>
      </c>
      <c r="I153" s="482">
        <f t="shared" si="61"/>
        <v>0</v>
      </c>
      <c r="J153" s="481">
        <f t="shared" ref="J153" si="69">F153-H153</f>
        <v>0</v>
      </c>
    </row>
    <row r="154" spans="1:11" s="484" customFormat="1" ht="15" customHeight="1" outlineLevel="1" x14ac:dyDescent="0.3">
      <c r="A154" s="535"/>
      <c r="B154" s="503" t="s">
        <v>1522</v>
      </c>
      <c r="C154" s="504"/>
      <c r="D154" s="505"/>
      <c r="E154" s="566"/>
      <c r="F154" s="586"/>
      <c r="G154" s="786"/>
      <c r="H154" s="787"/>
      <c r="I154" s="567"/>
      <c r="J154" s="590"/>
      <c r="K154" s="491"/>
    </row>
    <row r="155" spans="1:11" ht="24.75" customHeight="1" outlineLevel="1" x14ac:dyDescent="0.3">
      <c r="A155" s="443">
        <f>A153+1</f>
        <v>121</v>
      </c>
      <c r="B155" s="428" t="s">
        <v>1527</v>
      </c>
      <c r="C155" s="442" t="s">
        <v>17</v>
      </c>
      <c r="D155" s="565">
        <v>1.23</v>
      </c>
      <c r="E155" s="575">
        <f>ROUND(F155/D155,2)</f>
        <v>1317.11</v>
      </c>
      <c r="F155" s="585">
        <v>1620.05</v>
      </c>
      <c r="G155" s="767">
        <v>1680</v>
      </c>
      <c r="H155" s="785">
        <f t="shared" si="60"/>
        <v>2066.4</v>
      </c>
      <c r="I155" s="482">
        <f t="shared" si="61"/>
        <v>-362.89</v>
      </c>
      <c r="J155" s="481">
        <f>F155-H155</f>
        <v>-446.35000000000014</v>
      </c>
    </row>
    <row r="156" spans="1:11" ht="21.75" customHeight="1" outlineLevel="1" x14ac:dyDescent="0.3">
      <c r="A156" s="852">
        <f>A155+1</f>
        <v>122</v>
      </c>
      <c r="B156" s="428" t="s">
        <v>1523</v>
      </c>
      <c r="C156" s="442" t="s">
        <v>17</v>
      </c>
      <c r="D156" s="565">
        <v>2.4</v>
      </c>
      <c r="E156" s="854">
        <f>ROUND(F156/D157,2)</f>
        <v>950.56</v>
      </c>
      <c r="F156" s="856">
        <f>41824.64</f>
        <v>41824.639999999999</v>
      </c>
      <c r="G156" s="858">
        <v>950.56</v>
      </c>
      <c r="H156" s="843">
        <f>ROUND(G156*D157,2)</f>
        <v>41824.639999999999</v>
      </c>
      <c r="I156" s="848">
        <f>ROUND(E156-G156-G157,2)</f>
        <v>0</v>
      </c>
      <c r="J156" s="850">
        <f>F156-H156</f>
        <v>0</v>
      </c>
    </row>
    <row r="157" spans="1:11" ht="21" customHeight="1" outlineLevel="1" x14ac:dyDescent="0.3">
      <c r="A157" s="853"/>
      <c r="B157" s="428" t="s">
        <v>1386</v>
      </c>
      <c r="C157" s="442" t="s">
        <v>5</v>
      </c>
      <c r="D157" s="568">
        <v>44</v>
      </c>
      <c r="E157" s="855"/>
      <c r="F157" s="857"/>
      <c r="G157" s="859"/>
      <c r="H157" s="844"/>
      <c r="I157" s="849"/>
      <c r="J157" s="851"/>
    </row>
    <row r="158" spans="1:11" s="484" customFormat="1" ht="15" customHeight="1" outlineLevel="1" x14ac:dyDescent="0.3">
      <c r="A158" s="535"/>
      <c r="B158" s="503" t="s">
        <v>1595</v>
      </c>
      <c r="C158" s="504"/>
      <c r="D158" s="505"/>
      <c r="E158" s="566"/>
      <c r="F158" s="586"/>
      <c r="G158" s="786"/>
      <c r="H158" s="787"/>
      <c r="I158" s="567"/>
      <c r="J158" s="590"/>
      <c r="K158" s="491"/>
    </row>
    <row r="159" spans="1:11" ht="33.75" customHeight="1" outlineLevel="1" x14ac:dyDescent="0.3">
      <c r="A159" s="443">
        <f>A156+1</f>
        <v>123</v>
      </c>
      <c r="B159" s="428" t="s">
        <v>1596</v>
      </c>
      <c r="C159" s="442" t="s">
        <v>1131</v>
      </c>
      <c r="D159" s="565">
        <v>43.4</v>
      </c>
      <c r="E159" s="575">
        <f t="shared" ref="E159:E162" si="70">ROUND(F159/D159,2)</f>
        <v>1032.3</v>
      </c>
      <c r="F159" s="585">
        <f>180528.85/174.88*D159</f>
        <v>44801.876086459284</v>
      </c>
      <c r="G159" s="767">
        <v>1788.15</v>
      </c>
      <c r="H159" s="785">
        <f t="shared" ref="H159:H162" si="71">ROUND(G159*D159,2)</f>
        <v>77605.710000000006</v>
      </c>
      <c r="I159" s="482">
        <f t="shared" ref="I159:I162" si="72">ROUND(E159-G159,2)</f>
        <v>-755.85</v>
      </c>
      <c r="J159" s="481">
        <f t="shared" ref="J159:J162" si="73">F159-H159</f>
        <v>-32803.833913540722</v>
      </c>
      <c r="K159" s="489">
        <v>174.88</v>
      </c>
    </row>
    <row r="160" spans="1:11" ht="33.75" customHeight="1" outlineLevel="1" x14ac:dyDescent="0.3">
      <c r="A160" s="443">
        <f>A159+1</f>
        <v>124</v>
      </c>
      <c r="B160" s="428" t="s">
        <v>1717</v>
      </c>
      <c r="C160" s="442" t="s">
        <v>1131</v>
      </c>
      <c r="D160" s="565">
        <v>128.22999999999999</v>
      </c>
      <c r="E160" s="575">
        <f t="shared" si="70"/>
        <v>1032.3</v>
      </c>
      <c r="F160" s="585">
        <f>ROUND(180528.85/174.88*D160,2)</f>
        <v>132371.99</v>
      </c>
      <c r="G160" s="767">
        <v>1788.15</v>
      </c>
      <c r="H160" s="785">
        <f t="shared" si="71"/>
        <v>229294.47</v>
      </c>
      <c r="I160" s="482">
        <f t="shared" si="72"/>
        <v>-755.85</v>
      </c>
      <c r="J160" s="481">
        <f t="shared" si="73"/>
        <v>-96922.48000000001</v>
      </c>
    </row>
    <row r="161" spans="1:12" ht="30.75" customHeight="1" outlineLevel="1" x14ac:dyDescent="0.3">
      <c r="A161" s="443">
        <f t="shared" ref="A161:A162" si="74">A160+1</f>
        <v>125</v>
      </c>
      <c r="B161" s="428" t="s">
        <v>1597</v>
      </c>
      <c r="C161" s="442" t="s">
        <v>1131</v>
      </c>
      <c r="D161" s="565">
        <v>3.25</v>
      </c>
      <c r="E161" s="575">
        <f t="shared" si="70"/>
        <v>1032.3</v>
      </c>
      <c r="F161" s="585">
        <f>ROUND(180528.85/174.88*D161,2)</f>
        <v>3354.98</v>
      </c>
      <c r="G161" s="767">
        <v>1788.15</v>
      </c>
      <c r="H161" s="785">
        <f t="shared" si="71"/>
        <v>5811.49</v>
      </c>
      <c r="I161" s="482">
        <f t="shared" si="72"/>
        <v>-755.85</v>
      </c>
      <c r="J161" s="481">
        <f t="shared" si="73"/>
        <v>-2456.5099999999998</v>
      </c>
    </row>
    <row r="162" spans="1:12" ht="20.25" customHeight="1" outlineLevel="1" x14ac:dyDescent="0.3">
      <c r="A162" s="443">
        <f t="shared" si="74"/>
        <v>126</v>
      </c>
      <c r="B162" s="540" t="s">
        <v>1535</v>
      </c>
      <c r="C162" s="442" t="s">
        <v>1131</v>
      </c>
      <c r="D162" s="565">
        <v>171.63</v>
      </c>
      <c r="E162" s="575">
        <f t="shared" si="70"/>
        <v>0</v>
      </c>
      <c r="F162" s="585"/>
      <c r="G162" s="767"/>
      <c r="H162" s="785">
        <f t="shared" si="71"/>
        <v>0</v>
      </c>
      <c r="I162" s="482">
        <f t="shared" si="72"/>
        <v>0</v>
      </c>
      <c r="J162" s="481">
        <f t="shared" si="73"/>
        <v>0</v>
      </c>
      <c r="K162" s="489" t="s">
        <v>1536</v>
      </c>
    </row>
    <row r="163" spans="1:12" s="484" customFormat="1" ht="15" customHeight="1" outlineLevel="1" x14ac:dyDescent="0.3">
      <c r="A163" s="502"/>
      <c r="B163" s="503" t="s">
        <v>1542</v>
      </c>
      <c r="C163" s="504"/>
      <c r="D163" s="505"/>
      <c r="E163" s="566"/>
      <c r="F163" s="586"/>
      <c r="G163" s="786"/>
      <c r="H163" s="787"/>
      <c r="I163" s="567"/>
      <c r="J163" s="590"/>
      <c r="K163" s="491"/>
    </row>
    <row r="164" spans="1:12" ht="23.25" customHeight="1" outlineLevel="1" x14ac:dyDescent="0.3">
      <c r="A164" s="852">
        <f>A161+1</f>
        <v>126</v>
      </c>
      <c r="B164" s="428" t="s">
        <v>1549</v>
      </c>
      <c r="C164" s="442" t="s">
        <v>1391</v>
      </c>
      <c r="D164" s="568">
        <v>2</v>
      </c>
      <c r="E164" s="854">
        <f>ROUND(F164/D164,2)</f>
        <v>9667.85</v>
      </c>
      <c r="F164" s="856">
        <f>17509.11+4766.47-2891.24-48.64</f>
        <v>19335.700000000004</v>
      </c>
      <c r="G164" s="858">
        <v>38400</v>
      </c>
      <c r="H164" s="843">
        <f>ROUND(G164*D164,2)</f>
        <v>76800</v>
      </c>
      <c r="I164" s="848">
        <f>ROUND(E164-G164-G165,2)</f>
        <v>-28732.15</v>
      </c>
      <c r="J164" s="850">
        <f t="shared" ref="J164" si="75">F164-H164</f>
        <v>-57464.299999999996</v>
      </c>
    </row>
    <row r="165" spans="1:12" ht="23.25" customHeight="1" outlineLevel="1" x14ac:dyDescent="0.3">
      <c r="A165" s="853"/>
      <c r="B165" s="428" t="s">
        <v>1543</v>
      </c>
      <c r="C165" s="442" t="s">
        <v>40</v>
      </c>
      <c r="D165" s="568">
        <v>2</v>
      </c>
      <c r="E165" s="855"/>
      <c r="F165" s="857"/>
      <c r="G165" s="859"/>
      <c r="H165" s="844"/>
      <c r="I165" s="849"/>
      <c r="J165" s="851"/>
    </row>
    <row r="166" spans="1:12" ht="19.5" customHeight="1" outlineLevel="1" x14ac:dyDescent="0.3">
      <c r="A166" s="443">
        <f>A164+1</f>
        <v>127</v>
      </c>
      <c r="B166" s="428" t="s">
        <v>1544</v>
      </c>
      <c r="C166" s="442" t="s">
        <v>40</v>
      </c>
      <c r="D166" s="568">
        <v>2</v>
      </c>
      <c r="E166" s="575">
        <f t="shared" ref="E166:E167" si="76">ROUND(F166/D166,2)</f>
        <v>24747.98</v>
      </c>
      <c r="F166" s="585">
        <v>49495.96</v>
      </c>
      <c r="G166" s="767">
        <v>20000</v>
      </c>
      <c r="H166" s="785">
        <f t="shared" ref="H166:H170" si="77">ROUND(G166*D166,2)</f>
        <v>40000</v>
      </c>
      <c r="I166" s="482">
        <f t="shared" ref="I166:I170" si="78">ROUND(E166-G166,2)</f>
        <v>4747.9799999999996</v>
      </c>
      <c r="J166" s="481">
        <f t="shared" ref="J166:J170" si="79">F166-H166</f>
        <v>9495.9599999999991</v>
      </c>
      <c r="K166" s="478"/>
    </row>
    <row r="167" spans="1:12" ht="19.5" customHeight="1" outlineLevel="1" x14ac:dyDescent="0.3">
      <c r="A167" s="443">
        <f t="shared" ref="A167:A170" si="80">A166+1</f>
        <v>128</v>
      </c>
      <c r="B167" s="428" t="s">
        <v>1545</v>
      </c>
      <c r="C167" s="442" t="s">
        <v>40</v>
      </c>
      <c r="D167" s="568">
        <v>4</v>
      </c>
      <c r="E167" s="575">
        <f t="shared" si="76"/>
        <v>1199.08</v>
      </c>
      <c r="F167" s="585">
        <v>4796.3</v>
      </c>
      <c r="G167" s="767">
        <v>1558.8</v>
      </c>
      <c r="H167" s="785">
        <f t="shared" si="77"/>
        <v>6235.2</v>
      </c>
      <c r="I167" s="482">
        <f t="shared" si="78"/>
        <v>-359.72</v>
      </c>
      <c r="J167" s="481">
        <f t="shared" si="79"/>
        <v>-1438.8999999999996</v>
      </c>
      <c r="K167" s="478"/>
    </row>
    <row r="168" spans="1:12" ht="21.75" customHeight="1" outlineLevel="1" x14ac:dyDescent="0.3">
      <c r="A168" s="443">
        <f t="shared" si="80"/>
        <v>129</v>
      </c>
      <c r="B168" s="428" t="s">
        <v>1546</v>
      </c>
      <c r="C168" s="442" t="s">
        <v>40</v>
      </c>
      <c r="D168" s="568">
        <v>4</v>
      </c>
      <c r="E168" s="575">
        <f>ROUND(F168/D168,2)</f>
        <v>1128.04</v>
      </c>
      <c r="F168" s="585">
        <v>4512.1499999999996</v>
      </c>
      <c r="G168" s="767">
        <v>1466.44</v>
      </c>
      <c r="H168" s="785">
        <f t="shared" si="77"/>
        <v>5865.76</v>
      </c>
      <c r="I168" s="482">
        <f t="shared" si="78"/>
        <v>-338.4</v>
      </c>
      <c r="J168" s="481">
        <f t="shared" si="79"/>
        <v>-1353.6100000000006</v>
      </c>
    </row>
    <row r="169" spans="1:12" ht="23.25" customHeight="1" outlineLevel="1" x14ac:dyDescent="0.3">
      <c r="A169" s="443">
        <f t="shared" si="80"/>
        <v>130</v>
      </c>
      <c r="B169" s="428" t="s">
        <v>1547</v>
      </c>
      <c r="C169" s="442" t="s">
        <v>5</v>
      </c>
      <c r="D169" s="568">
        <v>40</v>
      </c>
      <c r="E169" s="575">
        <f t="shared" ref="E169:E170" si="81">ROUND(F169/D169,2)</f>
        <v>34.68</v>
      </c>
      <c r="F169" s="585">
        <v>1387.06</v>
      </c>
      <c r="G169" s="767">
        <v>80</v>
      </c>
      <c r="H169" s="785">
        <f t="shared" si="77"/>
        <v>3200</v>
      </c>
      <c r="I169" s="482">
        <f t="shared" si="78"/>
        <v>-45.32</v>
      </c>
      <c r="J169" s="481">
        <f t="shared" si="79"/>
        <v>-1812.94</v>
      </c>
    </row>
    <row r="170" spans="1:12" ht="19.5" customHeight="1" outlineLevel="1" x14ac:dyDescent="0.3">
      <c r="A170" s="443">
        <f t="shared" si="80"/>
        <v>131</v>
      </c>
      <c r="B170" s="428" t="s">
        <v>1548</v>
      </c>
      <c r="C170" s="442" t="s">
        <v>5</v>
      </c>
      <c r="D170" s="568">
        <v>40</v>
      </c>
      <c r="E170" s="575">
        <f t="shared" si="81"/>
        <v>53.24</v>
      </c>
      <c r="F170" s="585">
        <v>2129.7199999999998</v>
      </c>
      <c r="G170" s="767">
        <v>80</v>
      </c>
      <c r="H170" s="785">
        <f t="shared" si="77"/>
        <v>3200</v>
      </c>
      <c r="I170" s="482">
        <f t="shared" si="78"/>
        <v>-26.76</v>
      </c>
      <c r="J170" s="481">
        <f t="shared" si="79"/>
        <v>-1070.2800000000002</v>
      </c>
      <c r="K170" s="478"/>
    </row>
    <row r="171" spans="1:12" s="484" customFormat="1" ht="21.75" customHeight="1" x14ac:dyDescent="0.3">
      <c r="A171" s="555"/>
      <c r="B171" s="612" t="s">
        <v>1889</v>
      </c>
      <c r="C171" s="613"/>
      <c r="D171" s="614"/>
      <c r="E171" s="615"/>
      <c r="F171" s="616">
        <f>SUM(F117:F170)</f>
        <v>2701554.68608646</v>
      </c>
      <c r="G171" s="772"/>
      <c r="H171" s="773">
        <f>SUM(H117:H170)</f>
        <v>3406279.27</v>
      </c>
      <c r="I171" s="617"/>
      <c r="J171" s="616">
        <f>SUM(J117:J170)</f>
        <v>-704724.58391354082</v>
      </c>
      <c r="K171" s="550">
        <f>F171+'ТП М'!F122</f>
        <v>13249705.525166854</v>
      </c>
      <c r="L171" s="549"/>
    </row>
    <row r="172" spans="1:12" s="484" customFormat="1" ht="21.75" customHeight="1" x14ac:dyDescent="0.3">
      <c r="A172" s="486"/>
      <c r="B172" s="845" t="s">
        <v>1599</v>
      </c>
      <c r="C172" s="846"/>
      <c r="D172" s="846"/>
      <c r="E172" s="846"/>
      <c r="F172" s="846"/>
      <c r="G172" s="846"/>
      <c r="H172" s="846"/>
      <c r="I172" s="846"/>
      <c r="J172" s="847"/>
      <c r="K172" s="491"/>
    </row>
    <row r="173" spans="1:12" ht="22.5" customHeight="1" outlineLevel="1" x14ac:dyDescent="0.3">
      <c r="A173" s="443">
        <f>A170+1</f>
        <v>132</v>
      </c>
      <c r="B173" s="506" t="s">
        <v>1415</v>
      </c>
      <c r="C173" s="442" t="s">
        <v>5</v>
      </c>
      <c r="D173" s="565">
        <v>458.48</v>
      </c>
      <c r="E173" s="575">
        <f>ROUND(F173/D173,2)</f>
        <v>0</v>
      </c>
      <c r="F173" s="585"/>
      <c r="G173" s="767">
        <v>57.53</v>
      </c>
      <c r="H173" s="785">
        <f t="shared" ref="H173:H174" si="82">ROUND(G173*D173,2)</f>
        <v>26376.35</v>
      </c>
      <c r="I173" s="482">
        <f t="shared" ref="I173:I174" si="83">ROUND(E173-G173,2)</f>
        <v>-57.53</v>
      </c>
      <c r="J173" s="481">
        <f t="shared" ref="J173:J174" si="84">F173-H173</f>
        <v>-26376.35</v>
      </c>
    </row>
    <row r="174" spans="1:12" ht="21" customHeight="1" outlineLevel="1" x14ac:dyDescent="0.3">
      <c r="A174" s="443">
        <f>A173+1</f>
        <v>133</v>
      </c>
      <c r="B174" s="506" t="s">
        <v>1417</v>
      </c>
      <c r="C174" s="442" t="s">
        <v>1416</v>
      </c>
      <c r="D174" s="565">
        <v>11</v>
      </c>
      <c r="E174" s="575">
        <f>ROUND(F174/D174,2)</f>
        <v>0</v>
      </c>
      <c r="F174" s="585"/>
      <c r="G174" s="767">
        <v>2000</v>
      </c>
      <c r="H174" s="785">
        <f t="shared" si="82"/>
        <v>22000</v>
      </c>
      <c r="I174" s="482">
        <f t="shared" si="83"/>
        <v>-2000</v>
      </c>
      <c r="J174" s="481">
        <f t="shared" si="84"/>
        <v>-22000</v>
      </c>
    </row>
    <row r="175" spans="1:12" s="484" customFormat="1" ht="15" customHeight="1" outlineLevel="1" x14ac:dyDescent="0.3">
      <c r="A175" s="502"/>
      <c r="B175" s="503" t="s">
        <v>1418</v>
      </c>
      <c r="C175" s="504"/>
      <c r="D175" s="505"/>
      <c r="E175" s="566"/>
      <c r="F175" s="586"/>
      <c r="G175" s="786"/>
      <c r="H175" s="787"/>
      <c r="I175" s="567"/>
      <c r="J175" s="590"/>
      <c r="K175" s="491"/>
    </row>
    <row r="176" spans="1:12" ht="35.25" customHeight="1" outlineLevel="1" x14ac:dyDescent="0.3">
      <c r="A176" s="443">
        <f>A174+1</f>
        <v>134</v>
      </c>
      <c r="B176" s="428" t="s">
        <v>1553</v>
      </c>
      <c r="C176" s="442" t="s">
        <v>17</v>
      </c>
      <c r="D176" s="565">
        <v>1970.01</v>
      </c>
      <c r="E176" s="575">
        <f t="shared" ref="E176:E178" si="85">ROUND(F176/D176,2)</f>
        <v>9.19</v>
      </c>
      <c r="F176" s="585">
        <v>18099.29</v>
      </c>
      <c r="G176" s="767">
        <v>208</v>
      </c>
      <c r="H176" s="785">
        <f t="shared" ref="H176:H178" si="86">ROUND(G176*D176,2)</f>
        <v>409762.08</v>
      </c>
      <c r="I176" s="482">
        <f t="shared" ref="I176:I178" si="87">ROUND(E176-G176,2)</f>
        <v>-198.81</v>
      </c>
      <c r="J176" s="481">
        <f t="shared" ref="J176:J178" si="88">F176-H176</f>
        <v>-391662.79000000004</v>
      </c>
    </row>
    <row r="177" spans="1:11" ht="31.5" customHeight="1" outlineLevel="1" x14ac:dyDescent="0.3">
      <c r="A177" s="443">
        <f>A176+1</f>
        <v>135</v>
      </c>
      <c r="B177" s="428" t="s">
        <v>1732</v>
      </c>
      <c r="C177" s="442" t="s">
        <v>17</v>
      </c>
      <c r="D177" s="565">
        <v>1970.01</v>
      </c>
      <c r="E177" s="575">
        <f t="shared" si="85"/>
        <v>55.19</v>
      </c>
      <c r="F177" s="585">
        <v>108716.91</v>
      </c>
      <c r="G177" s="767">
        <v>260</v>
      </c>
      <c r="H177" s="785">
        <f t="shared" si="86"/>
        <v>512202.6</v>
      </c>
      <c r="I177" s="482">
        <f t="shared" si="87"/>
        <v>-204.81</v>
      </c>
      <c r="J177" s="481">
        <f t="shared" si="88"/>
        <v>-403485.68999999994</v>
      </c>
    </row>
    <row r="178" spans="1:11" ht="35.25" customHeight="1" outlineLevel="1" x14ac:dyDescent="0.3">
      <c r="A178" s="443">
        <f t="shared" ref="A178" si="89">A177+1</f>
        <v>136</v>
      </c>
      <c r="B178" s="428" t="s">
        <v>1733</v>
      </c>
      <c r="C178" s="442" t="s">
        <v>28</v>
      </c>
      <c r="D178" s="565">
        <f>D177*1.95</f>
        <v>3841.5194999999999</v>
      </c>
      <c r="E178" s="575">
        <f t="shared" si="85"/>
        <v>187.58</v>
      </c>
      <c r="F178" s="585">
        <v>720580.8</v>
      </c>
      <c r="G178" s="767">
        <v>250</v>
      </c>
      <c r="H178" s="785">
        <f t="shared" si="86"/>
        <v>960379.88</v>
      </c>
      <c r="I178" s="482">
        <f t="shared" si="87"/>
        <v>-62.42</v>
      </c>
      <c r="J178" s="481">
        <f t="shared" si="88"/>
        <v>-239799.07999999996</v>
      </c>
    </row>
    <row r="179" spans="1:11" s="484" customFormat="1" ht="15" customHeight="1" outlineLevel="1" x14ac:dyDescent="0.3">
      <c r="A179" s="502"/>
      <c r="B179" s="503" t="s">
        <v>1558</v>
      </c>
      <c r="C179" s="504"/>
      <c r="D179" s="505"/>
      <c r="E179" s="566"/>
      <c r="F179" s="586"/>
      <c r="G179" s="786"/>
      <c r="H179" s="787"/>
      <c r="I179" s="567"/>
      <c r="J179" s="590"/>
      <c r="K179" s="491"/>
    </row>
    <row r="180" spans="1:11" ht="24" customHeight="1" outlineLevel="1" x14ac:dyDescent="0.3">
      <c r="A180" s="443">
        <f>A178+1</f>
        <v>137</v>
      </c>
      <c r="B180" s="428" t="s">
        <v>1602</v>
      </c>
      <c r="C180" s="442" t="s">
        <v>17</v>
      </c>
      <c r="D180" s="565">
        <v>34.880000000000003</v>
      </c>
      <c r="E180" s="575">
        <f t="shared" ref="E180:E188" si="90">ROUND(F180/D180,2)</f>
        <v>882.19</v>
      </c>
      <c r="F180" s="585">
        <f t="shared" ref="F180:F186" si="91">ROUND(1035636.24/1173.94*D180,2)</f>
        <v>30770.73</v>
      </c>
      <c r="G180" s="767">
        <v>465</v>
      </c>
      <c r="H180" s="785">
        <f t="shared" ref="H180:H191" si="92">ROUND(G180*D180,2)</f>
        <v>16219.2</v>
      </c>
      <c r="I180" s="482">
        <f t="shared" ref="I180:I191" si="93">ROUND(E180-G180,2)</f>
        <v>417.19</v>
      </c>
      <c r="J180" s="481">
        <f t="shared" ref="J180:J188" si="94">F180-H180</f>
        <v>14551.529999999999</v>
      </c>
    </row>
    <row r="181" spans="1:11" ht="23.25" customHeight="1" outlineLevel="1" x14ac:dyDescent="0.3">
      <c r="A181" s="443">
        <f>A180+1</f>
        <v>138</v>
      </c>
      <c r="B181" s="428" t="s">
        <v>1601</v>
      </c>
      <c r="C181" s="442" t="s">
        <v>17</v>
      </c>
      <c r="D181" s="565">
        <v>1.22</v>
      </c>
      <c r="E181" s="575">
        <f t="shared" si="90"/>
        <v>882.19</v>
      </c>
      <c r="F181" s="585">
        <f t="shared" si="91"/>
        <v>1076.27</v>
      </c>
      <c r="G181" s="767">
        <v>465</v>
      </c>
      <c r="H181" s="785">
        <f t="shared" si="92"/>
        <v>567.29999999999995</v>
      </c>
      <c r="I181" s="482">
        <f t="shared" si="93"/>
        <v>417.19</v>
      </c>
      <c r="J181" s="481">
        <f t="shared" si="94"/>
        <v>508.97</v>
      </c>
    </row>
    <row r="182" spans="1:11" ht="25.5" customHeight="1" outlineLevel="1" x14ac:dyDescent="0.3">
      <c r="A182" s="443">
        <f>A181+1</f>
        <v>139</v>
      </c>
      <c r="B182" s="428" t="s">
        <v>1600</v>
      </c>
      <c r="C182" s="442" t="s">
        <v>17</v>
      </c>
      <c r="D182" s="565">
        <v>5.35</v>
      </c>
      <c r="E182" s="575">
        <f t="shared" si="90"/>
        <v>882.19</v>
      </c>
      <c r="F182" s="585">
        <f t="shared" si="91"/>
        <v>4719.71</v>
      </c>
      <c r="G182" s="767">
        <v>465</v>
      </c>
      <c r="H182" s="785">
        <f t="shared" si="92"/>
        <v>2487.75</v>
      </c>
      <c r="I182" s="482">
        <f t="shared" si="93"/>
        <v>417.19</v>
      </c>
      <c r="J182" s="481">
        <f t="shared" si="94"/>
        <v>2231.96</v>
      </c>
    </row>
    <row r="183" spans="1:11" ht="28.5" customHeight="1" outlineLevel="1" x14ac:dyDescent="0.3">
      <c r="A183" s="443">
        <f>A182+1</f>
        <v>140</v>
      </c>
      <c r="B183" s="428" t="s">
        <v>1604</v>
      </c>
      <c r="C183" s="442" t="s">
        <v>17</v>
      </c>
      <c r="D183" s="565">
        <v>791.73</v>
      </c>
      <c r="E183" s="575">
        <f t="shared" si="90"/>
        <v>882.19</v>
      </c>
      <c r="F183" s="585">
        <f t="shared" si="91"/>
        <v>698455.01</v>
      </c>
      <c r="G183" s="767">
        <v>465</v>
      </c>
      <c r="H183" s="785">
        <f t="shared" si="92"/>
        <v>368154.45</v>
      </c>
      <c r="I183" s="482">
        <f t="shared" si="93"/>
        <v>417.19</v>
      </c>
      <c r="J183" s="481">
        <f t="shared" si="94"/>
        <v>330300.56</v>
      </c>
    </row>
    <row r="184" spans="1:11" ht="24.75" customHeight="1" outlineLevel="1" x14ac:dyDescent="0.3">
      <c r="A184" s="443">
        <f t="shared" ref="A184:A191" si="95">A183+1</f>
        <v>141</v>
      </c>
      <c r="B184" s="428" t="s">
        <v>1605</v>
      </c>
      <c r="C184" s="442" t="s">
        <v>17</v>
      </c>
      <c r="D184" s="565">
        <v>103.21</v>
      </c>
      <c r="E184" s="575">
        <f t="shared" si="90"/>
        <v>882.19</v>
      </c>
      <c r="F184" s="585">
        <f t="shared" si="91"/>
        <v>91050.66</v>
      </c>
      <c r="G184" s="767">
        <v>465</v>
      </c>
      <c r="H184" s="785">
        <f t="shared" si="92"/>
        <v>47992.65</v>
      </c>
      <c r="I184" s="482">
        <f t="shared" si="93"/>
        <v>417.19</v>
      </c>
      <c r="J184" s="481">
        <f t="shared" si="94"/>
        <v>43058.01</v>
      </c>
    </row>
    <row r="185" spans="1:11" ht="24.75" customHeight="1" outlineLevel="1" x14ac:dyDescent="0.3">
      <c r="A185" s="443">
        <f t="shared" si="95"/>
        <v>142</v>
      </c>
      <c r="B185" s="428" t="s">
        <v>1606</v>
      </c>
      <c r="C185" s="442" t="s">
        <v>17</v>
      </c>
      <c r="D185" s="565">
        <v>116.63</v>
      </c>
      <c r="E185" s="575">
        <f t="shared" si="90"/>
        <v>882.19</v>
      </c>
      <c r="F185" s="585">
        <f t="shared" si="91"/>
        <v>102889.63</v>
      </c>
      <c r="G185" s="767">
        <v>465</v>
      </c>
      <c r="H185" s="785">
        <f t="shared" si="92"/>
        <v>54232.95</v>
      </c>
      <c r="I185" s="482">
        <f t="shared" si="93"/>
        <v>417.19</v>
      </c>
      <c r="J185" s="481">
        <f t="shared" si="94"/>
        <v>48656.680000000008</v>
      </c>
    </row>
    <row r="186" spans="1:11" ht="23.25" customHeight="1" outlineLevel="1" x14ac:dyDescent="0.3">
      <c r="A186" s="443">
        <f t="shared" si="95"/>
        <v>143</v>
      </c>
      <c r="B186" s="428" t="s">
        <v>1603</v>
      </c>
      <c r="C186" s="442" t="s">
        <v>17</v>
      </c>
      <c r="D186" s="565">
        <v>120.92</v>
      </c>
      <c r="E186" s="575">
        <f t="shared" si="90"/>
        <v>882.19</v>
      </c>
      <c r="F186" s="585">
        <f t="shared" si="91"/>
        <v>106674.22</v>
      </c>
      <c r="G186" s="767">
        <v>465</v>
      </c>
      <c r="H186" s="785">
        <f t="shared" si="92"/>
        <v>56227.8</v>
      </c>
      <c r="I186" s="482">
        <f t="shared" si="93"/>
        <v>417.19</v>
      </c>
      <c r="J186" s="481">
        <f t="shared" si="94"/>
        <v>50446.42</v>
      </c>
    </row>
    <row r="187" spans="1:11" ht="21" customHeight="1" outlineLevel="1" x14ac:dyDescent="0.3">
      <c r="A187" s="443">
        <f t="shared" si="95"/>
        <v>144</v>
      </c>
      <c r="B187" s="428" t="s">
        <v>1560</v>
      </c>
      <c r="C187" s="442" t="s">
        <v>17</v>
      </c>
      <c r="D187" s="565">
        <f>D180+D181+D182+D183+D184+D185+D186</f>
        <v>1173.94</v>
      </c>
      <c r="E187" s="575">
        <f t="shared" si="90"/>
        <v>55.19</v>
      </c>
      <c r="F187" s="585">
        <v>64785.02</v>
      </c>
      <c r="G187" s="767">
        <v>260</v>
      </c>
      <c r="H187" s="785">
        <f t="shared" si="92"/>
        <v>305224.40000000002</v>
      </c>
      <c r="I187" s="482">
        <f t="shared" si="93"/>
        <v>-204.81</v>
      </c>
      <c r="J187" s="481">
        <f t="shared" si="94"/>
        <v>-240439.38000000003</v>
      </c>
    </row>
    <row r="188" spans="1:11" ht="21.75" customHeight="1" outlineLevel="1" x14ac:dyDescent="0.3">
      <c r="A188" s="443">
        <f t="shared" si="95"/>
        <v>145</v>
      </c>
      <c r="B188" s="428" t="s">
        <v>1561</v>
      </c>
      <c r="C188" s="442" t="s">
        <v>28</v>
      </c>
      <c r="D188" s="565">
        <f>(66.62+1.79+10.86+1543.87+207.45+222.76+255.14)*0.25</f>
        <v>577.12249999999995</v>
      </c>
      <c r="E188" s="575">
        <f t="shared" si="90"/>
        <v>187.58</v>
      </c>
      <c r="F188" s="585">
        <v>108254.44</v>
      </c>
      <c r="G188" s="767">
        <v>250</v>
      </c>
      <c r="H188" s="785">
        <f t="shared" si="92"/>
        <v>144280.63</v>
      </c>
      <c r="I188" s="482">
        <f t="shared" si="93"/>
        <v>-62.42</v>
      </c>
      <c r="J188" s="481">
        <f t="shared" si="94"/>
        <v>-36026.19</v>
      </c>
    </row>
    <row r="189" spans="1:11" ht="22.5" customHeight="1" outlineLevel="1" x14ac:dyDescent="0.3">
      <c r="A189" s="443">
        <f t="shared" si="95"/>
        <v>146</v>
      </c>
      <c r="B189" s="428" t="s">
        <v>1564</v>
      </c>
      <c r="C189" s="442" t="s">
        <v>20</v>
      </c>
      <c r="D189" s="565">
        <f>1077.98</f>
        <v>1077.98</v>
      </c>
      <c r="E189" s="575">
        <f t="shared" ref="E189:E191" si="96">ROUND(F189/D189,2)</f>
        <v>51.68</v>
      </c>
      <c r="F189" s="585">
        <f>ROUND(63148.39/1221.998*D189,2)</f>
        <v>55706.07</v>
      </c>
      <c r="G189" s="767">
        <v>104.5</v>
      </c>
      <c r="H189" s="785">
        <f t="shared" si="92"/>
        <v>112648.91</v>
      </c>
      <c r="I189" s="482">
        <f t="shared" si="93"/>
        <v>-52.82</v>
      </c>
      <c r="J189" s="481">
        <f t="shared" ref="J189:J191" si="97">F189-H189</f>
        <v>-56942.840000000004</v>
      </c>
    </row>
    <row r="190" spans="1:11" ht="21.75" customHeight="1" outlineLevel="1" x14ac:dyDescent="0.3">
      <c r="A190" s="443">
        <f t="shared" si="95"/>
        <v>147</v>
      </c>
      <c r="B190" s="428" t="s">
        <v>1565</v>
      </c>
      <c r="C190" s="442" t="s">
        <v>20</v>
      </c>
      <c r="D190" s="565">
        <f>144.018</f>
        <v>144.018</v>
      </c>
      <c r="E190" s="575">
        <f t="shared" si="96"/>
        <v>51.68</v>
      </c>
      <c r="F190" s="585">
        <f>ROUND(63148.39/1221.998*D190,2)</f>
        <v>7442.32</v>
      </c>
      <c r="G190" s="767">
        <v>104.5</v>
      </c>
      <c r="H190" s="785">
        <f t="shared" si="92"/>
        <v>15049.88</v>
      </c>
      <c r="I190" s="482">
        <f t="shared" si="93"/>
        <v>-52.82</v>
      </c>
      <c r="J190" s="481">
        <f t="shared" si="97"/>
        <v>-7607.5599999999995</v>
      </c>
    </row>
    <row r="191" spans="1:11" ht="36" customHeight="1" outlineLevel="1" x14ac:dyDescent="0.3">
      <c r="A191" s="443">
        <f t="shared" si="95"/>
        <v>148</v>
      </c>
      <c r="B191" s="428" t="s">
        <v>1566</v>
      </c>
      <c r="C191" s="442" t="s">
        <v>17</v>
      </c>
      <c r="D191" s="565">
        <v>731.87</v>
      </c>
      <c r="E191" s="575">
        <f t="shared" si="96"/>
        <v>26.74</v>
      </c>
      <c r="F191" s="585">
        <v>19571.2</v>
      </c>
      <c r="G191" s="767">
        <v>1179.9000000000001</v>
      </c>
      <c r="H191" s="785">
        <f t="shared" si="92"/>
        <v>863533.41</v>
      </c>
      <c r="I191" s="482">
        <f t="shared" si="93"/>
        <v>-1153.1600000000001</v>
      </c>
      <c r="J191" s="481">
        <f t="shared" si="97"/>
        <v>-843962.21000000008</v>
      </c>
    </row>
    <row r="192" spans="1:11" s="484" customFormat="1" ht="15" customHeight="1" outlineLevel="1" x14ac:dyDescent="0.3">
      <c r="A192" s="502"/>
      <c r="B192" s="503" t="s">
        <v>1608</v>
      </c>
      <c r="C192" s="504"/>
      <c r="D192" s="505"/>
      <c r="E192" s="566"/>
      <c r="F192" s="586"/>
      <c r="G192" s="786"/>
      <c r="H192" s="787"/>
      <c r="I192" s="567"/>
      <c r="J192" s="590"/>
      <c r="K192" s="491"/>
    </row>
    <row r="193" spans="1:12" ht="35.25" customHeight="1" outlineLevel="1" x14ac:dyDescent="0.3">
      <c r="A193" s="443">
        <f>A191+1</f>
        <v>149</v>
      </c>
      <c r="B193" s="428" t="s">
        <v>1737</v>
      </c>
      <c r="C193" s="442" t="s">
        <v>17</v>
      </c>
      <c r="D193" s="565">
        <v>23.68</v>
      </c>
      <c r="E193" s="575">
        <f t="shared" ref="E193:E195" si="98">ROUND(F193/D193,2)</f>
        <v>605.71</v>
      </c>
      <c r="F193" s="585">
        <v>14343.11</v>
      </c>
      <c r="G193" s="767">
        <v>1179.9000000000001</v>
      </c>
      <c r="H193" s="785">
        <f t="shared" ref="H193:H202" si="99">ROUND(G193*D193,2)</f>
        <v>27940.03</v>
      </c>
      <c r="I193" s="482">
        <f t="shared" ref="I193:I202" si="100">ROUND(E193-G193,2)</f>
        <v>-574.19000000000005</v>
      </c>
      <c r="J193" s="481">
        <f t="shared" ref="J193:J200" si="101">F193-H193</f>
        <v>-13596.919999999998</v>
      </c>
    </row>
    <row r="194" spans="1:12" ht="34.5" customHeight="1" outlineLevel="1" x14ac:dyDescent="0.3">
      <c r="A194" s="443">
        <f>A193+1</f>
        <v>150</v>
      </c>
      <c r="B194" s="428" t="s">
        <v>1572</v>
      </c>
      <c r="C194" s="442" t="s">
        <v>20</v>
      </c>
      <c r="D194" s="565">
        <v>575.84</v>
      </c>
      <c r="E194" s="575">
        <f t="shared" si="98"/>
        <v>86.71</v>
      </c>
      <c r="F194" s="585">
        <v>49928.28</v>
      </c>
      <c r="G194" s="767">
        <v>80</v>
      </c>
      <c r="H194" s="785">
        <f t="shared" si="99"/>
        <v>46067.199999999997</v>
      </c>
      <c r="I194" s="482">
        <f t="shared" si="100"/>
        <v>6.71</v>
      </c>
      <c r="J194" s="481">
        <f t="shared" si="101"/>
        <v>3861.0800000000017</v>
      </c>
    </row>
    <row r="195" spans="1:12" ht="30" customHeight="1" outlineLevel="1" x14ac:dyDescent="0.3">
      <c r="A195" s="443">
        <f>A194+1</f>
        <v>151</v>
      </c>
      <c r="B195" s="428" t="s">
        <v>1609</v>
      </c>
      <c r="C195" s="442" t="s">
        <v>17</v>
      </c>
      <c r="D195" s="565">
        <v>45.66</v>
      </c>
      <c r="E195" s="576">
        <f t="shared" si="98"/>
        <v>2459.25</v>
      </c>
      <c r="F195" s="587">
        <v>112289.36</v>
      </c>
      <c r="G195" s="767">
        <v>2459.25</v>
      </c>
      <c r="H195" s="785">
        <f t="shared" si="99"/>
        <v>112289.36</v>
      </c>
      <c r="I195" s="482">
        <f t="shared" si="100"/>
        <v>0</v>
      </c>
      <c r="J195" s="481">
        <f t="shared" si="101"/>
        <v>0</v>
      </c>
      <c r="K195" s="538">
        <v>908.25</v>
      </c>
      <c r="L195" s="539" t="s">
        <v>1651</v>
      </c>
    </row>
    <row r="196" spans="1:12" ht="30" customHeight="1" outlineLevel="1" x14ac:dyDescent="0.3">
      <c r="A196" s="443">
        <f>A195+1</f>
        <v>152</v>
      </c>
      <c r="B196" s="428" t="s">
        <v>1610</v>
      </c>
      <c r="C196" s="442" t="s">
        <v>17</v>
      </c>
      <c r="D196" s="565">
        <v>8.83</v>
      </c>
      <c r="E196" s="552">
        <v>2459.25</v>
      </c>
      <c r="F196" s="587">
        <v>21715.18</v>
      </c>
      <c r="G196" s="767">
        <v>2459.25</v>
      </c>
      <c r="H196" s="785">
        <f t="shared" si="99"/>
        <v>21715.18</v>
      </c>
      <c r="I196" s="482">
        <f t="shared" si="100"/>
        <v>0</v>
      </c>
      <c r="J196" s="481">
        <f t="shared" si="101"/>
        <v>0</v>
      </c>
    </row>
    <row r="197" spans="1:12" ht="30" customHeight="1" outlineLevel="1" x14ac:dyDescent="0.3">
      <c r="A197" s="443">
        <f t="shared" ref="A197:A200" si="102">A196+1</f>
        <v>153</v>
      </c>
      <c r="B197" s="428" t="s">
        <v>1611</v>
      </c>
      <c r="C197" s="442" t="s">
        <v>17</v>
      </c>
      <c r="D197" s="565">
        <v>74.78</v>
      </c>
      <c r="E197" s="552">
        <v>2459.25</v>
      </c>
      <c r="F197" s="587">
        <v>183902.72</v>
      </c>
      <c r="G197" s="767">
        <v>2459.25</v>
      </c>
      <c r="H197" s="785">
        <f t="shared" si="99"/>
        <v>183902.72</v>
      </c>
      <c r="I197" s="482">
        <f t="shared" si="100"/>
        <v>0</v>
      </c>
      <c r="J197" s="481">
        <f t="shared" si="101"/>
        <v>0</v>
      </c>
    </row>
    <row r="198" spans="1:12" ht="30" customHeight="1" outlineLevel="1" x14ac:dyDescent="0.3">
      <c r="A198" s="443">
        <f t="shared" si="102"/>
        <v>154</v>
      </c>
      <c r="B198" s="428" t="s">
        <v>1612</v>
      </c>
      <c r="C198" s="442" t="s">
        <v>17</v>
      </c>
      <c r="D198" s="565">
        <v>65.180000000000007</v>
      </c>
      <c r="E198" s="552">
        <v>2459.25</v>
      </c>
      <c r="F198" s="587">
        <v>160293.92000000001</v>
      </c>
      <c r="G198" s="767">
        <v>2459.25</v>
      </c>
      <c r="H198" s="785">
        <f t="shared" si="99"/>
        <v>160293.92000000001</v>
      </c>
      <c r="I198" s="482">
        <f t="shared" si="100"/>
        <v>0</v>
      </c>
      <c r="J198" s="481">
        <f t="shared" si="101"/>
        <v>0</v>
      </c>
    </row>
    <row r="199" spans="1:12" ht="30" customHeight="1" outlineLevel="1" x14ac:dyDescent="0.3">
      <c r="A199" s="443">
        <f t="shared" si="102"/>
        <v>155</v>
      </c>
      <c r="B199" s="428" t="s">
        <v>1613</v>
      </c>
      <c r="C199" s="442" t="s">
        <v>17</v>
      </c>
      <c r="D199" s="565">
        <v>121.48</v>
      </c>
      <c r="E199" s="552">
        <v>2459.25</v>
      </c>
      <c r="F199" s="587">
        <v>298749.69</v>
      </c>
      <c r="G199" s="767">
        <v>2459.25</v>
      </c>
      <c r="H199" s="785">
        <f t="shared" si="99"/>
        <v>298749.69</v>
      </c>
      <c r="I199" s="482">
        <f t="shared" si="100"/>
        <v>0</v>
      </c>
      <c r="J199" s="481">
        <f t="shared" si="101"/>
        <v>0</v>
      </c>
    </row>
    <row r="200" spans="1:12" ht="30" customHeight="1" outlineLevel="1" x14ac:dyDescent="0.3">
      <c r="A200" s="443">
        <f t="shared" si="102"/>
        <v>156</v>
      </c>
      <c r="B200" s="428" t="s">
        <v>1614</v>
      </c>
      <c r="C200" s="442" t="s">
        <v>17</v>
      </c>
      <c r="D200" s="565">
        <v>68.16</v>
      </c>
      <c r="E200" s="552">
        <v>2459.25</v>
      </c>
      <c r="F200" s="587">
        <v>167622.48000000001</v>
      </c>
      <c r="G200" s="767">
        <v>2459.25</v>
      </c>
      <c r="H200" s="785">
        <f t="shared" si="99"/>
        <v>167622.48000000001</v>
      </c>
      <c r="I200" s="482">
        <f t="shared" si="100"/>
        <v>0</v>
      </c>
      <c r="J200" s="481">
        <f t="shared" si="101"/>
        <v>0</v>
      </c>
    </row>
    <row r="201" spans="1:12" ht="30" customHeight="1" outlineLevel="1" x14ac:dyDescent="0.3">
      <c r="A201" s="443">
        <f t="shared" ref="A201" si="103">A200+1</f>
        <v>157</v>
      </c>
      <c r="B201" s="428" t="s">
        <v>1615</v>
      </c>
      <c r="C201" s="442" t="s">
        <v>17</v>
      </c>
      <c r="D201" s="565">
        <v>72.28</v>
      </c>
      <c r="E201" s="552">
        <v>2459.25</v>
      </c>
      <c r="F201" s="587">
        <v>177754.59</v>
      </c>
      <c r="G201" s="767">
        <v>2459.25</v>
      </c>
      <c r="H201" s="785">
        <f t="shared" si="99"/>
        <v>177754.59</v>
      </c>
      <c r="I201" s="482">
        <f t="shared" si="100"/>
        <v>0</v>
      </c>
      <c r="J201" s="481">
        <f t="shared" ref="J201" si="104">F201-H201</f>
        <v>0</v>
      </c>
    </row>
    <row r="202" spans="1:12" ht="30" customHeight="1" outlineLevel="1" x14ac:dyDescent="0.3">
      <c r="A202" s="443">
        <f t="shared" ref="A202" si="105">A201+1</f>
        <v>158</v>
      </c>
      <c r="B202" s="428" t="s">
        <v>1616</v>
      </c>
      <c r="C202" s="442" t="s">
        <v>17</v>
      </c>
      <c r="D202" s="565">
        <v>451.88</v>
      </c>
      <c r="E202" s="552">
        <v>2459.25</v>
      </c>
      <c r="F202" s="587">
        <v>1111285.8899999999</v>
      </c>
      <c r="G202" s="767">
        <v>2459.25</v>
      </c>
      <c r="H202" s="785">
        <f t="shared" si="99"/>
        <v>1111285.8899999999</v>
      </c>
      <c r="I202" s="482">
        <f t="shared" si="100"/>
        <v>0</v>
      </c>
      <c r="J202" s="481">
        <f t="shared" ref="J202" si="106">F202-H202</f>
        <v>0</v>
      </c>
    </row>
    <row r="203" spans="1:12" s="484" customFormat="1" ht="15" customHeight="1" outlineLevel="1" x14ac:dyDescent="0.3">
      <c r="A203" s="502"/>
      <c r="B203" s="503" t="s">
        <v>1450</v>
      </c>
      <c r="C203" s="504"/>
      <c r="D203" s="505"/>
      <c r="E203" s="566"/>
      <c r="F203" s="586"/>
      <c r="G203" s="786"/>
      <c r="H203" s="787"/>
      <c r="I203" s="567"/>
      <c r="J203" s="590"/>
      <c r="K203" s="491"/>
    </row>
    <row r="204" spans="1:12" ht="30.75" customHeight="1" outlineLevel="1" x14ac:dyDescent="0.3">
      <c r="A204" s="852">
        <f>A202+1</f>
        <v>159</v>
      </c>
      <c r="B204" s="428" t="s">
        <v>1668</v>
      </c>
      <c r="C204" s="442" t="s">
        <v>5</v>
      </c>
      <c r="D204" s="565">
        <v>122.57</v>
      </c>
      <c r="E204" s="854">
        <f t="shared" ref="E204:E206" si="107">ROUND(F204/D204,2)</f>
        <v>1909.52</v>
      </c>
      <c r="F204" s="856">
        <v>234049.87</v>
      </c>
      <c r="G204" s="860">
        <v>1909.52</v>
      </c>
      <c r="H204" s="843">
        <f>ROUND(G204*D204,2)</f>
        <v>234049.87</v>
      </c>
      <c r="I204" s="848">
        <f>ROUND(E204-G204-G205,2)</f>
        <v>0</v>
      </c>
      <c r="J204" s="850">
        <f>F204-H204-H205</f>
        <v>0</v>
      </c>
    </row>
    <row r="205" spans="1:12" ht="30" customHeight="1" outlineLevel="1" x14ac:dyDescent="0.3">
      <c r="A205" s="853"/>
      <c r="B205" s="428" t="s">
        <v>1585</v>
      </c>
      <c r="C205" s="442" t="s">
        <v>40</v>
      </c>
      <c r="D205" s="568">
        <v>10</v>
      </c>
      <c r="E205" s="855"/>
      <c r="F205" s="857"/>
      <c r="G205" s="861"/>
      <c r="H205" s="844"/>
      <c r="I205" s="849"/>
      <c r="J205" s="851"/>
    </row>
    <row r="206" spans="1:12" ht="33.75" customHeight="1" outlineLevel="1" x14ac:dyDescent="0.3">
      <c r="A206" s="852">
        <f>A204+1</f>
        <v>160</v>
      </c>
      <c r="B206" s="428" t="s">
        <v>1753</v>
      </c>
      <c r="C206" s="442" t="s">
        <v>5</v>
      </c>
      <c r="D206" s="565">
        <v>35.46</v>
      </c>
      <c r="E206" s="854">
        <f t="shared" si="107"/>
        <v>1909.52</v>
      </c>
      <c r="F206" s="856">
        <v>67711.58</v>
      </c>
      <c r="G206" s="858">
        <v>1909.52</v>
      </c>
      <c r="H206" s="843">
        <f>ROUND(G206*D206,2)</f>
        <v>67711.58</v>
      </c>
      <c r="I206" s="848">
        <f>ROUND(E206-G206-G207,2)</f>
        <v>0</v>
      </c>
      <c r="J206" s="850">
        <f>F206-H206-H207</f>
        <v>0</v>
      </c>
    </row>
    <row r="207" spans="1:12" ht="30" customHeight="1" outlineLevel="1" x14ac:dyDescent="0.3">
      <c r="A207" s="853"/>
      <c r="B207" s="428" t="s">
        <v>1585</v>
      </c>
      <c r="C207" s="442" t="s">
        <v>40</v>
      </c>
      <c r="D207" s="568">
        <v>22</v>
      </c>
      <c r="E207" s="855"/>
      <c r="F207" s="857"/>
      <c r="G207" s="859"/>
      <c r="H207" s="844"/>
      <c r="I207" s="849"/>
      <c r="J207" s="851"/>
    </row>
    <row r="208" spans="1:12" ht="34.5" customHeight="1" outlineLevel="1" x14ac:dyDescent="0.3">
      <c r="A208" s="852">
        <f>A206+1</f>
        <v>161</v>
      </c>
      <c r="B208" s="428" t="s">
        <v>1669</v>
      </c>
      <c r="C208" s="442" t="s">
        <v>5</v>
      </c>
      <c r="D208" s="565">
        <v>248.34</v>
      </c>
      <c r="E208" s="854">
        <f>F208/D208</f>
        <v>2591.7999919465246</v>
      </c>
      <c r="F208" s="856">
        <v>643647.61</v>
      </c>
      <c r="G208" s="860">
        <v>2591.8000000000002</v>
      </c>
      <c r="H208" s="843">
        <f>ROUND(G208*D208,2)</f>
        <v>643647.61</v>
      </c>
      <c r="I208" s="848">
        <f>ROUND(E208-G208-G209,2)</f>
        <v>0</v>
      </c>
      <c r="J208" s="850">
        <f>F208-H208-H209</f>
        <v>0</v>
      </c>
    </row>
    <row r="209" spans="1:11" ht="30" customHeight="1" outlineLevel="1" x14ac:dyDescent="0.3">
      <c r="A209" s="853"/>
      <c r="B209" s="428" t="s">
        <v>1443</v>
      </c>
      <c r="C209" s="442" t="s">
        <v>40</v>
      </c>
      <c r="D209" s="568">
        <v>6</v>
      </c>
      <c r="E209" s="855"/>
      <c r="F209" s="857"/>
      <c r="G209" s="862"/>
      <c r="H209" s="844"/>
      <c r="I209" s="849"/>
      <c r="J209" s="851"/>
    </row>
    <row r="210" spans="1:11" ht="34.5" customHeight="1" outlineLevel="1" x14ac:dyDescent="0.3">
      <c r="A210" s="443">
        <f>A208+1</f>
        <v>162</v>
      </c>
      <c r="B210" s="428" t="s">
        <v>1667</v>
      </c>
      <c r="C210" s="442" t="s">
        <v>1385</v>
      </c>
      <c r="D210" s="568">
        <v>1</v>
      </c>
      <c r="E210" s="575">
        <f t="shared" ref="E210:E215" si="108">ROUND(F210/D210,2)</f>
        <v>154091.81</v>
      </c>
      <c r="F210" s="585">
        <f>206933.53-52841.72</f>
        <v>154091.81</v>
      </c>
      <c r="G210" s="770">
        <v>205200</v>
      </c>
      <c r="H210" s="785">
        <f t="shared" ref="H210:H215" si="109">ROUND(G210*D210,2)</f>
        <v>205200</v>
      </c>
      <c r="I210" s="482">
        <f t="shared" ref="I210:I252" si="110">ROUND(E210-G210,2)</f>
        <v>-51108.19</v>
      </c>
      <c r="J210" s="481">
        <f t="shared" ref="J210:J215" si="111">F210-H210</f>
        <v>-51108.19</v>
      </c>
    </row>
    <row r="211" spans="1:11" ht="21.75" customHeight="1" outlineLevel="1" x14ac:dyDescent="0.3">
      <c r="A211" s="443">
        <f t="shared" ref="A211" si="112">A210+1</f>
        <v>163</v>
      </c>
      <c r="B211" s="428" t="s">
        <v>1436</v>
      </c>
      <c r="C211" s="442" t="s">
        <v>40</v>
      </c>
      <c r="D211" s="568">
        <v>1</v>
      </c>
      <c r="E211" s="575">
        <f t="shared" si="108"/>
        <v>11294.3</v>
      </c>
      <c r="F211" s="585">
        <v>11294.3</v>
      </c>
      <c r="G211" s="767">
        <v>11294.3</v>
      </c>
      <c r="H211" s="785">
        <f t="shared" si="109"/>
        <v>11294.3</v>
      </c>
      <c r="I211" s="482">
        <f t="shared" si="110"/>
        <v>0</v>
      </c>
      <c r="J211" s="481">
        <f t="shared" si="111"/>
        <v>0</v>
      </c>
    </row>
    <row r="212" spans="1:11" ht="34.5" customHeight="1" outlineLevel="1" x14ac:dyDescent="0.3">
      <c r="A212" s="443">
        <f t="shared" ref="A212:A215" si="113">A211+1</f>
        <v>164</v>
      </c>
      <c r="B212" s="428" t="s">
        <v>1666</v>
      </c>
      <c r="C212" s="442" t="s">
        <v>1385</v>
      </c>
      <c r="D212" s="568">
        <v>1</v>
      </c>
      <c r="E212" s="575">
        <f t="shared" si="108"/>
        <v>170874.33</v>
      </c>
      <c r="F212" s="585">
        <f>238813.69-67939.36</f>
        <v>170874.33000000002</v>
      </c>
      <c r="G212" s="770">
        <v>205200</v>
      </c>
      <c r="H212" s="785">
        <f t="shared" si="109"/>
        <v>205200</v>
      </c>
      <c r="I212" s="482">
        <f t="shared" si="110"/>
        <v>-34325.67</v>
      </c>
      <c r="J212" s="481">
        <f t="shared" si="111"/>
        <v>-34325.669999999984</v>
      </c>
    </row>
    <row r="213" spans="1:11" ht="21.75" customHeight="1" outlineLevel="1" x14ac:dyDescent="0.3">
      <c r="A213" s="443">
        <f t="shared" si="113"/>
        <v>165</v>
      </c>
      <c r="B213" s="428" t="s">
        <v>1436</v>
      </c>
      <c r="C213" s="442" t="s">
        <v>40</v>
      </c>
      <c r="D213" s="568">
        <v>1</v>
      </c>
      <c r="E213" s="575">
        <f t="shared" si="108"/>
        <v>11294.3</v>
      </c>
      <c r="F213" s="585">
        <v>11294.3</v>
      </c>
      <c r="G213" s="767">
        <v>11294.3</v>
      </c>
      <c r="H213" s="785">
        <f t="shared" si="109"/>
        <v>11294.3</v>
      </c>
      <c r="I213" s="482">
        <f t="shared" si="110"/>
        <v>0</v>
      </c>
      <c r="J213" s="481">
        <f t="shared" si="111"/>
        <v>0</v>
      </c>
    </row>
    <row r="214" spans="1:11" ht="34.5" customHeight="1" outlineLevel="1" x14ac:dyDescent="0.3">
      <c r="A214" s="443">
        <f t="shared" si="113"/>
        <v>166</v>
      </c>
      <c r="B214" s="428" t="s">
        <v>1621</v>
      </c>
      <c r="C214" s="442" t="s">
        <v>40</v>
      </c>
      <c r="D214" s="568">
        <v>28</v>
      </c>
      <c r="E214" s="575">
        <f t="shared" ref="E214" si="114">ROUND(F214/D214,2)</f>
        <v>1456.03</v>
      </c>
      <c r="F214" s="585">
        <f>49088.28-597.53-7721.79</f>
        <v>40768.959999999999</v>
      </c>
      <c r="G214" s="767">
        <v>1909.52</v>
      </c>
      <c r="H214" s="785">
        <f t="shared" si="109"/>
        <v>53466.559999999998</v>
      </c>
      <c r="I214" s="482">
        <f t="shared" si="110"/>
        <v>-453.49</v>
      </c>
      <c r="J214" s="481">
        <f t="shared" ref="J214" si="115">F214-H214</f>
        <v>-12697.599999999999</v>
      </c>
    </row>
    <row r="215" spans="1:11" ht="23.25" customHeight="1" outlineLevel="1" x14ac:dyDescent="0.3">
      <c r="A215" s="443">
        <f t="shared" si="113"/>
        <v>167</v>
      </c>
      <c r="B215" s="428" t="s">
        <v>1445</v>
      </c>
      <c r="C215" s="442" t="s">
        <v>40</v>
      </c>
      <c r="D215" s="568">
        <v>28</v>
      </c>
      <c r="E215" s="575">
        <f t="shared" si="108"/>
        <v>1019.22</v>
      </c>
      <c r="F215" s="585">
        <f>28538.16</f>
        <v>28538.16</v>
      </c>
      <c r="G215" s="767">
        <v>1019.22</v>
      </c>
      <c r="H215" s="785">
        <f t="shared" si="109"/>
        <v>28538.16</v>
      </c>
      <c r="I215" s="482">
        <f t="shared" si="110"/>
        <v>0</v>
      </c>
      <c r="J215" s="481">
        <f t="shared" si="111"/>
        <v>0</v>
      </c>
    </row>
    <row r="216" spans="1:11" s="484" customFormat="1" ht="15" customHeight="1" outlineLevel="1" x14ac:dyDescent="0.3">
      <c r="A216" s="502"/>
      <c r="B216" s="503" t="s">
        <v>1590</v>
      </c>
      <c r="C216" s="504"/>
      <c r="D216" s="505"/>
      <c r="E216" s="566"/>
      <c r="F216" s="586"/>
      <c r="G216" s="786"/>
      <c r="H216" s="787"/>
      <c r="I216" s="567"/>
      <c r="J216" s="590"/>
      <c r="K216" s="491"/>
    </row>
    <row r="217" spans="1:11" ht="21.75" customHeight="1" outlineLevel="1" x14ac:dyDescent="0.3">
      <c r="A217" s="443">
        <f>A215+1</f>
        <v>168</v>
      </c>
      <c r="B217" s="428" t="s">
        <v>1468</v>
      </c>
      <c r="C217" s="442" t="s">
        <v>1446</v>
      </c>
      <c r="D217" s="568">
        <v>6</v>
      </c>
      <c r="E217" s="575">
        <f>ROUND(F217/D217,2)</f>
        <v>3561.88</v>
      </c>
      <c r="F217" s="585">
        <f>21371.28</f>
        <v>21371.279999999999</v>
      </c>
      <c r="G217" s="767">
        <v>15000</v>
      </c>
      <c r="H217" s="785">
        <f t="shared" ref="H217:H222" si="116">ROUND(G217*D217,2)</f>
        <v>90000</v>
      </c>
      <c r="I217" s="482">
        <f t="shared" si="110"/>
        <v>-11438.12</v>
      </c>
      <c r="J217" s="481">
        <f t="shared" ref="J217:J222" si="117">F217-H217</f>
        <v>-68628.72</v>
      </c>
    </row>
    <row r="218" spans="1:11" ht="23.25" customHeight="1" outlineLevel="1" x14ac:dyDescent="0.3">
      <c r="A218" s="443">
        <f t="shared" ref="A218:A222" si="118">A217+1</f>
        <v>169</v>
      </c>
      <c r="B218" s="428" t="s">
        <v>1469</v>
      </c>
      <c r="C218" s="442" t="s">
        <v>1446</v>
      </c>
      <c r="D218" s="568">
        <v>22</v>
      </c>
      <c r="E218" s="575">
        <f>ROUND(F218/D218,2)</f>
        <v>3561.88</v>
      </c>
      <c r="F218" s="585">
        <f>78361.35</f>
        <v>78361.350000000006</v>
      </c>
      <c r="G218" s="767">
        <v>15000</v>
      </c>
      <c r="H218" s="785">
        <f t="shared" si="116"/>
        <v>330000</v>
      </c>
      <c r="I218" s="482">
        <f t="shared" si="110"/>
        <v>-11438.12</v>
      </c>
      <c r="J218" s="481">
        <f t="shared" si="117"/>
        <v>-251638.65</v>
      </c>
    </row>
    <row r="219" spans="1:11" ht="23.25" customHeight="1" outlineLevel="1" x14ac:dyDescent="0.3">
      <c r="A219" s="443">
        <f t="shared" si="118"/>
        <v>170</v>
      </c>
      <c r="B219" s="428" t="s">
        <v>1470</v>
      </c>
      <c r="C219" s="442" t="s">
        <v>1446</v>
      </c>
      <c r="D219" s="568">
        <v>6</v>
      </c>
      <c r="E219" s="575">
        <f t="shared" ref="E219:E222" si="119">ROUND(F219/D219,2)</f>
        <v>3561.88</v>
      </c>
      <c r="F219" s="585">
        <f>21371.28</f>
        <v>21371.279999999999</v>
      </c>
      <c r="G219" s="767">
        <v>15000</v>
      </c>
      <c r="H219" s="785">
        <f t="shared" si="116"/>
        <v>90000</v>
      </c>
      <c r="I219" s="482">
        <f t="shared" si="110"/>
        <v>-11438.12</v>
      </c>
      <c r="J219" s="481">
        <f t="shared" si="117"/>
        <v>-68628.72</v>
      </c>
    </row>
    <row r="220" spans="1:11" ht="33.75" customHeight="1" outlineLevel="1" x14ac:dyDescent="0.3">
      <c r="A220" s="443">
        <f t="shared" si="118"/>
        <v>171</v>
      </c>
      <c r="B220" s="428" t="s">
        <v>1622</v>
      </c>
      <c r="C220" s="442" t="s">
        <v>1446</v>
      </c>
      <c r="D220" s="568">
        <v>4</v>
      </c>
      <c r="E220" s="575">
        <f t="shared" ref="E220" si="120">ROUND(F220/D220,2)</f>
        <v>3561.88</v>
      </c>
      <c r="F220" s="585">
        <f>14247.53</f>
        <v>14247.53</v>
      </c>
      <c r="G220" s="767">
        <v>15000</v>
      </c>
      <c r="H220" s="785">
        <f t="shared" si="116"/>
        <v>60000</v>
      </c>
      <c r="I220" s="482">
        <f t="shared" si="110"/>
        <v>-11438.12</v>
      </c>
      <c r="J220" s="481">
        <f t="shared" ref="J220" si="121">F220-H220</f>
        <v>-45752.47</v>
      </c>
    </row>
    <row r="221" spans="1:11" ht="22.5" customHeight="1" outlineLevel="1" x14ac:dyDescent="0.3">
      <c r="A221" s="443">
        <f t="shared" si="118"/>
        <v>172</v>
      </c>
      <c r="B221" s="428" t="s">
        <v>1623</v>
      </c>
      <c r="C221" s="442" t="s">
        <v>1446</v>
      </c>
      <c r="D221" s="568">
        <v>28</v>
      </c>
      <c r="E221" s="575">
        <f t="shared" ref="E221" si="122">ROUND(F221/D221,2)</f>
        <v>3575.02</v>
      </c>
      <c r="F221" s="585">
        <f>100100.49</f>
        <v>100100.49</v>
      </c>
      <c r="G221" s="767">
        <v>15000</v>
      </c>
      <c r="H221" s="785">
        <f t="shared" si="116"/>
        <v>420000</v>
      </c>
      <c r="I221" s="482">
        <f t="shared" si="110"/>
        <v>-11424.98</v>
      </c>
      <c r="J221" s="481">
        <f t="shared" ref="J221" si="123">F221-H221</f>
        <v>-319899.51</v>
      </c>
    </row>
    <row r="222" spans="1:11" ht="21.75" customHeight="1" outlineLevel="1" x14ac:dyDescent="0.3">
      <c r="A222" s="443">
        <f t="shared" si="118"/>
        <v>173</v>
      </c>
      <c r="B222" s="428" t="s">
        <v>1591</v>
      </c>
      <c r="C222" s="442" t="s">
        <v>1446</v>
      </c>
      <c r="D222" s="568">
        <v>34</v>
      </c>
      <c r="E222" s="575">
        <f t="shared" si="119"/>
        <v>5140.8999999999996</v>
      </c>
      <c r="F222" s="585">
        <f>174790.73</f>
        <v>174790.73</v>
      </c>
      <c r="G222" s="767">
        <v>5000</v>
      </c>
      <c r="H222" s="785">
        <f t="shared" si="116"/>
        <v>170000</v>
      </c>
      <c r="I222" s="482">
        <f t="shared" si="110"/>
        <v>140.9</v>
      </c>
      <c r="J222" s="481">
        <f t="shared" si="117"/>
        <v>4790.7300000000105</v>
      </c>
    </row>
    <row r="223" spans="1:11" s="484" customFormat="1" ht="15" customHeight="1" outlineLevel="1" x14ac:dyDescent="0.3">
      <c r="A223" s="535"/>
      <c r="B223" s="503" t="s">
        <v>1594</v>
      </c>
      <c r="C223" s="504"/>
      <c r="D223" s="505"/>
      <c r="E223" s="566"/>
      <c r="F223" s="586"/>
      <c r="G223" s="786"/>
      <c r="H223" s="787"/>
      <c r="I223" s="567"/>
      <c r="J223" s="590"/>
      <c r="K223" s="491"/>
    </row>
    <row r="224" spans="1:11" ht="35.25" customHeight="1" outlineLevel="1" x14ac:dyDescent="0.3">
      <c r="A224" s="443">
        <f>A222+1</f>
        <v>174</v>
      </c>
      <c r="B224" s="428" t="s">
        <v>1593</v>
      </c>
      <c r="C224" s="442" t="s">
        <v>40</v>
      </c>
      <c r="D224" s="568">
        <v>1</v>
      </c>
      <c r="E224" s="575">
        <f t="shared" ref="E224:E225" si="124">ROUND(F224/D224,2)</f>
        <v>13905.06</v>
      </c>
      <c r="F224" s="585">
        <f>59235.24-12581.36-32748.82</f>
        <v>13905.059999999998</v>
      </c>
      <c r="G224" s="767">
        <v>4278.4799999999996</v>
      </c>
      <c r="H224" s="785">
        <f t="shared" ref="H224:H225" si="125">ROUND(G224*D224,2)</f>
        <v>4278.4799999999996</v>
      </c>
      <c r="I224" s="482">
        <f t="shared" si="110"/>
        <v>9626.58</v>
      </c>
      <c r="J224" s="481">
        <f t="shared" ref="J224:J225" si="126">F224-H224</f>
        <v>9626.5799999999981</v>
      </c>
    </row>
    <row r="225" spans="1:12" ht="21" customHeight="1" outlineLevel="1" x14ac:dyDescent="0.3">
      <c r="A225" s="443">
        <f>A224+1</f>
        <v>175</v>
      </c>
      <c r="B225" s="428" t="s">
        <v>1521</v>
      </c>
      <c r="C225" s="442" t="s">
        <v>40</v>
      </c>
      <c r="D225" s="568">
        <v>1</v>
      </c>
      <c r="E225" s="575">
        <f t="shared" si="124"/>
        <v>1648.18</v>
      </c>
      <c r="F225" s="585">
        <v>1648.18</v>
      </c>
      <c r="G225" s="767">
        <v>1648.18</v>
      </c>
      <c r="H225" s="785">
        <f t="shared" si="125"/>
        <v>1648.18</v>
      </c>
      <c r="I225" s="482">
        <f t="shared" si="110"/>
        <v>0</v>
      </c>
      <c r="J225" s="481">
        <f t="shared" si="126"/>
        <v>0</v>
      </c>
    </row>
    <row r="226" spans="1:12" s="484" customFormat="1" ht="15" customHeight="1" outlineLevel="1" x14ac:dyDescent="0.3">
      <c r="A226" s="502"/>
      <c r="B226" s="503" t="s">
        <v>1628</v>
      </c>
      <c r="C226" s="504"/>
      <c r="D226" s="505"/>
      <c r="E226" s="566"/>
      <c r="F226" s="586"/>
      <c r="G226" s="786"/>
      <c r="H226" s="787"/>
      <c r="I226" s="567"/>
      <c r="J226" s="590"/>
      <c r="K226" s="491" t="s">
        <v>1789</v>
      </c>
    </row>
    <row r="227" spans="1:12" ht="28.5" customHeight="1" outlineLevel="1" x14ac:dyDescent="0.3">
      <c r="A227" s="443">
        <f>A225+1</f>
        <v>176</v>
      </c>
      <c r="B227" s="428" t="s">
        <v>1629</v>
      </c>
      <c r="C227" s="442" t="s">
        <v>364</v>
      </c>
      <c r="D227" s="568">
        <v>19</v>
      </c>
      <c r="E227" s="575">
        <f t="shared" ref="E227:E231" si="127">ROUND(F227/D227,2)</f>
        <v>5168.8900000000003</v>
      </c>
      <c r="F227" s="585">
        <f>ROUND(182787.34/(81.339+43.32+26.73)*81.339,2)</f>
        <v>98208.85</v>
      </c>
      <c r="G227" s="767">
        <v>4699.8</v>
      </c>
      <c r="H227" s="785">
        <f t="shared" ref="H227:H239" si="128">ROUND(G227*D227,2)</f>
        <v>89296.2</v>
      </c>
      <c r="I227" s="482">
        <f t="shared" si="110"/>
        <v>469.09</v>
      </c>
      <c r="J227" s="481">
        <f t="shared" ref="J227:J238" si="129">F227-H227</f>
        <v>8912.6500000000087</v>
      </c>
      <c r="K227" s="528">
        <f>81.339+43.32+26.73</f>
        <v>151.38899999999998</v>
      </c>
      <c r="L227" s="527" t="s">
        <v>20</v>
      </c>
    </row>
    <row r="228" spans="1:12" ht="21.75" customHeight="1" outlineLevel="1" x14ac:dyDescent="0.3">
      <c r="A228" s="443">
        <f>A227+1</f>
        <v>177</v>
      </c>
      <c r="B228" s="428" t="s">
        <v>1630</v>
      </c>
      <c r="C228" s="442" t="s">
        <v>364</v>
      </c>
      <c r="D228" s="568">
        <v>19</v>
      </c>
      <c r="E228" s="575">
        <f t="shared" si="127"/>
        <v>2752.88</v>
      </c>
      <c r="F228" s="585">
        <f>ROUND(182787.34/(81.339+43.32+26.73)*43.32,2)</f>
        <v>52304.639999999999</v>
      </c>
      <c r="G228" s="767">
        <v>2503.0500000000002</v>
      </c>
      <c r="H228" s="785">
        <f t="shared" si="128"/>
        <v>47557.95</v>
      </c>
      <c r="I228" s="482">
        <f t="shared" si="110"/>
        <v>249.83</v>
      </c>
      <c r="J228" s="481">
        <f t="shared" si="129"/>
        <v>4746.6900000000023</v>
      </c>
    </row>
    <row r="229" spans="1:12" ht="20.25" customHeight="1" outlineLevel="1" x14ac:dyDescent="0.3">
      <c r="A229" s="443">
        <f>A228+1</f>
        <v>178</v>
      </c>
      <c r="B229" s="428" t="s">
        <v>1631</v>
      </c>
      <c r="C229" s="442" t="s">
        <v>364</v>
      </c>
      <c r="D229" s="568">
        <v>5</v>
      </c>
      <c r="E229" s="575">
        <f t="shared" si="127"/>
        <v>6454.77</v>
      </c>
      <c r="F229" s="585">
        <f>ROUND(182787.34/(81.339+43.32+26.73)*26.73,2)</f>
        <v>32273.85</v>
      </c>
      <c r="G229" s="767">
        <v>5618.69</v>
      </c>
      <c r="H229" s="785">
        <f t="shared" si="128"/>
        <v>28093.45</v>
      </c>
      <c r="I229" s="482">
        <f t="shared" si="110"/>
        <v>836.08</v>
      </c>
      <c r="J229" s="481">
        <f t="shared" si="129"/>
        <v>4180.3999999999978</v>
      </c>
    </row>
    <row r="230" spans="1:12" ht="20.25" customHeight="1" outlineLevel="1" x14ac:dyDescent="0.3">
      <c r="A230" s="443">
        <f t="shared" ref="A230:A235" si="130">A229+1</f>
        <v>179</v>
      </c>
      <c r="B230" s="428" t="s">
        <v>1633</v>
      </c>
      <c r="C230" s="442" t="s">
        <v>364</v>
      </c>
      <c r="D230" s="568">
        <v>38</v>
      </c>
      <c r="E230" s="575">
        <f t="shared" si="127"/>
        <v>0.63</v>
      </c>
      <c r="F230" s="585">
        <f>ROUND((1572.14-1517.66)/86*D230,2)</f>
        <v>24.07</v>
      </c>
      <c r="G230" s="767">
        <v>24</v>
      </c>
      <c r="H230" s="785">
        <f t="shared" si="128"/>
        <v>912</v>
      </c>
      <c r="I230" s="482">
        <f t="shared" si="110"/>
        <v>-23.37</v>
      </c>
      <c r="J230" s="481">
        <f t="shared" si="129"/>
        <v>-887.93</v>
      </c>
      <c r="K230" s="489">
        <f>0.077*0.044*10</f>
        <v>3.388E-2</v>
      </c>
    </row>
    <row r="231" spans="1:12" ht="21" customHeight="1" outlineLevel="1" x14ac:dyDescent="0.3">
      <c r="A231" s="443">
        <f t="shared" si="130"/>
        <v>180</v>
      </c>
      <c r="B231" s="428" t="s">
        <v>1634</v>
      </c>
      <c r="C231" s="442" t="s">
        <v>364</v>
      </c>
      <c r="D231" s="568">
        <v>38</v>
      </c>
      <c r="E231" s="575">
        <f t="shared" si="127"/>
        <v>0.63</v>
      </c>
      <c r="F231" s="585">
        <f>ROUND((1572.14-1517.66)/86*D231,2)</f>
        <v>24.07</v>
      </c>
      <c r="G231" s="767">
        <v>24</v>
      </c>
      <c r="H231" s="785">
        <f t="shared" si="128"/>
        <v>912</v>
      </c>
      <c r="I231" s="482">
        <f t="shared" si="110"/>
        <v>-23.37</v>
      </c>
      <c r="J231" s="481">
        <f t="shared" si="129"/>
        <v>-887.93</v>
      </c>
    </row>
    <row r="232" spans="1:12" ht="21.75" customHeight="1" outlineLevel="1" x14ac:dyDescent="0.3">
      <c r="A232" s="443">
        <f t="shared" si="130"/>
        <v>181</v>
      </c>
      <c r="B232" s="428" t="s">
        <v>1635</v>
      </c>
      <c r="C232" s="442" t="s">
        <v>364</v>
      </c>
      <c r="D232" s="568">
        <v>10</v>
      </c>
      <c r="E232" s="575">
        <f>ROUND(F232/D232,2)</f>
        <v>0.63</v>
      </c>
      <c r="F232" s="585">
        <f>ROUND((1572.14-1517.66)/86*D232,2)</f>
        <v>6.33</v>
      </c>
      <c r="G232" s="767">
        <v>24</v>
      </c>
      <c r="H232" s="785">
        <f t="shared" si="128"/>
        <v>240</v>
      </c>
      <c r="I232" s="482">
        <f t="shared" si="110"/>
        <v>-23.37</v>
      </c>
      <c r="J232" s="481">
        <f t="shared" si="129"/>
        <v>-233.67</v>
      </c>
    </row>
    <row r="233" spans="1:12" ht="23.25" customHeight="1" outlineLevel="1" x14ac:dyDescent="0.3">
      <c r="A233" s="443">
        <f t="shared" si="130"/>
        <v>182</v>
      </c>
      <c r="B233" s="428" t="s">
        <v>1498</v>
      </c>
      <c r="C233" s="442" t="s">
        <v>364</v>
      </c>
      <c r="D233" s="568">
        <v>190</v>
      </c>
      <c r="E233" s="575">
        <f>ROUND(F233/D233,2)</f>
        <v>3.65</v>
      </c>
      <c r="F233" s="585">
        <f>ROUND((37223.46-36346.47)/240*D233,2)</f>
        <v>694.28</v>
      </c>
      <c r="G233" s="767">
        <v>32</v>
      </c>
      <c r="H233" s="785">
        <f t="shared" si="128"/>
        <v>6080</v>
      </c>
      <c r="I233" s="482">
        <f t="shared" si="110"/>
        <v>-28.35</v>
      </c>
      <c r="J233" s="481">
        <f t="shared" si="129"/>
        <v>-5385.72</v>
      </c>
    </row>
    <row r="234" spans="1:12" ht="23.25" customHeight="1" outlineLevel="1" x14ac:dyDescent="0.3">
      <c r="A234" s="443">
        <f t="shared" si="130"/>
        <v>183</v>
      </c>
      <c r="B234" s="428" t="s">
        <v>1499</v>
      </c>
      <c r="C234" s="442" t="s">
        <v>364</v>
      </c>
      <c r="D234" s="568">
        <v>50</v>
      </c>
      <c r="E234" s="575">
        <f t="shared" ref="E234:E238" si="131">ROUND(F234/D234,2)</f>
        <v>3.65</v>
      </c>
      <c r="F234" s="585">
        <f>ROUND((37223.46-36346.47)/240*D234,2)</f>
        <v>182.71</v>
      </c>
      <c r="G234" s="767">
        <v>32</v>
      </c>
      <c r="H234" s="785">
        <f t="shared" si="128"/>
        <v>1600</v>
      </c>
      <c r="I234" s="482">
        <f t="shared" si="110"/>
        <v>-28.35</v>
      </c>
      <c r="J234" s="481">
        <f t="shared" si="129"/>
        <v>-1417.29</v>
      </c>
    </row>
    <row r="235" spans="1:12" ht="30" customHeight="1" outlineLevel="1" x14ac:dyDescent="0.3">
      <c r="A235" s="443">
        <f t="shared" si="130"/>
        <v>184</v>
      </c>
      <c r="B235" s="428" t="s">
        <v>1500</v>
      </c>
      <c r="C235" s="442" t="s">
        <v>364</v>
      </c>
      <c r="D235" s="568">
        <v>95</v>
      </c>
      <c r="E235" s="575">
        <f t="shared" si="131"/>
        <v>2.64</v>
      </c>
      <c r="F235" s="585">
        <f>10638.18-10387.56</f>
        <v>250.6200000000008</v>
      </c>
      <c r="G235" s="767">
        <v>32</v>
      </c>
      <c r="H235" s="785">
        <f t="shared" si="128"/>
        <v>3040</v>
      </c>
      <c r="I235" s="482">
        <f t="shared" si="110"/>
        <v>-29.36</v>
      </c>
      <c r="J235" s="481">
        <f t="shared" si="129"/>
        <v>-2789.3799999999992</v>
      </c>
      <c r="K235" s="478"/>
    </row>
    <row r="236" spans="1:12" ht="19.5" customHeight="1" outlineLevel="1" x14ac:dyDescent="0.3">
      <c r="A236" s="443">
        <f>A235+1</f>
        <v>185</v>
      </c>
      <c r="B236" s="428" t="s">
        <v>1502</v>
      </c>
      <c r="C236" s="442" t="s">
        <v>1390</v>
      </c>
      <c r="D236" s="568">
        <v>57</v>
      </c>
      <c r="E236" s="575">
        <f t="shared" si="131"/>
        <v>35.880000000000003</v>
      </c>
      <c r="F236" s="585">
        <f>ROUND((306111.11-298899.19)/201*D236,2)</f>
        <v>2045.17</v>
      </c>
      <c r="G236" s="767">
        <v>35</v>
      </c>
      <c r="H236" s="785">
        <f t="shared" si="128"/>
        <v>1995</v>
      </c>
      <c r="I236" s="482">
        <f t="shared" si="110"/>
        <v>0.88</v>
      </c>
      <c r="J236" s="481">
        <f t="shared" si="129"/>
        <v>50.170000000000073</v>
      </c>
      <c r="K236" s="478"/>
    </row>
    <row r="237" spans="1:12" ht="19.5" customHeight="1" outlineLevel="1" x14ac:dyDescent="0.3">
      <c r="A237" s="443">
        <f t="shared" ref="A237:A238" si="132">A236+1</f>
        <v>186</v>
      </c>
      <c r="B237" s="428" t="s">
        <v>1503</v>
      </c>
      <c r="C237" s="442" t="s">
        <v>1390</v>
      </c>
      <c r="D237" s="568">
        <v>114</v>
      </c>
      <c r="E237" s="575">
        <f t="shared" si="131"/>
        <v>35.880000000000003</v>
      </c>
      <c r="F237" s="585">
        <f>ROUND((306111.11-298899.19)/201*D237,2)</f>
        <v>4090.34</v>
      </c>
      <c r="G237" s="767">
        <v>35</v>
      </c>
      <c r="H237" s="785">
        <f t="shared" si="128"/>
        <v>3990</v>
      </c>
      <c r="I237" s="482">
        <f t="shared" si="110"/>
        <v>0.88</v>
      </c>
      <c r="J237" s="481">
        <f t="shared" si="129"/>
        <v>100.34000000000015</v>
      </c>
      <c r="K237" s="478"/>
    </row>
    <row r="238" spans="1:12" ht="19.5" customHeight="1" outlineLevel="1" x14ac:dyDescent="0.3">
      <c r="A238" s="443">
        <f t="shared" si="132"/>
        <v>187</v>
      </c>
      <c r="B238" s="428" t="s">
        <v>1504</v>
      </c>
      <c r="C238" s="442" t="s">
        <v>1390</v>
      </c>
      <c r="D238" s="568">
        <v>30</v>
      </c>
      <c r="E238" s="575">
        <f t="shared" si="131"/>
        <v>35.880000000000003</v>
      </c>
      <c r="F238" s="585">
        <f>ROUND((306111.11-298899.19)/201*D238,2)</f>
        <v>1076.4100000000001</v>
      </c>
      <c r="G238" s="767">
        <v>35</v>
      </c>
      <c r="H238" s="785">
        <f t="shared" si="128"/>
        <v>1050</v>
      </c>
      <c r="I238" s="482">
        <f t="shared" si="110"/>
        <v>0.88</v>
      </c>
      <c r="J238" s="481">
        <f t="shared" si="129"/>
        <v>26.410000000000082</v>
      </c>
      <c r="K238" s="478"/>
    </row>
    <row r="239" spans="1:12" ht="20.25" customHeight="1" outlineLevel="1" x14ac:dyDescent="0.3">
      <c r="A239" s="443">
        <f>A238+1</f>
        <v>188</v>
      </c>
      <c r="B239" s="428" t="s">
        <v>1701</v>
      </c>
      <c r="C239" s="442" t="s">
        <v>1390</v>
      </c>
      <c r="D239" s="568">
        <v>28</v>
      </c>
      <c r="E239" s="575">
        <f t="shared" ref="E239" si="133">ROUND(F239/D239,2)</f>
        <v>35.880000000000003</v>
      </c>
      <c r="F239" s="585">
        <f>ROUND((306111.11-298899.19)/201*D239,2)</f>
        <v>1004.65</v>
      </c>
      <c r="G239" s="767">
        <v>77.599999999999994</v>
      </c>
      <c r="H239" s="785">
        <f t="shared" si="128"/>
        <v>2172.8000000000002</v>
      </c>
      <c r="I239" s="482">
        <f t="shared" si="110"/>
        <v>-41.72</v>
      </c>
      <c r="J239" s="481">
        <f t="shared" ref="J239" si="134">F239-H239</f>
        <v>-1168.1500000000001</v>
      </c>
    </row>
    <row r="240" spans="1:12" s="484" customFormat="1" ht="15" customHeight="1" outlineLevel="1" x14ac:dyDescent="0.3">
      <c r="A240" s="502"/>
      <c r="B240" s="503" t="s">
        <v>1512</v>
      </c>
      <c r="C240" s="504"/>
      <c r="D240" s="505"/>
      <c r="E240" s="566"/>
      <c r="F240" s="586"/>
      <c r="G240" s="786"/>
      <c r="H240" s="787"/>
      <c r="I240" s="567"/>
      <c r="J240" s="590"/>
      <c r="K240" s="491"/>
    </row>
    <row r="241" spans="1:11" ht="21.75" customHeight="1" outlineLevel="1" x14ac:dyDescent="0.3">
      <c r="A241" s="443">
        <f>A239+1</f>
        <v>189</v>
      </c>
      <c r="B241" s="428" t="s">
        <v>1513</v>
      </c>
      <c r="C241" s="442" t="s">
        <v>20</v>
      </c>
      <c r="D241" s="568">
        <v>18</v>
      </c>
      <c r="E241" s="575">
        <f t="shared" ref="E241:E252" si="135">ROUND(F241/D241,2)</f>
        <v>957</v>
      </c>
      <c r="F241" s="585">
        <v>17226.03</v>
      </c>
      <c r="G241" s="767">
        <v>957</v>
      </c>
      <c r="H241" s="785">
        <f t="shared" ref="H241" si="136">ROUND(G241*D241,2)</f>
        <v>17226</v>
      </c>
      <c r="I241" s="482">
        <f t="shared" si="110"/>
        <v>0</v>
      </c>
      <c r="J241" s="481">
        <f t="shared" ref="J241:J252" si="137">F241-H241</f>
        <v>2.9999999998835847E-2</v>
      </c>
    </row>
    <row r="242" spans="1:11" s="484" customFormat="1" ht="15" customHeight="1" outlineLevel="1" x14ac:dyDescent="0.3">
      <c r="A242" s="535"/>
      <c r="B242" s="503" t="s">
        <v>1522</v>
      </c>
      <c r="C242" s="504"/>
      <c r="D242" s="505"/>
      <c r="E242" s="566"/>
      <c r="F242" s="586"/>
      <c r="G242" s="786"/>
      <c r="H242" s="787"/>
      <c r="I242" s="567"/>
      <c r="J242" s="590"/>
      <c r="K242" s="491"/>
    </row>
    <row r="243" spans="1:11" ht="31.5" customHeight="1" outlineLevel="1" x14ac:dyDescent="0.3">
      <c r="A243" s="443">
        <f>A241+1</f>
        <v>190</v>
      </c>
      <c r="B243" s="428" t="s">
        <v>1527</v>
      </c>
      <c r="C243" s="442" t="s">
        <v>17</v>
      </c>
      <c r="D243" s="565">
        <v>4.22</v>
      </c>
      <c r="E243" s="575">
        <f>ROUND(F243/D243,2)</f>
        <v>1317.11</v>
      </c>
      <c r="F243" s="585">
        <v>5558.19</v>
      </c>
      <c r="G243" s="767">
        <v>1680</v>
      </c>
      <c r="H243" s="785">
        <f t="shared" ref="H243" si="138">ROUND(G243*D243,2)</f>
        <v>7089.6</v>
      </c>
      <c r="I243" s="482">
        <f t="shared" si="110"/>
        <v>-362.89</v>
      </c>
      <c r="J243" s="481">
        <f>F243-H243</f>
        <v>-1531.4100000000008</v>
      </c>
    </row>
    <row r="244" spans="1:11" ht="21.75" customHeight="1" outlineLevel="1" x14ac:dyDescent="0.3">
      <c r="A244" s="852">
        <f>A243+1</f>
        <v>191</v>
      </c>
      <c r="B244" s="428" t="s">
        <v>1523</v>
      </c>
      <c r="C244" s="442" t="s">
        <v>17</v>
      </c>
      <c r="D244" s="565">
        <v>7.5</v>
      </c>
      <c r="E244" s="854">
        <f>ROUND(F244/D245,2)</f>
        <v>950.56</v>
      </c>
      <c r="F244" s="856">
        <f>143534.56</f>
        <v>143534.56</v>
      </c>
      <c r="G244" s="858">
        <v>950.56</v>
      </c>
      <c r="H244" s="843">
        <f>ROUND(G244*D245,2)</f>
        <v>143534.56</v>
      </c>
      <c r="I244" s="848">
        <f t="shared" si="110"/>
        <v>0</v>
      </c>
      <c r="J244" s="850">
        <f>F244-H244</f>
        <v>0</v>
      </c>
    </row>
    <row r="245" spans="1:11" ht="21" customHeight="1" outlineLevel="1" x14ac:dyDescent="0.3">
      <c r="A245" s="853"/>
      <c r="B245" s="428" t="s">
        <v>1386</v>
      </c>
      <c r="C245" s="442" t="s">
        <v>5</v>
      </c>
      <c r="D245" s="568">
        <v>151</v>
      </c>
      <c r="E245" s="855"/>
      <c r="F245" s="857"/>
      <c r="G245" s="859"/>
      <c r="H245" s="844"/>
      <c r="I245" s="849"/>
      <c r="J245" s="851"/>
    </row>
    <row r="246" spans="1:11" s="484" customFormat="1" ht="15" customHeight="1" outlineLevel="1" x14ac:dyDescent="0.3">
      <c r="A246" s="535"/>
      <c r="B246" s="503" t="s">
        <v>1637</v>
      </c>
      <c r="C246" s="504"/>
      <c r="D246" s="505"/>
      <c r="E246" s="566"/>
      <c r="F246" s="586"/>
      <c r="G246" s="786"/>
      <c r="H246" s="787"/>
      <c r="I246" s="567"/>
      <c r="J246" s="590"/>
      <c r="K246" s="491"/>
    </row>
    <row r="247" spans="1:11" ht="33.75" customHeight="1" outlineLevel="1" x14ac:dyDescent="0.3">
      <c r="A247" s="443">
        <f>A244+1</f>
        <v>192</v>
      </c>
      <c r="B247" s="428" t="s">
        <v>1638</v>
      </c>
      <c r="C247" s="442" t="s">
        <v>1131</v>
      </c>
      <c r="D247" s="565">
        <v>122.57</v>
      </c>
      <c r="E247" s="575">
        <f t="shared" ref="E247:E249" si="139">ROUND(F247/D247,2)</f>
        <v>1111.05</v>
      </c>
      <c r="F247" s="585">
        <f>ROUND(482251.71/434.05*D247,2)</f>
        <v>136181.53</v>
      </c>
      <c r="G247" s="767">
        <v>1788.15</v>
      </c>
      <c r="H247" s="785">
        <f t="shared" ref="H247:H252" si="140">ROUND(G247*D247,2)</f>
        <v>219173.55</v>
      </c>
      <c r="I247" s="482">
        <f t="shared" si="110"/>
        <v>-677.1</v>
      </c>
      <c r="J247" s="481">
        <f t="shared" ref="J247:J249" si="141">F247-H247</f>
        <v>-82992.01999999999</v>
      </c>
      <c r="K247" s="489">
        <v>434.05</v>
      </c>
    </row>
    <row r="248" spans="1:11" ht="33.75" customHeight="1" outlineLevel="1" x14ac:dyDescent="0.3">
      <c r="A248" s="443">
        <f>A247+1</f>
        <v>193</v>
      </c>
      <c r="B248" s="428" t="s">
        <v>1718</v>
      </c>
      <c r="C248" s="442" t="s">
        <v>1131</v>
      </c>
      <c r="D248" s="565">
        <v>283.8</v>
      </c>
      <c r="E248" s="575">
        <f t="shared" si="139"/>
        <v>1111.05</v>
      </c>
      <c r="F248" s="585">
        <f>ROUND(482251.71/434.05*D248,2)</f>
        <v>315316.28999999998</v>
      </c>
      <c r="G248" s="767">
        <v>1788.15</v>
      </c>
      <c r="H248" s="785">
        <f t="shared" si="140"/>
        <v>507476.97</v>
      </c>
      <c r="I248" s="482">
        <f t="shared" si="110"/>
        <v>-677.1</v>
      </c>
      <c r="J248" s="481">
        <f t="shared" si="141"/>
        <v>-192160.68</v>
      </c>
    </row>
    <row r="249" spans="1:11" ht="30.75" customHeight="1" outlineLevel="1" x14ac:dyDescent="0.3">
      <c r="A249" s="443">
        <f t="shared" ref="A249" si="142">A248+1</f>
        <v>194</v>
      </c>
      <c r="B249" s="428" t="s">
        <v>1716</v>
      </c>
      <c r="C249" s="442" t="s">
        <v>1131</v>
      </c>
      <c r="D249" s="565">
        <v>3.25</v>
      </c>
      <c r="E249" s="575">
        <f t="shared" si="139"/>
        <v>1111.05</v>
      </c>
      <c r="F249" s="585">
        <f>ROUND(482251.71/434.05*D249,2)</f>
        <v>3610.92</v>
      </c>
      <c r="G249" s="767">
        <v>1788.15</v>
      </c>
      <c r="H249" s="785">
        <f t="shared" si="140"/>
        <v>5811.49</v>
      </c>
      <c r="I249" s="482">
        <f t="shared" si="110"/>
        <v>-677.1</v>
      </c>
      <c r="J249" s="481">
        <f t="shared" si="141"/>
        <v>-2200.5699999999997</v>
      </c>
    </row>
    <row r="250" spans="1:11" ht="33" customHeight="1" outlineLevel="1" x14ac:dyDescent="0.3">
      <c r="A250" s="443">
        <f>A241+1</f>
        <v>190</v>
      </c>
      <c r="B250" s="428" t="s">
        <v>1714</v>
      </c>
      <c r="C250" s="442" t="s">
        <v>1131</v>
      </c>
      <c r="D250" s="565">
        <v>24.43</v>
      </c>
      <c r="E250" s="575">
        <f t="shared" si="135"/>
        <v>1111.05</v>
      </c>
      <c r="F250" s="585">
        <f>ROUND(482251.71/434.05*D250,2)</f>
        <v>27142.98</v>
      </c>
      <c r="G250" s="767">
        <v>1788.15</v>
      </c>
      <c r="H250" s="785">
        <f t="shared" si="140"/>
        <v>43684.5</v>
      </c>
      <c r="I250" s="482">
        <f t="shared" si="110"/>
        <v>-677.1</v>
      </c>
      <c r="J250" s="481">
        <f t="shared" si="137"/>
        <v>-16541.52</v>
      </c>
    </row>
    <row r="251" spans="1:11" ht="20.25" customHeight="1" outlineLevel="1" x14ac:dyDescent="0.3">
      <c r="A251" s="443">
        <f t="shared" ref="A251:A252" si="143">A250+1</f>
        <v>191</v>
      </c>
      <c r="B251" s="540" t="s">
        <v>1534</v>
      </c>
      <c r="C251" s="442" t="s">
        <v>1131</v>
      </c>
      <c r="D251" s="565">
        <v>458.48</v>
      </c>
      <c r="E251" s="575">
        <f t="shared" si="135"/>
        <v>0</v>
      </c>
      <c r="F251" s="585"/>
      <c r="G251" s="767"/>
      <c r="H251" s="785">
        <f t="shared" si="140"/>
        <v>0</v>
      </c>
      <c r="I251" s="482">
        <f t="shared" si="110"/>
        <v>0</v>
      </c>
      <c r="J251" s="481">
        <f t="shared" si="137"/>
        <v>0</v>
      </c>
      <c r="K251" s="489" t="s">
        <v>1536</v>
      </c>
    </row>
    <row r="252" spans="1:11" ht="20.25" customHeight="1" outlineLevel="1" x14ac:dyDescent="0.3">
      <c r="A252" s="443">
        <f t="shared" si="143"/>
        <v>192</v>
      </c>
      <c r="B252" s="540" t="s">
        <v>1535</v>
      </c>
      <c r="C252" s="442" t="s">
        <v>1131</v>
      </c>
      <c r="D252" s="565">
        <v>458.48</v>
      </c>
      <c r="E252" s="575">
        <f t="shared" si="135"/>
        <v>0</v>
      </c>
      <c r="F252" s="585"/>
      <c r="G252" s="767"/>
      <c r="H252" s="785">
        <f t="shared" si="140"/>
        <v>0</v>
      </c>
      <c r="I252" s="482">
        <f t="shared" si="110"/>
        <v>0</v>
      </c>
      <c r="J252" s="481">
        <f t="shared" si="137"/>
        <v>0</v>
      </c>
      <c r="K252" s="489" t="s">
        <v>1536</v>
      </c>
    </row>
    <row r="253" spans="1:11" s="484" customFormat="1" ht="15" customHeight="1" outlineLevel="1" x14ac:dyDescent="0.3">
      <c r="A253" s="502"/>
      <c r="B253" s="503" t="s">
        <v>1542</v>
      </c>
      <c r="C253" s="504"/>
      <c r="D253" s="505"/>
      <c r="E253" s="566"/>
      <c r="F253" s="586"/>
      <c r="G253" s="786"/>
      <c r="H253" s="787"/>
      <c r="I253" s="567"/>
      <c r="J253" s="590"/>
      <c r="K253" s="491"/>
    </row>
    <row r="254" spans="1:11" ht="23.25" customHeight="1" outlineLevel="1" x14ac:dyDescent="0.3">
      <c r="A254" s="852">
        <f>A252+1</f>
        <v>193</v>
      </c>
      <c r="B254" s="428" t="s">
        <v>1549</v>
      </c>
      <c r="C254" s="442" t="s">
        <v>1391</v>
      </c>
      <c r="D254" s="568">
        <v>2</v>
      </c>
      <c r="E254" s="854">
        <f>ROUND(F254/D254,2)</f>
        <v>9735.15</v>
      </c>
      <c r="F254" s="856">
        <f>17509.11+4766.47-2891.24+85.95</f>
        <v>19470.290000000005</v>
      </c>
      <c r="G254" s="858">
        <v>38400</v>
      </c>
      <c r="H254" s="843">
        <f>ROUND(G254*D254,2)</f>
        <v>76800</v>
      </c>
      <c r="I254" s="848">
        <f>ROUND(E254-G254,2)</f>
        <v>-28664.85</v>
      </c>
      <c r="J254" s="850">
        <f t="shared" ref="J254" si="144">F254-H254</f>
        <v>-57329.709999999992</v>
      </c>
    </row>
    <row r="255" spans="1:11" ht="23.25" customHeight="1" outlineLevel="1" x14ac:dyDescent="0.3">
      <c r="A255" s="853"/>
      <c r="B255" s="428" t="s">
        <v>1543</v>
      </c>
      <c r="C255" s="442" t="s">
        <v>40</v>
      </c>
      <c r="D255" s="568">
        <v>2</v>
      </c>
      <c r="E255" s="855"/>
      <c r="F255" s="857"/>
      <c r="G255" s="859"/>
      <c r="H255" s="844"/>
      <c r="I255" s="849"/>
      <c r="J255" s="851"/>
    </row>
    <row r="256" spans="1:11" ht="19.5" customHeight="1" outlineLevel="1" x14ac:dyDescent="0.3">
      <c r="A256" s="443">
        <f>A254+1</f>
        <v>194</v>
      </c>
      <c r="B256" s="428" t="s">
        <v>1544</v>
      </c>
      <c r="C256" s="442" t="s">
        <v>40</v>
      </c>
      <c r="D256" s="568">
        <v>2</v>
      </c>
      <c r="E256" s="575">
        <f t="shared" ref="E256:E257" si="145">ROUND(F256/D256,2)</f>
        <v>24747.98</v>
      </c>
      <c r="F256" s="585">
        <v>49495.96</v>
      </c>
      <c r="G256" s="767">
        <v>20000</v>
      </c>
      <c r="H256" s="785">
        <f t="shared" ref="H256:H260" si="146">ROUND(G256*D256,2)</f>
        <v>40000</v>
      </c>
      <c r="I256" s="482">
        <f t="shared" ref="I256:I284" si="147">ROUND(E256-G256,2)</f>
        <v>4747.9799999999996</v>
      </c>
      <c r="J256" s="481">
        <f t="shared" ref="J256:J260" si="148">F256-H256</f>
        <v>9495.9599999999991</v>
      </c>
      <c r="K256" s="478"/>
    </row>
    <row r="257" spans="1:12" ht="19.5" customHeight="1" outlineLevel="1" x14ac:dyDescent="0.3">
      <c r="A257" s="443">
        <f t="shared" ref="A257:A260" si="149">A256+1</f>
        <v>195</v>
      </c>
      <c r="B257" s="428" t="s">
        <v>1545</v>
      </c>
      <c r="C257" s="442" t="s">
        <v>40</v>
      </c>
      <c r="D257" s="568">
        <v>4</v>
      </c>
      <c r="E257" s="575">
        <f t="shared" si="145"/>
        <v>1199.08</v>
      </c>
      <c r="F257" s="585">
        <v>4796.3</v>
      </c>
      <c r="G257" s="767">
        <v>1558.8</v>
      </c>
      <c r="H257" s="785">
        <f t="shared" si="146"/>
        <v>6235.2</v>
      </c>
      <c r="I257" s="482">
        <f t="shared" si="147"/>
        <v>-359.72</v>
      </c>
      <c r="J257" s="481">
        <f t="shared" si="148"/>
        <v>-1438.8999999999996</v>
      </c>
      <c r="K257" s="478"/>
    </row>
    <row r="258" spans="1:12" ht="21.75" customHeight="1" outlineLevel="1" x14ac:dyDescent="0.3">
      <c r="A258" s="443">
        <f t="shared" si="149"/>
        <v>196</v>
      </c>
      <c r="B258" s="428" t="s">
        <v>1546</v>
      </c>
      <c r="C258" s="442" t="s">
        <v>40</v>
      </c>
      <c r="D258" s="568">
        <v>4</v>
      </c>
      <c r="E258" s="575">
        <f>ROUND(F258/D258,2)</f>
        <v>1128.04</v>
      </c>
      <c r="F258" s="585">
        <v>4512.1499999999996</v>
      </c>
      <c r="G258" s="767">
        <v>1466.44</v>
      </c>
      <c r="H258" s="785">
        <f t="shared" si="146"/>
        <v>5865.76</v>
      </c>
      <c r="I258" s="482">
        <f t="shared" si="147"/>
        <v>-338.4</v>
      </c>
      <c r="J258" s="481">
        <f t="shared" si="148"/>
        <v>-1353.6100000000006</v>
      </c>
    </row>
    <row r="259" spans="1:12" ht="23.25" customHeight="1" outlineLevel="1" x14ac:dyDescent="0.3">
      <c r="A259" s="443">
        <f t="shared" si="149"/>
        <v>197</v>
      </c>
      <c r="B259" s="428" t="s">
        <v>1547</v>
      </c>
      <c r="C259" s="442" t="s">
        <v>5</v>
      </c>
      <c r="D259" s="568">
        <v>40</v>
      </c>
      <c r="E259" s="575">
        <f t="shared" ref="E259:E260" si="150">ROUND(F259/D259,2)</f>
        <v>34.68</v>
      </c>
      <c r="F259" s="585">
        <v>1387.06</v>
      </c>
      <c r="G259" s="767">
        <v>80</v>
      </c>
      <c r="H259" s="785">
        <f t="shared" si="146"/>
        <v>3200</v>
      </c>
      <c r="I259" s="482">
        <f t="shared" si="147"/>
        <v>-45.32</v>
      </c>
      <c r="J259" s="481">
        <f t="shared" si="148"/>
        <v>-1812.94</v>
      </c>
    </row>
    <row r="260" spans="1:12" ht="19.5" customHeight="1" outlineLevel="1" x14ac:dyDescent="0.3">
      <c r="A260" s="443">
        <f t="shared" si="149"/>
        <v>198</v>
      </c>
      <c r="B260" s="428" t="s">
        <v>1548</v>
      </c>
      <c r="C260" s="442" t="s">
        <v>5</v>
      </c>
      <c r="D260" s="568">
        <v>40</v>
      </c>
      <c r="E260" s="575">
        <f t="shared" si="150"/>
        <v>53.24</v>
      </c>
      <c r="F260" s="585">
        <v>2129.7199999999998</v>
      </c>
      <c r="G260" s="767">
        <v>80</v>
      </c>
      <c r="H260" s="785">
        <f t="shared" si="146"/>
        <v>3200</v>
      </c>
      <c r="I260" s="482">
        <f t="shared" si="147"/>
        <v>-26.76</v>
      </c>
      <c r="J260" s="481">
        <f t="shared" si="148"/>
        <v>-1070.2800000000002</v>
      </c>
      <c r="K260" s="478"/>
    </row>
    <row r="261" spans="1:12" s="484" customFormat="1" ht="21.75" customHeight="1" x14ac:dyDescent="0.3">
      <c r="A261" s="555"/>
      <c r="B261" s="612" t="s">
        <v>1890</v>
      </c>
      <c r="C261" s="613"/>
      <c r="D261" s="614"/>
      <c r="E261" s="615"/>
      <c r="F261" s="616">
        <f>SUM(F173:F260)</f>
        <v>7147292.29</v>
      </c>
      <c r="G261" s="772"/>
      <c r="H261" s="773">
        <f>SUM(H173:H260)</f>
        <v>10117527.369999999</v>
      </c>
      <c r="I261" s="617"/>
      <c r="J261" s="616">
        <f>SUM(J173:J260)</f>
        <v>-2970235.0800000005</v>
      </c>
      <c r="K261" s="550">
        <f>F261+'ТП М'!F186</f>
        <v>46302902.814464532</v>
      </c>
      <c r="L261" s="549"/>
    </row>
    <row r="262" spans="1:12" s="484" customFormat="1" ht="21.75" customHeight="1" x14ac:dyDescent="0.3">
      <c r="A262" s="486"/>
      <c r="B262" s="487" t="s">
        <v>1639</v>
      </c>
      <c r="C262" s="488"/>
      <c r="D262" s="497"/>
      <c r="E262" s="566"/>
      <c r="F262" s="584">
        <f>SUM(F263:F367)</f>
        <v>21283173.580000009</v>
      </c>
      <c r="G262" s="789"/>
      <c r="H262" s="790">
        <f>SUM(H263:H367)</f>
        <v>35427057.529999994</v>
      </c>
      <c r="I262" s="564"/>
      <c r="J262" s="591">
        <f>SUM(J263:J367)</f>
        <v>-14143883.950000003</v>
      </c>
      <c r="K262" s="491"/>
    </row>
    <row r="263" spans="1:12" ht="22.5" customHeight="1" x14ac:dyDescent="0.3">
      <c r="A263" s="443">
        <f>A260+1</f>
        <v>199</v>
      </c>
      <c r="B263" s="506" t="s">
        <v>1415</v>
      </c>
      <c r="C263" s="442" t="s">
        <v>5</v>
      </c>
      <c r="D263" s="565">
        <v>1537.77</v>
      </c>
      <c r="E263" s="575">
        <f>ROUND(F263/D263,2)</f>
        <v>0</v>
      </c>
      <c r="F263" s="585"/>
      <c r="G263" s="767">
        <v>57.53</v>
      </c>
      <c r="H263" s="785">
        <f>ROUND(G263*D263,2)</f>
        <v>88467.91</v>
      </c>
      <c r="I263" s="482">
        <f t="shared" si="147"/>
        <v>-57.53</v>
      </c>
      <c r="J263" s="481">
        <f t="shared" ref="J263:J264" si="151">F263-H263</f>
        <v>-88467.91</v>
      </c>
    </row>
    <row r="264" spans="1:12" ht="21" customHeight="1" x14ac:dyDescent="0.3">
      <c r="A264" s="443">
        <f>A263+1</f>
        <v>200</v>
      </c>
      <c r="B264" s="506" t="s">
        <v>1417</v>
      </c>
      <c r="C264" s="442" t="s">
        <v>1416</v>
      </c>
      <c r="D264" s="565">
        <v>16</v>
      </c>
      <c r="E264" s="575">
        <f>ROUND(F264/D264,2)</f>
        <v>0</v>
      </c>
      <c r="F264" s="585"/>
      <c r="G264" s="767">
        <v>2000</v>
      </c>
      <c r="H264" s="785">
        <f>G264*D264</f>
        <v>32000</v>
      </c>
      <c r="I264" s="482">
        <f t="shared" si="147"/>
        <v>-2000</v>
      </c>
      <c r="J264" s="481">
        <f t="shared" si="151"/>
        <v>-32000</v>
      </c>
    </row>
    <row r="265" spans="1:12" s="484" customFormat="1" ht="15" customHeight="1" x14ac:dyDescent="0.3">
      <c r="A265" s="502"/>
      <c r="B265" s="503" t="s">
        <v>1418</v>
      </c>
      <c r="C265" s="504"/>
      <c r="D265" s="505"/>
      <c r="E265" s="566"/>
      <c r="F265" s="586"/>
      <c r="G265" s="786"/>
      <c r="H265" s="787"/>
      <c r="I265" s="567"/>
      <c r="J265" s="590"/>
      <c r="K265" s="491"/>
    </row>
    <row r="266" spans="1:12" ht="35.25" customHeight="1" x14ac:dyDescent="0.3">
      <c r="A266" s="443">
        <f>A264+1</f>
        <v>201</v>
      </c>
      <c r="B266" s="428" t="s">
        <v>1553</v>
      </c>
      <c r="C266" s="442" t="s">
        <v>17</v>
      </c>
      <c r="D266" s="565">
        <v>2618.19</v>
      </c>
      <c r="E266" s="575">
        <f t="shared" ref="E266:E270" si="152">ROUND(F266/D266,2)</f>
        <v>9.19</v>
      </c>
      <c r="F266" s="585">
        <v>24054.39</v>
      </c>
      <c r="G266" s="767">
        <v>208</v>
      </c>
      <c r="H266" s="785">
        <f t="shared" ref="H266:H270" si="153">ROUND(G266*D266,2)</f>
        <v>544583.52</v>
      </c>
      <c r="I266" s="482">
        <f t="shared" si="147"/>
        <v>-198.81</v>
      </c>
      <c r="J266" s="481">
        <f t="shared" ref="J266:J270" si="154">F266-H266</f>
        <v>-520529.13</v>
      </c>
    </row>
    <row r="267" spans="1:12" ht="31.5" customHeight="1" x14ac:dyDescent="0.3">
      <c r="A267" s="443">
        <f>A266+1</f>
        <v>202</v>
      </c>
      <c r="B267" s="428" t="s">
        <v>1642</v>
      </c>
      <c r="C267" s="442" t="s">
        <v>17</v>
      </c>
      <c r="D267" s="565">
        <f>D266</f>
        <v>2618.19</v>
      </c>
      <c r="E267" s="575">
        <f t="shared" si="152"/>
        <v>55.19</v>
      </c>
      <c r="F267" s="585">
        <v>144487.35999999999</v>
      </c>
      <c r="G267" s="767">
        <v>260</v>
      </c>
      <c r="H267" s="785">
        <f t="shared" si="153"/>
        <v>680729.4</v>
      </c>
      <c r="I267" s="482">
        <f t="shared" si="147"/>
        <v>-204.81</v>
      </c>
      <c r="J267" s="481">
        <f t="shared" si="154"/>
        <v>-536242.04</v>
      </c>
    </row>
    <row r="268" spans="1:12" ht="35.25" customHeight="1" x14ac:dyDescent="0.3">
      <c r="A268" s="443">
        <f t="shared" ref="A268:A270" si="155">A267+1</f>
        <v>203</v>
      </c>
      <c r="B268" s="428" t="s">
        <v>1641</v>
      </c>
      <c r="C268" s="442" t="s">
        <v>28</v>
      </c>
      <c r="D268" s="565">
        <f>39.59*1.95-0.02</f>
        <v>77.180500000000009</v>
      </c>
      <c r="E268" s="575">
        <f t="shared" ref="E268" si="156">ROUND(F268/D268,2)</f>
        <v>47.17</v>
      </c>
      <c r="F268" s="585">
        <v>3640.52</v>
      </c>
      <c r="G268" s="767">
        <v>250</v>
      </c>
      <c r="H268" s="785">
        <f t="shared" si="153"/>
        <v>19295.13</v>
      </c>
      <c r="I268" s="482">
        <f t="shared" si="147"/>
        <v>-202.83</v>
      </c>
      <c r="J268" s="481">
        <f t="shared" ref="J268" si="157">F268-H268</f>
        <v>-15654.61</v>
      </c>
    </row>
    <row r="269" spans="1:12" ht="35.25" customHeight="1" x14ac:dyDescent="0.3">
      <c r="A269" s="443">
        <f t="shared" si="155"/>
        <v>204</v>
      </c>
      <c r="B269" s="428" t="s">
        <v>1640</v>
      </c>
      <c r="C269" s="442" t="s">
        <v>28</v>
      </c>
      <c r="D269" s="565">
        <f>2578.61*1.95</f>
        <v>5028.2894999999999</v>
      </c>
      <c r="E269" s="575">
        <f t="shared" si="152"/>
        <v>187.58</v>
      </c>
      <c r="F269" s="585">
        <v>943191.55</v>
      </c>
      <c r="G269" s="767">
        <v>250</v>
      </c>
      <c r="H269" s="785">
        <f t="shared" si="153"/>
        <v>1257072.3799999999</v>
      </c>
      <c r="I269" s="482">
        <f t="shared" si="147"/>
        <v>-62.42</v>
      </c>
      <c r="J269" s="481">
        <f t="shared" si="154"/>
        <v>-313880.82999999984</v>
      </c>
    </row>
    <row r="270" spans="1:12" ht="36" customHeight="1" x14ac:dyDescent="0.3">
      <c r="A270" s="443">
        <f t="shared" si="155"/>
        <v>205</v>
      </c>
      <c r="B270" s="428" t="s">
        <v>1566</v>
      </c>
      <c r="C270" s="442" t="s">
        <v>17</v>
      </c>
      <c r="D270" s="565">
        <v>376.07</v>
      </c>
      <c r="E270" s="575">
        <f t="shared" si="152"/>
        <v>26.74</v>
      </c>
      <c r="F270" s="585">
        <v>10056.629999999999</v>
      </c>
      <c r="G270" s="767">
        <v>1179.9000000000001</v>
      </c>
      <c r="H270" s="785">
        <f t="shared" si="153"/>
        <v>443724.99</v>
      </c>
      <c r="I270" s="482">
        <f t="shared" si="147"/>
        <v>-1153.1600000000001</v>
      </c>
      <c r="J270" s="481">
        <f t="shared" si="154"/>
        <v>-433668.36</v>
      </c>
    </row>
    <row r="271" spans="1:12" s="484" customFormat="1" ht="15" customHeight="1" x14ac:dyDescent="0.3">
      <c r="A271" s="502"/>
      <c r="B271" s="503" t="s">
        <v>1608</v>
      </c>
      <c r="C271" s="504"/>
      <c r="D271" s="505"/>
      <c r="E271" s="566"/>
      <c r="F271" s="586"/>
      <c r="G271" s="786"/>
      <c r="H271" s="787"/>
      <c r="I271" s="567"/>
      <c r="J271" s="590"/>
      <c r="K271" s="491"/>
    </row>
    <row r="272" spans="1:12" ht="35.25" customHeight="1" x14ac:dyDescent="0.3">
      <c r="A272" s="443">
        <f>A270+1</f>
        <v>206</v>
      </c>
      <c r="B272" s="428" t="s">
        <v>1737</v>
      </c>
      <c r="C272" s="442" t="s">
        <v>17</v>
      </c>
      <c r="D272" s="565">
        <v>1092.3699999999999</v>
      </c>
      <c r="E272" s="575">
        <f t="shared" ref="E272:E279" si="158">ROUND(F272/D272,2)</f>
        <v>605.71</v>
      </c>
      <c r="F272" s="585">
        <v>661655.14</v>
      </c>
      <c r="G272" s="767">
        <v>1179.9000000000001</v>
      </c>
      <c r="H272" s="785">
        <f t="shared" ref="H272:H284" si="159">ROUND(G272*D272,2)</f>
        <v>1288887.3600000001</v>
      </c>
      <c r="I272" s="482">
        <f t="shared" si="147"/>
        <v>-574.19000000000005</v>
      </c>
      <c r="J272" s="481">
        <f t="shared" ref="J272:J282" si="160">F272-H272</f>
        <v>-627232.22000000009</v>
      </c>
    </row>
    <row r="273" spans="1:12" ht="34.5" customHeight="1" x14ac:dyDescent="0.3">
      <c r="A273" s="443">
        <f>A272+1</f>
        <v>207</v>
      </c>
      <c r="B273" s="428" t="s">
        <v>1738</v>
      </c>
      <c r="C273" s="442" t="s">
        <v>20</v>
      </c>
      <c r="D273" s="565">
        <v>5152</v>
      </c>
      <c r="E273" s="575">
        <f t="shared" si="158"/>
        <v>86.71</v>
      </c>
      <c r="F273" s="585">
        <v>446704.58</v>
      </c>
      <c r="G273" s="767">
        <v>80</v>
      </c>
      <c r="H273" s="785">
        <f t="shared" si="159"/>
        <v>412160</v>
      </c>
      <c r="I273" s="482">
        <f t="shared" si="147"/>
        <v>6.71</v>
      </c>
      <c r="J273" s="481">
        <f t="shared" si="160"/>
        <v>34544.580000000016</v>
      </c>
    </row>
    <row r="274" spans="1:12" ht="30" customHeight="1" x14ac:dyDescent="0.3">
      <c r="A274" s="443">
        <f>A273+1</f>
        <v>208</v>
      </c>
      <c r="B274" s="428" t="s">
        <v>1451</v>
      </c>
      <c r="C274" s="442" t="s">
        <v>17</v>
      </c>
      <c r="D274" s="571">
        <v>51.24</v>
      </c>
      <c r="E274" s="576">
        <f t="shared" si="158"/>
        <v>2067.63</v>
      </c>
      <c r="F274" s="587">
        <f t="shared" ref="F274:F284" si="161">ROUND(4036469.1/1952.22*D274,2)</f>
        <v>105945.37</v>
      </c>
      <c r="G274" s="767">
        <v>2459.25</v>
      </c>
      <c r="H274" s="785">
        <f t="shared" si="159"/>
        <v>126011.97</v>
      </c>
      <c r="I274" s="482">
        <f t="shared" si="147"/>
        <v>-391.62</v>
      </c>
      <c r="J274" s="481">
        <f t="shared" si="160"/>
        <v>-20066.600000000006</v>
      </c>
      <c r="K274" s="538">
        <f>D274+D275+D276+D277+D278+D279+D280+D281+D282+D283+D284</f>
        <v>1952.2199999999998</v>
      </c>
      <c r="L274" s="539" t="s">
        <v>1791</v>
      </c>
    </row>
    <row r="275" spans="1:12" ht="30" customHeight="1" x14ac:dyDescent="0.3">
      <c r="A275" s="443">
        <f>A274+1</f>
        <v>209</v>
      </c>
      <c r="B275" s="428" t="s">
        <v>1452</v>
      </c>
      <c r="C275" s="442" t="s">
        <v>17</v>
      </c>
      <c r="D275" s="571">
        <v>819.29</v>
      </c>
      <c r="E275" s="576">
        <f t="shared" si="158"/>
        <v>2067.63</v>
      </c>
      <c r="F275" s="587">
        <f t="shared" si="161"/>
        <v>1693988.78</v>
      </c>
      <c r="G275" s="767">
        <v>2459.25</v>
      </c>
      <c r="H275" s="785">
        <f t="shared" si="159"/>
        <v>2014838.93</v>
      </c>
      <c r="I275" s="482">
        <f t="shared" si="147"/>
        <v>-391.62</v>
      </c>
      <c r="J275" s="481">
        <f t="shared" si="160"/>
        <v>-320850.14999999991</v>
      </c>
      <c r="K275" s="489" t="s">
        <v>1650</v>
      </c>
    </row>
    <row r="276" spans="1:12" ht="30" customHeight="1" x14ac:dyDescent="0.3">
      <c r="A276" s="443">
        <f t="shared" ref="A276:A284" si="162">A275+1</f>
        <v>210</v>
      </c>
      <c r="B276" s="428" t="s">
        <v>1643</v>
      </c>
      <c r="C276" s="442" t="s">
        <v>17</v>
      </c>
      <c r="D276" s="571">
        <v>74.31</v>
      </c>
      <c r="E276" s="576">
        <f t="shared" si="158"/>
        <v>2067.63</v>
      </c>
      <c r="F276" s="587">
        <f t="shared" si="161"/>
        <v>153645.6</v>
      </c>
      <c r="G276" s="767">
        <v>2459.25</v>
      </c>
      <c r="H276" s="785">
        <f t="shared" si="159"/>
        <v>182746.87</v>
      </c>
      <c r="I276" s="482">
        <f t="shared" si="147"/>
        <v>-391.62</v>
      </c>
      <c r="J276" s="481">
        <f t="shared" si="160"/>
        <v>-29101.26999999999</v>
      </c>
    </row>
    <row r="277" spans="1:12" ht="30" customHeight="1" x14ac:dyDescent="0.3">
      <c r="A277" s="443">
        <f t="shared" si="162"/>
        <v>211</v>
      </c>
      <c r="B277" s="428" t="s">
        <v>1644</v>
      </c>
      <c r="C277" s="442" t="s">
        <v>17</v>
      </c>
      <c r="D277" s="571">
        <v>40.76</v>
      </c>
      <c r="E277" s="576">
        <f t="shared" si="158"/>
        <v>2067.63</v>
      </c>
      <c r="F277" s="587">
        <f t="shared" si="161"/>
        <v>84276.61</v>
      </c>
      <c r="G277" s="767">
        <v>2459.25</v>
      </c>
      <c r="H277" s="785">
        <f t="shared" si="159"/>
        <v>100239.03</v>
      </c>
      <c r="I277" s="482">
        <f t="shared" si="147"/>
        <v>-391.62</v>
      </c>
      <c r="J277" s="481">
        <f t="shared" si="160"/>
        <v>-15962.419999999998</v>
      </c>
    </row>
    <row r="278" spans="1:12" ht="30" customHeight="1" x14ac:dyDescent="0.3">
      <c r="A278" s="443">
        <f t="shared" si="162"/>
        <v>212</v>
      </c>
      <c r="B278" s="428" t="s">
        <v>1648</v>
      </c>
      <c r="C278" s="442" t="s">
        <v>17</v>
      </c>
      <c r="D278" s="571">
        <v>52.98</v>
      </c>
      <c r="E278" s="576">
        <f t="shared" ref="E278" si="163">ROUND(F278/D278,2)</f>
        <v>2067.63</v>
      </c>
      <c r="F278" s="587">
        <f t="shared" si="161"/>
        <v>109543.05</v>
      </c>
      <c r="G278" s="767">
        <v>2459.25</v>
      </c>
      <c r="H278" s="785">
        <f t="shared" si="159"/>
        <v>130291.07</v>
      </c>
      <c r="I278" s="482">
        <f t="shared" si="147"/>
        <v>-391.62</v>
      </c>
      <c r="J278" s="481">
        <f t="shared" ref="J278" si="164">F278-H278</f>
        <v>-20748.020000000004</v>
      </c>
      <c r="K278" s="489" t="s">
        <v>1652</v>
      </c>
    </row>
    <row r="279" spans="1:12" ht="30" customHeight="1" x14ac:dyDescent="0.3">
      <c r="A279" s="443">
        <f t="shared" si="162"/>
        <v>213</v>
      </c>
      <c r="B279" s="428" t="s">
        <v>1645</v>
      </c>
      <c r="C279" s="442" t="s">
        <v>17</v>
      </c>
      <c r="D279" s="571">
        <v>25.62</v>
      </c>
      <c r="E279" s="576">
        <f t="shared" si="158"/>
        <v>2067.63</v>
      </c>
      <c r="F279" s="587">
        <f t="shared" si="161"/>
        <v>52972.69</v>
      </c>
      <c r="G279" s="767">
        <v>2459.25</v>
      </c>
      <c r="H279" s="785">
        <f t="shared" si="159"/>
        <v>63005.99</v>
      </c>
      <c r="I279" s="482">
        <f t="shared" si="147"/>
        <v>-391.62</v>
      </c>
      <c r="J279" s="481">
        <f t="shared" si="160"/>
        <v>-10033.299999999996</v>
      </c>
    </row>
    <row r="280" spans="1:12" ht="30" customHeight="1" x14ac:dyDescent="0.3">
      <c r="A280" s="443">
        <f t="shared" si="162"/>
        <v>214</v>
      </c>
      <c r="B280" s="428" t="s">
        <v>1646</v>
      </c>
      <c r="C280" s="442" t="s">
        <v>17</v>
      </c>
      <c r="D280" s="571">
        <v>165.08</v>
      </c>
      <c r="E280" s="577">
        <f>ROUND(F280/D280,2)</f>
        <v>2067.63</v>
      </c>
      <c r="F280" s="587">
        <f t="shared" si="161"/>
        <v>341324.4</v>
      </c>
      <c r="G280" s="767">
        <v>2459.25</v>
      </c>
      <c r="H280" s="785">
        <f t="shared" si="159"/>
        <v>405972.99</v>
      </c>
      <c r="I280" s="482">
        <f t="shared" si="147"/>
        <v>-391.62</v>
      </c>
      <c r="J280" s="481">
        <f t="shared" si="160"/>
        <v>-64648.589999999967</v>
      </c>
    </row>
    <row r="281" spans="1:12" ht="30" customHeight="1" x14ac:dyDescent="0.3">
      <c r="A281" s="443">
        <f t="shared" si="162"/>
        <v>215</v>
      </c>
      <c r="B281" s="428" t="s">
        <v>1665</v>
      </c>
      <c r="C281" s="442" t="s">
        <v>17</v>
      </c>
      <c r="D281" s="571">
        <v>64.64</v>
      </c>
      <c r="E281" s="577">
        <f>ROUND(F281/D281,2)</f>
        <v>2067.63</v>
      </c>
      <c r="F281" s="587">
        <f t="shared" si="161"/>
        <v>133651.62</v>
      </c>
      <c r="G281" s="767">
        <v>2459.25</v>
      </c>
      <c r="H281" s="785">
        <f t="shared" si="159"/>
        <v>158965.92000000001</v>
      </c>
      <c r="I281" s="482">
        <f t="shared" si="147"/>
        <v>-391.62</v>
      </c>
      <c r="J281" s="481">
        <f t="shared" si="160"/>
        <v>-25314.300000000017</v>
      </c>
    </row>
    <row r="282" spans="1:12" ht="30" customHeight="1" x14ac:dyDescent="0.3">
      <c r="A282" s="443">
        <f t="shared" si="162"/>
        <v>216</v>
      </c>
      <c r="B282" s="428" t="s">
        <v>1456</v>
      </c>
      <c r="C282" s="442" t="s">
        <v>17</v>
      </c>
      <c r="D282" s="571">
        <v>25.53</v>
      </c>
      <c r="E282" s="577">
        <f>ROUND(F282/D282,2)</f>
        <v>2067.63</v>
      </c>
      <c r="F282" s="587">
        <f t="shared" si="161"/>
        <v>52786.6</v>
      </c>
      <c r="G282" s="767">
        <v>2459.25</v>
      </c>
      <c r="H282" s="785">
        <f t="shared" si="159"/>
        <v>62784.65</v>
      </c>
      <c r="I282" s="482">
        <f t="shared" si="147"/>
        <v>-391.62</v>
      </c>
      <c r="J282" s="481">
        <f t="shared" si="160"/>
        <v>-9998.0500000000029</v>
      </c>
    </row>
    <row r="283" spans="1:12" ht="30" customHeight="1" x14ac:dyDescent="0.3">
      <c r="A283" s="443">
        <f t="shared" si="162"/>
        <v>217</v>
      </c>
      <c r="B283" s="428" t="s">
        <v>1647</v>
      </c>
      <c r="C283" s="442" t="s">
        <v>17</v>
      </c>
      <c r="D283" s="571">
        <v>275.12</v>
      </c>
      <c r="E283" s="577">
        <f>ROUND(F283/D283,2)</f>
        <v>2067.63</v>
      </c>
      <c r="F283" s="587">
        <f t="shared" si="161"/>
        <v>568846.43000000005</v>
      </c>
      <c r="G283" s="767">
        <v>2459.25</v>
      </c>
      <c r="H283" s="785">
        <f t="shared" si="159"/>
        <v>676588.86</v>
      </c>
      <c r="I283" s="482">
        <f t="shared" si="147"/>
        <v>-391.62</v>
      </c>
      <c r="J283" s="481">
        <f t="shared" ref="J283" si="165">F283-H283</f>
        <v>-107742.42999999993</v>
      </c>
    </row>
    <row r="284" spans="1:12" ht="30" customHeight="1" x14ac:dyDescent="0.3">
      <c r="A284" s="443">
        <f t="shared" si="162"/>
        <v>218</v>
      </c>
      <c r="B284" s="428" t="s">
        <v>1649</v>
      </c>
      <c r="C284" s="442" t="s">
        <v>17</v>
      </c>
      <c r="D284" s="571">
        <v>357.65</v>
      </c>
      <c r="E284" s="577">
        <f>ROUND(F284/D284,2)</f>
        <v>2067.63</v>
      </c>
      <c r="F284" s="587">
        <f t="shared" si="161"/>
        <v>739487.95</v>
      </c>
      <c r="G284" s="767">
        <v>2459.25</v>
      </c>
      <c r="H284" s="785">
        <f t="shared" si="159"/>
        <v>879550.76</v>
      </c>
      <c r="I284" s="482">
        <f t="shared" si="147"/>
        <v>-391.62</v>
      </c>
      <c r="J284" s="481">
        <f t="shared" ref="J284" si="166">F284-H284</f>
        <v>-140062.81000000006</v>
      </c>
    </row>
    <row r="285" spans="1:12" s="484" customFormat="1" ht="15" customHeight="1" x14ac:dyDescent="0.3">
      <c r="A285" s="502"/>
      <c r="B285" s="503" t="s">
        <v>1450</v>
      </c>
      <c r="C285" s="504"/>
      <c r="D285" s="505"/>
      <c r="E285" s="566"/>
      <c r="F285" s="586"/>
      <c r="G285" s="786"/>
      <c r="H285" s="787"/>
      <c r="I285" s="567"/>
      <c r="J285" s="590"/>
      <c r="K285" s="491"/>
    </row>
    <row r="286" spans="1:12" ht="30.75" customHeight="1" x14ac:dyDescent="0.3">
      <c r="A286" s="852">
        <f>A284+1</f>
        <v>219</v>
      </c>
      <c r="B286" s="428" t="s">
        <v>1653</v>
      </c>
      <c r="C286" s="442" t="s">
        <v>5</v>
      </c>
      <c r="D286" s="565">
        <v>906.5</v>
      </c>
      <c r="E286" s="854">
        <f t="shared" ref="E286" si="167">ROUND(F286/D286,2)</f>
        <v>1909.52</v>
      </c>
      <c r="F286" s="856">
        <f>ROUND(3280363.81-21272.62-938431.53-182198.69-407484.95,2)-0.02</f>
        <v>1730976</v>
      </c>
      <c r="G286" s="860">
        <v>1909.52</v>
      </c>
      <c r="H286" s="843">
        <v>1730976</v>
      </c>
      <c r="I286" s="848">
        <f>ROUND(E286-G286-G287,2)</f>
        <v>0</v>
      </c>
      <c r="J286" s="850">
        <f>F286-H286-H287</f>
        <v>0</v>
      </c>
    </row>
    <row r="287" spans="1:12" ht="30" customHeight="1" x14ac:dyDescent="0.3">
      <c r="A287" s="853"/>
      <c r="B287" s="428" t="s">
        <v>1585</v>
      </c>
      <c r="C287" s="442" t="s">
        <v>40</v>
      </c>
      <c r="D287" s="568">
        <v>120</v>
      </c>
      <c r="E287" s="855"/>
      <c r="F287" s="857"/>
      <c r="G287" s="861"/>
      <c r="H287" s="844"/>
      <c r="I287" s="849"/>
      <c r="J287" s="851"/>
    </row>
    <row r="288" spans="1:12" ht="30.75" customHeight="1" x14ac:dyDescent="0.3">
      <c r="A288" s="443">
        <f>A286+1</f>
        <v>220</v>
      </c>
      <c r="B288" s="428" t="s">
        <v>1664</v>
      </c>
      <c r="C288" s="442" t="s">
        <v>5</v>
      </c>
      <c r="D288" s="565">
        <v>63.94</v>
      </c>
      <c r="E288" s="575">
        <f t="shared" ref="E288" si="168">ROUND(F288/D288,2)</f>
        <v>2591.8000000000002</v>
      </c>
      <c r="F288" s="588">
        <f>231380.55-28741.96-12851.39-66192.29-1500.46+(145558.69-101933.27)-0.18</f>
        <v>165719.69</v>
      </c>
      <c r="G288" s="788">
        <v>2591.8000000000002</v>
      </c>
      <c r="H288" s="785">
        <f>ROUND(G288*D288,2)</f>
        <v>165719.69</v>
      </c>
      <c r="I288" s="482">
        <f t="shared" ref="I288" si="169">ROUND(E288-G288,2)</f>
        <v>0</v>
      </c>
      <c r="J288" s="481">
        <f t="shared" ref="J288" si="170">F288-H288</f>
        <v>0</v>
      </c>
    </row>
    <row r="289" spans="1:10" ht="33.75" customHeight="1" x14ac:dyDescent="0.3">
      <c r="A289" s="852">
        <f>A288+1</f>
        <v>221</v>
      </c>
      <c r="B289" s="428" t="s">
        <v>1752</v>
      </c>
      <c r="C289" s="442" t="s">
        <v>5</v>
      </c>
      <c r="D289" s="565">
        <v>106.5</v>
      </c>
      <c r="E289" s="854">
        <f t="shared" ref="E289" si="171">ROUND(F289/D289,2)</f>
        <v>1909.52</v>
      </c>
      <c r="F289" s="856">
        <v>203363.88</v>
      </c>
      <c r="G289" s="858">
        <v>1909.52</v>
      </c>
      <c r="H289" s="843">
        <f>ROUND(G289*D289,2)</f>
        <v>203363.88</v>
      </c>
      <c r="I289" s="848">
        <f>ROUND(E289-G289-G290,2)</f>
        <v>0</v>
      </c>
      <c r="J289" s="850">
        <f>F289-H289-H290</f>
        <v>0</v>
      </c>
    </row>
    <row r="290" spans="1:10" ht="30" customHeight="1" x14ac:dyDescent="0.3">
      <c r="A290" s="853"/>
      <c r="B290" s="428" t="s">
        <v>1585</v>
      </c>
      <c r="C290" s="442" t="s">
        <v>40</v>
      </c>
      <c r="D290" s="568">
        <v>17</v>
      </c>
      <c r="E290" s="855"/>
      <c r="F290" s="857"/>
      <c r="G290" s="859"/>
      <c r="H290" s="844"/>
      <c r="I290" s="849"/>
      <c r="J290" s="851"/>
    </row>
    <row r="291" spans="1:10" ht="34.5" customHeight="1" x14ac:dyDescent="0.3">
      <c r="A291" s="443">
        <f>A289+1</f>
        <v>222</v>
      </c>
      <c r="B291" s="428" t="s">
        <v>1663</v>
      </c>
      <c r="C291" s="442" t="s">
        <v>5</v>
      </c>
      <c r="D291" s="565">
        <v>40.43</v>
      </c>
      <c r="E291" s="577">
        <f>F291/D291</f>
        <v>2591.7999010635667</v>
      </c>
      <c r="F291" s="587">
        <f>146304.59-18173.87-8126.08-41854.15-948.76+(92038.44-64453.59)-0.11</f>
        <v>104786.47</v>
      </c>
      <c r="G291" s="788">
        <v>2591.8000000000002</v>
      </c>
      <c r="H291" s="785">
        <f>ROUND(G291*D291,2)</f>
        <v>104786.47</v>
      </c>
      <c r="I291" s="482">
        <f t="shared" ref="I291" si="172">ROUND(E291-G291,2)</f>
        <v>0</v>
      </c>
      <c r="J291" s="481">
        <f>F291-H291</f>
        <v>0</v>
      </c>
    </row>
    <row r="292" spans="1:10" ht="33.75" customHeight="1" x14ac:dyDescent="0.3">
      <c r="A292" s="852">
        <f>A291+1</f>
        <v>223</v>
      </c>
      <c r="B292" s="428" t="s">
        <v>1661</v>
      </c>
      <c r="C292" s="442" t="s">
        <v>5</v>
      </c>
      <c r="D292" s="565">
        <v>305.86</v>
      </c>
      <c r="E292" s="854">
        <f t="shared" ref="E292" si="173">ROUND(F292/D292,2)</f>
        <v>1909.52</v>
      </c>
      <c r="F292" s="856">
        <v>584045.79</v>
      </c>
      <c r="G292" s="860">
        <v>1909.52</v>
      </c>
      <c r="H292" s="843">
        <f>ROUND(G292*D292,2)</f>
        <v>584045.79</v>
      </c>
      <c r="I292" s="848">
        <f>ROUND(E292-G292-G293,2)</f>
        <v>0</v>
      </c>
      <c r="J292" s="850">
        <f>F292-H292-H293</f>
        <v>0</v>
      </c>
    </row>
    <row r="293" spans="1:10" ht="24" customHeight="1" x14ac:dyDescent="0.3">
      <c r="A293" s="853"/>
      <c r="B293" s="428" t="s">
        <v>1654</v>
      </c>
      <c r="C293" s="442" t="s">
        <v>40</v>
      </c>
      <c r="D293" s="568">
        <v>1028</v>
      </c>
      <c r="E293" s="855"/>
      <c r="F293" s="857"/>
      <c r="G293" s="862"/>
      <c r="H293" s="844"/>
      <c r="I293" s="849"/>
      <c r="J293" s="851"/>
    </row>
    <row r="294" spans="1:10" ht="33.75" customHeight="1" x14ac:dyDescent="0.3">
      <c r="A294" s="852">
        <f>A292+1</f>
        <v>224</v>
      </c>
      <c r="B294" s="428" t="s">
        <v>1662</v>
      </c>
      <c r="C294" s="442" t="s">
        <v>5</v>
      </c>
      <c r="D294" s="565">
        <v>25.68</v>
      </c>
      <c r="E294" s="854">
        <f t="shared" ref="E294" si="174">ROUND(F294/D294,2)</f>
        <v>2591.8000000000002</v>
      </c>
      <c r="F294" s="856">
        <f>92928.58-5161.46-602.63-26584.58-11543.53+(58460.25-40939.09)-0.12</f>
        <v>66557.42</v>
      </c>
      <c r="G294" s="860">
        <v>2591.8000000000002</v>
      </c>
      <c r="H294" s="843">
        <f>ROUND(G294*D294,2)</f>
        <v>66557.42</v>
      </c>
      <c r="I294" s="848">
        <f>ROUND(E294-G294-G295,2)</f>
        <v>0</v>
      </c>
      <c r="J294" s="850">
        <f>F294-H294-H295</f>
        <v>0</v>
      </c>
    </row>
    <row r="295" spans="1:10" ht="24" customHeight="1" x14ac:dyDescent="0.3">
      <c r="A295" s="853"/>
      <c r="B295" s="428" t="s">
        <v>1654</v>
      </c>
      <c r="C295" s="442" t="s">
        <v>40</v>
      </c>
      <c r="D295" s="568">
        <v>86</v>
      </c>
      <c r="E295" s="855"/>
      <c r="F295" s="857"/>
      <c r="G295" s="862"/>
      <c r="H295" s="844"/>
      <c r="I295" s="849"/>
      <c r="J295" s="851"/>
    </row>
    <row r="296" spans="1:10" ht="33.75" customHeight="1" x14ac:dyDescent="0.3">
      <c r="A296" s="852">
        <f>A294+1</f>
        <v>225</v>
      </c>
      <c r="B296" s="428" t="s">
        <v>1655</v>
      </c>
      <c r="C296" s="442" t="s">
        <v>5</v>
      </c>
      <c r="D296" s="565">
        <v>339.14</v>
      </c>
      <c r="E296" s="854">
        <f t="shared" ref="E296" si="175">ROUND(F296/D296,2)</f>
        <v>839.76</v>
      </c>
      <c r="F296" s="856">
        <f>922260.3-513961.5-1085.57-10263.62-91349.55-20805.38</f>
        <v>284794.68000000005</v>
      </c>
      <c r="G296" s="860">
        <v>1336.66</v>
      </c>
      <c r="H296" s="843">
        <f>ROUND(G296*D296,2)</f>
        <v>453314.87</v>
      </c>
      <c r="I296" s="848">
        <f>ROUND(E296-G296-G297,2)</f>
        <v>-496.9</v>
      </c>
      <c r="J296" s="850">
        <f>F296-H296-H297</f>
        <v>-168520.18999999994</v>
      </c>
    </row>
    <row r="297" spans="1:10" ht="24" customHeight="1" x14ac:dyDescent="0.3">
      <c r="A297" s="853"/>
      <c r="B297" s="428" t="s">
        <v>1654</v>
      </c>
      <c r="C297" s="442" t="s">
        <v>40</v>
      </c>
      <c r="D297" s="568">
        <v>557</v>
      </c>
      <c r="E297" s="855"/>
      <c r="F297" s="857"/>
      <c r="G297" s="862"/>
      <c r="H297" s="844"/>
      <c r="I297" s="849"/>
      <c r="J297" s="851"/>
    </row>
    <row r="298" spans="1:10" ht="47.25" customHeight="1" x14ac:dyDescent="0.3">
      <c r="A298" s="443">
        <f>A296+1</f>
        <v>226</v>
      </c>
      <c r="B298" s="428" t="s">
        <v>1660</v>
      </c>
      <c r="C298" s="442" t="s">
        <v>1385</v>
      </c>
      <c r="D298" s="568">
        <v>1</v>
      </c>
      <c r="E298" s="575">
        <f t="shared" ref="E298:E305" si="176">ROUND(F298/D298,2)</f>
        <v>154091.81</v>
      </c>
      <c r="F298" s="585">
        <f>ROUND((413867.06-105683.45)/2,2)</f>
        <v>154091.81</v>
      </c>
      <c r="G298" s="770">
        <v>205200</v>
      </c>
      <c r="H298" s="785">
        <f t="shared" ref="H298:H338" si="177">ROUND(G298*D298,2)</f>
        <v>205200</v>
      </c>
      <c r="I298" s="482">
        <f t="shared" ref="I298:I338" si="178">ROUND(E298-G298,2)</f>
        <v>-51108.19</v>
      </c>
      <c r="J298" s="579">
        <f t="shared" ref="J298:J305" si="179">F298-H298</f>
        <v>-51108.19</v>
      </c>
    </row>
    <row r="299" spans="1:10" ht="24" customHeight="1" x14ac:dyDescent="0.3">
      <c r="A299" s="443">
        <f t="shared" ref="A299:A305" si="180">A298+1</f>
        <v>227</v>
      </c>
      <c r="B299" s="428" t="s">
        <v>1436</v>
      </c>
      <c r="C299" s="442" t="s">
        <v>40</v>
      </c>
      <c r="D299" s="568">
        <v>1</v>
      </c>
      <c r="E299" s="575">
        <f t="shared" si="176"/>
        <v>11294.3</v>
      </c>
      <c r="F299" s="585">
        <v>11294.3</v>
      </c>
      <c r="G299" s="767">
        <v>11294.3</v>
      </c>
      <c r="H299" s="785">
        <f t="shared" si="177"/>
        <v>11294.3</v>
      </c>
      <c r="I299" s="482">
        <f t="shared" si="178"/>
        <v>0</v>
      </c>
      <c r="J299" s="481">
        <f t="shared" si="179"/>
        <v>0</v>
      </c>
    </row>
    <row r="300" spans="1:10" ht="45" customHeight="1" x14ac:dyDescent="0.3">
      <c r="A300" s="443">
        <f t="shared" si="180"/>
        <v>228</v>
      </c>
      <c r="B300" s="428" t="s">
        <v>1659</v>
      </c>
      <c r="C300" s="442" t="s">
        <v>1385</v>
      </c>
      <c r="D300" s="568">
        <v>1</v>
      </c>
      <c r="E300" s="575">
        <f t="shared" si="176"/>
        <v>154091.81</v>
      </c>
      <c r="F300" s="585">
        <f>ROUND((413867.06-105683.45)/2,2)</f>
        <v>154091.81</v>
      </c>
      <c r="G300" s="770">
        <v>205200</v>
      </c>
      <c r="H300" s="785">
        <f t="shared" si="177"/>
        <v>205200</v>
      </c>
      <c r="I300" s="482">
        <f t="shared" si="178"/>
        <v>-51108.19</v>
      </c>
      <c r="J300" s="481">
        <f t="shared" si="179"/>
        <v>-51108.19</v>
      </c>
    </row>
    <row r="301" spans="1:10" ht="37.5" customHeight="1" x14ac:dyDescent="0.3">
      <c r="A301" s="443">
        <f t="shared" si="180"/>
        <v>229</v>
      </c>
      <c r="B301" s="428" t="s">
        <v>1658</v>
      </c>
      <c r="C301" s="442" t="s">
        <v>1385</v>
      </c>
      <c r="D301" s="568">
        <v>1</v>
      </c>
      <c r="E301" s="575">
        <f t="shared" ref="E301" si="181">ROUND(F301/D301,2)</f>
        <v>310343.71999999997</v>
      </c>
      <c r="F301" s="585">
        <f>410994.62-100650.9</f>
        <v>310343.71999999997</v>
      </c>
      <c r="G301" s="770">
        <v>310343.71999999997</v>
      </c>
      <c r="H301" s="785">
        <f t="shared" si="177"/>
        <v>310343.71999999997</v>
      </c>
      <c r="I301" s="482">
        <f t="shared" si="178"/>
        <v>0</v>
      </c>
      <c r="J301" s="481">
        <f t="shared" ref="J301" si="182">F301-H301</f>
        <v>0</v>
      </c>
    </row>
    <row r="302" spans="1:10" ht="49.5" customHeight="1" x14ac:dyDescent="0.3">
      <c r="A302" s="443">
        <f t="shared" si="180"/>
        <v>230</v>
      </c>
      <c r="B302" s="428" t="s">
        <v>1681</v>
      </c>
      <c r="C302" s="442" t="s">
        <v>1385</v>
      </c>
      <c r="D302" s="568">
        <v>1</v>
      </c>
      <c r="E302" s="575">
        <f t="shared" ref="E302" si="183">ROUND(F302/D302,2)</f>
        <v>335582.9</v>
      </c>
      <c r="F302" s="585">
        <f>456363.98-120781.08</f>
        <v>335582.89999999997</v>
      </c>
      <c r="G302" s="770">
        <v>335582.9</v>
      </c>
      <c r="H302" s="785">
        <f t="shared" si="177"/>
        <v>335582.9</v>
      </c>
      <c r="I302" s="482">
        <f t="shared" si="178"/>
        <v>0</v>
      </c>
      <c r="J302" s="481">
        <f t="shared" ref="J302" si="184">F302-H302</f>
        <v>0</v>
      </c>
    </row>
    <row r="303" spans="1:10" ht="21.75" customHeight="1" x14ac:dyDescent="0.3">
      <c r="A303" s="443">
        <f>A300+1</f>
        <v>229</v>
      </c>
      <c r="B303" s="428" t="s">
        <v>1436</v>
      </c>
      <c r="C303" s="442" t="s">
        <v>40</v>
      </c>
      <c r="D303" s="568">
        <v>1</v>
      </c>
      <c r="E303" s="575">
        <f t="shared" si="176"/>
        <v>11294.3</v>
      </c>
      <c r="F303" s="585">
        <v>11294.3</v>
      </c>
      <c r="G303" s="767">
        <v>11294.3</v>
      </c>
      <c r="H303" s="785">
        <f t="shared" si="177"/>
        <v>11294.3</v>
      </c>
      <c r="I303" s="482">
        <f t="shared" si="178"/>
        <v>0</v>
      </c>
      <c r="J303" s="481">
        <f t="shared" si="179"/>
        <v>0</v>
      </c>
    </row>
    <row r="304" spans="1:10" ht="34.5" customHeight="1" x14ac:dyDescent="0.3">
      <c r="A304" s="443">
        <f t="shared" si="180"/>
        <v>230</v>
      </c>
      <c r="B304" s="428" t="s">
        <v>1621</v>
      </c>
      <c r="C304" s="442" t="s">
        <v>40</v>
      </c>
      <c r="D304" s="568">
        <v>80</v>
      </c>
      <c r="E304" s="575">
        <f t="shared" si="176"/>
        <v>1909.52</v>
      </c>
      <c r="F304" s="585">
        <f>176016.47-1707.24-22062.26+514.63</f>
        <v>152761.60000000001</v>
      </c>
      <c r="G304" s="767">
        <v>1909.52</v>
      </c>
      <c r="H304" s="785">
        <f t="shared" si="177"/>
        <v>152761.60000000001</v>
      </c>
      <c r="I304" s="482">
        <f t="shared" si="178"/>
        <v>0</v>
      </c>
      <c r="J304" s="481">
        <f t="shared" si="179"/>
        <v>0</v>
      </c>
    </row>
    <row r="305" spans="1:15" ht="23.25" customHeight="1" x14ac:dyDescent="0.3">
      <c r="A305" s="443">
        <f t="shared" si="180"/>
        <v>231</v>
      </c>
      <c r="B305" s="428" t="s">
        <v>1445</v>
      </c>
      <c r="C305" s="442" t="s">
        <v>40</v>
      </c>
      <c r="D305" s="568">
        <v>80</v>
      </c>
      <c r="E305" s="575">
        <f t="shared" si="176"/>
        <v>1019.22</v>
      </c>
      <c r="F305" s="585">
        <v>81537.600000000006</v>
      </c>
      <c r="G305" s="767">
        <v>1019.22</v>
      </c>
      <c r="H305" s="785">
        <f t="shared" si="177"/>
        <v>81537.600000000006</v>
      </c>
      <c r="I305" s="482">
        <f t="shared" si="178"/>
        <v>0</v>
      </c>
      <c r="J305" s="481">
        <f t="shared" si="179"/>
        <v>0</v>
      </c>
    </row>
    <row r="306" spans="1:15" s="484" customFormat="1" ht="15" customHeight="1" x14ac:dyDescent="0.3">
      <c r="A306" s="502"/>
      <c r="B306" s="503" t="s">
        <v>1684</v>
      </c>
      <c r="C306" s="504"/>
      <c r="D306" s="505"/>
      <c r="E306" s="566"/>
      <c r="F306" s="586"/>
      <c r="G306" s="786"/>
      <c r="H306" s="787"/>
      <c r="I306" s="567"/>
      <c r="J306" s="590"/>
      <c r="K306" s="491"/>
    </row>
    <row r="307" spans="1:15" ht="21.75" customHeight="1" x14ac:dyDescent="0.3">
      <c r="A307" s="443">
        <f>A305+1</f>
        <v>232</v>
      </c>
      <c r="B307" s="428" t="s">
        <v>1468</v>
      </c>
      <c r="C307" s="442" t="s">
        <v>1446</v>
      </c>
      <c r="D307" s="568">
        <v>120</v>
      </c>
      <c r="E307" s="575">
        <f>ROUND(F307/D307,2)</f>
        <v>3561.88</v>
      </c>
      <c r="F307" s="585">
        <f>427425.58</f>
        <v>427425.58</v>
      </c>
      <c r="G307" s="767">
        <v>15000</v>
      </c>
      <c r="H307" s="785">
        <f t="shared" si="177"/>
        <v>1800000</v>
      </c>
      <c r="I307" s="482">
        <f t="shared" si="178"/>
        <v>-11438.12</v>
      </c>
      <c r="J307" s="481">
        <f t="shared" ref="J307:J312" si="185">F307-H307</f>
        <v>-1372574.42</v>
      </c>
    </row>
    <row r="308" spans="1:15" ht="23.25" customHeight="1" x14ac:dyDescent="0.3">
      <c r="A308" s="443">
        <f t="shared" ref="A308:A311" si="186">A307+1</f>
        <v>233</v>
      </c>
      <c r="B308" s="428" t="s">
        <v>1469</v>
      </c>
      <c r="C308" s="442" t="s">
        <v>1446</v>
      </c>
      <c r="D308" s="568">
        <v>17</v>
      </c>
      <c r="E308" s="575">
        <f>ROUND(F308/D308,2)</f>
        <v>3561.88</v>
      </c>
      <c r="F308" s="585">
        <v>60551.97</v>
      </c>
      <c r="G308" s="767">
        <v>15000</v>
      </c>
      <c r="H308" s="785">
        <f t="shared" si="177"/>
        <v>255000</v>
      </c>
      <c r="I308" s="482">
        <f t="shared" si="178"/>
        <v>-11438.12</v>
      </c>
      <c r="J308" s="481">
        <f t="shared" si="185"/>
        <v>-194448.03</v>
      </c>
    </row>
    <row r="309" spans="1:15" ht="23.25" customHeight="1" x14ac:dyDescent="0.3">
      <c r="A309" s="443">
        <f t="shared" si="186"/>
        <v>234</v>
      </c>
      <c r="B309" s="428" t="s">
        <v>1470</v>
      </c>
      <c r="C309" s="442" t="s">
        <v>1446</v>
      </c>
      <c r="D309" s="568">
        <v>12</v>
      </c>
      <c r="E309" s="575">
        <f t="shared" ref="E309:E312" si="187">ROUND(F309/D309,2)</f>
        <v>3561.88</v>
      </c>
      <c r="F309" s="585">
        <v>42742.55</v>
      </c>
      <c r="G309" s="767">
        <v>15000</v>
      </c>
      <c r="H309" s="785">
        <f t="shared" si="177"/>
        <v>180000</v>
      </c>
      <c r="I309" s="482">
        <f t="shared" si="178"/>
        <v>-11438.12</v>
      </c>
      <c r="J309" s="481">
        <f t="shared" si="185"/>
        <v>-137257.45000000001</v>
      </c>
    </row>
    <row r="310" spans="1:15" ht="33.75" customHeight="1" x14ac:dyDescent="0.3">
      <c r="A310" s="443">
        <f t="shared" si="186"/>
        <v>235</v>
      </c>
      <c r="B310" s="428" t="s">
        <v>1622</v>
      </c>
      <c r="C310" s="442" t="s">
        <v>1446</v>
      </c>
      <c r="D310" s="568">
        <v>24</v>
      </c>
      <c r="E310" s="575">
        <f t="shared" si="187"/>
        <v>3561.88</v>
      </c>
      <c r="F310" s="585">
        <v>85485.13</v>
      </c>
      <c r="G310" s="767">
        <v>15000</v>
      </c>
      <c r="H310" s="785">
        <f t="shared" si="177"/>
        <v>360000</v>
      </c>
      <c r="I310" s="482">
        <f t="shared" si="178"/>
        <v>-11438.12</v>
      </c>
      <c r="J310" s="481">
        <f t="shared" si="185"/>
        <v>-274514.87</v>
      </c>
    </row>
    <row r="311" spans="1:15" ht="22.5" customHeight="1" x14ac:dyDescent="0.3">
      <c r="A311" s="443">
        <f t="shared" si="186"/>
        <v>236</v>
      </c>
      <c r="B311" s="428" t="s">
        <v>1623</v>
      </c>
      <c r="C311" s="442" t="s">
        <v>1446</v>
      </c>
      <c r="D311" s="568">
        <v>80</v>
      </c>
      <c r="E311" s="575">
        <f t="shared" si="187"/>
        <v>3575.02</v>
      </c>
      <c r="F311" s="585">
        <v>286001.46000000002</v>
      </c>
      <c r="G311" s="767">
        <v>15000</v>
      </c>
      <c r="H311" s="785">
        <f t="shared" si="177"/>
        <v>1200000</v>
      </c>
      <c r="I311" s="482">
        <f t="shared" si="178"/>
        <v>-11424.98</v>
      </c>
      <c r="J311" s="481">
        <f t="shared" si="185"/>
        <v>-913998.54</v>
      </c>
    </row>
    <row r="312" spans="1:15" ht="21.75" customHeight="1" x14ac:dyDescent="0.3">
      <c r="A312" s="443">
        <f>A309+1</f>
        <v>235</v>
      </c>
      <c r="B312" s="428" t="s">
        <v>1685</v>
      </c>
      <c r="C312" s="442" t="s">
        <v>1446</v>
      </c>
      <c r="D312" s="568">
        <v>173</v>
      </c>
      <c r="E312" s="575">
        <f t="shared" si="187"/>
        <v>5140.8999999999996</v>
      </c>
      <c r="F312" s="585">
        <v>889376.32</v>
      </c>
      <c r="G312" s="767">
        <v>5000</v>
      </c>
      <c r="H312" s="785">
        <f t="shared" si="177"/>
        <v>865000</v>
      </c>
      <c r="I312" s="482">
        <f t="shared" si="178"/>
        <v>140.9</v>
      </c>
      <c r="J312" s="481">
        <f t="shared" si="185"/>
        <v>24376.319999999949</v>
      </c>
    </row>
    <row r="313" spans="1:15" s="484" customFormat="1" ht="15" customHeight="1" x14ac:dyDescent="0.3">
      <c r="A313" s="535"/>
      <c r="B313" s="503" t="s">
        <v>1686</v>
      </c>
      <c r="C313" s="504"/>
      <c r="D313" s="505"/>
      <c r="E313" s="566"/>
      <c r="F313" s="586"/>
      <c r="G313" s="786"/>
      <c r="H313" s="787"/>
      <c r="I313" s="567"/>
      <c r="J313" s="590"/>
      <c r="K313" s="491"/>
    </row>
    <row r="314" spans="1:15" ht="35.25" customHeight="1" x14ac:dyDescent="0.3">
      <c r="A314" s="443">
        <f>A312+1</f>
        <v>236</v>
      </c>
      <c r="B314" s="428" t="s">
        <v>1687</v>
      </c>
      <c r="C314" s="442" t="s">
        <v>40</v>
      </c>
      <c r="D314" s="568">
        <v>6</v>
      </c>
      <c r="E314" s="575">
        <f t="shared" ref="E314" si="188">ROUND(F314/D314,2)</f>
        <v>13905.08</v>
      </c>
      <c r="F314" s="585">
        <f>355411.59-75488.18-196492.94</f>
        <v>83430.47000000003</v>
      </c>
      <c r="G314" s="767">
        <v>4278.4799999999996</v>
      </c>
      <c r="H314" s="785">
        <f t="shared" si="177"/>
        <v>25670.880000000001</v>
      </c>
      <c r="I314" s="482">
        <f t="shared" si="178"/>
        <v>9626.6</v>
      </c>
      <c r="J314" s="481">
        <f t="shared" ref="J314:J315" si="189">F314-H314</f>
        <v>57759.590000000026</v>
      </c>
    </row>
    <row r="315" spans="1:15" ht="21" customHeight="1" x14ac:dyDescent="0.3">
      <c r="A315" s="443">
        <f>A314+1</f>
        <v>237</v>
      </c>
      <c r="B315" s="428" t="s">
        <v>1521</v>
      </c>
      <c r="C315" s="442" t="s">
        <v>40</v>
      </c>
      <c r="D315" s="568">
        <v>13</v>
      </c>
      <c r="E315" s="575">
        <f>ROUND(F315/D315,2)</f>
        <v>1648.18</v>
      </c>
      <c r="F315" s="585">
        <v>21426.34</v>
      </c>
      <c r="G315" s="767">
        <v>1648.18</v>
      </c>
      <c r="H315" s="785">
        <f t="shared" si="177"/>
        <v>21426.34</v>
      </c>
      <c r="I315" s="482">
        <f t="shared" si="178"/>
        <v>0</v>
      </c>
      <c r="J315" s="481">
        <f t="shared" si="189"/>
        <v>0</v>
      </c>
    </row>
    <row r="316" spans="1:15" s="484" customFormat="1" ht="15" customHeight="1" x14ac:dyDescent="0.3">
      <c r="A316" s="502"/>
      <c r="B316" s="503" t="s">
        <v>1699</v>
      </c>
      <c r="C316" s="504"/>
      <c r="D316" s="505"/>
      <c r="E316" s="566"/>
      <c r="F316" s="586"/>
      <c r="G316" s="786"/>
      <c r="H316" s="787"/>
      <c r="I316" s="567"/>
      <c r="J316" s="590"/>
      <c r="K316" s="491"/>
    </row>
    <row r="317" spans="1:15" ht="20.25" customHeight="1" x14ac:dyDescent="0.3">
      <c r="A317" s="443">
        <f>A315+1</f>
        <v>238</v>
      </c>
      <c r="B317" s="428" t="s">
        <v>1694</v>
      </c>
      <c r="C317" s="442" t="s">
        <v>17</v>
      </c>
      <c r="D317" s="565">
        <v>35.78</v>
      </c>
      <c r="E317" s="575">
        <f t="shared" ref="E317" si="190">ROUND(F317/D317,2)</f>
        <v>950.73</v>
      </c>
      <c r="F317" s="585">
        <f>34016.99</f>
        <v>34016.99</v>
      </c>
      <c r="G317" s="767">
        <v>1680</v>
      </c>
      <c r="H317" s="785">
        <f t="shared" si="177"/>
        <v>60110.400000000001</v>
      </c>
      <c r="I317" s="482">
        <f t="shared" si="178"/>
        <v>-729.27</v>
      </c>
      <c r="J317" s="481">
        <f t="shared" ref="J317" si="191">F317-H317</f>
        <v>-26093.410000000003</v>
      </c>
      <c r="K317" s="528"/>
      <c r="L317" s="527"/>
    </row>
    <row r="318" spans="1:15" ht="35.25" customHeight="1" x14ac:dyDescent="0.3">
      <c r="A318" s="443">
        <f>A317+1</f>
        <v>239</v>
      </c>
      <c r="B318" s="428" t="s">
        <v>1693</v>
      </c>
      <c r="C318" s="442" t="s">
        <v>364</v>
      </c>
      <c r="D318" s="568">
        <v>300</v>
      </c>
      <c r="E318" s="575">
        <f t="shared" ref="E318:E322" si="192">ROUND(F318/D318,2)</f>
        <v>4549.34</v>
      </c>
      <c r="F318" s="585">
        <f>ROUND(2848036.99/(1284.3+647.52+747.228)*1284.3,2)-510.37</f>
        <v>1364800.71</v>
      </c>
      <c r="G318" s="767">
        <v>4699.8</v>
      </c>
      <c r="H318" s="785">
        <f t="shared" si="177"/>
        <v>1409940</v>
      </c>
      <c r="I318" s="482">
        <f t="shared" si="178"/>
        <v>-150.46</v>
      </c>
      <c r="J318" s="481">
        <f t="shared" ref="J318:J331" si="193">F318-H318</f>
        <v>-45139.290000000037</v>
      </c>
      <c r="K318" s="543" t="s">
        <v>1792</v>
      </c>
      <c r="L318" s="527"/>
    </row>
    <row r="319" spans="1:15" ht="21.75" customHeight="1" x14ac:dyDescent="0.3">
      <c r="A319" s="443">
        <f>A318+1</f>
        <v>240</v>
      </c>
      <c r="B319" s="428" t="s">
        <v>1692</v>
      </c>
      <c r="C319" s="442" t="s">
        <v>364</v>
      </c>
      <c r="D319" s="568">
        <v>284</v>
      </c>
      <c r="E319" s="575">
        <f t="shared" si="192"/>
        <v>2423.83</v>
      </c>
      <c r="F319" s="585">
        <f>ROUND(2848036.99/(1284.3+647.52+747.228)*647.523,2)</f>
        <v>688367.46</v>
      </c>
      <c r="G319" s="767">
        <v>2503.0500000000002</v>
      </c>
      <c r="H319" s="785">
        <f t="shared" si="177"/>
        <v>710866.2</v>
      </c>
      <c r="I319" s="482">
        <f t="shared" si="178"/>
        <v>-79.22</v>
      </c>
      <c r="J319" s="481">
        <f t="shared" si="193"/>
        <v>-22498.739999999991</v>
      </c>
      <c r="O319" s="489">
        <f>1284.3+647.52+747.228</f>
        <v>2679.0479999999998</v>
      </c>
    </row>
    <row r="320" spans="1:15" ht="20.25" customHeight="1" x14ac:dyDescent="0.3">
      <c r="A320" s="443">
        <f>A319+1</f>
        <v>241</v>
      </c>
      <c r="B320" s="428" t="s">
        <v>1788</v>
      </c>
      <c r="C320" s="442" t="s">
        <v>364</v>
      </c>
      <c r="D320" s="568">
        <v>146</v>
      </c>
      <c r="E320" s="575">
        <f t="shared" si="192"/>
        <v>5440.83</v>
      </c>
      <c r="F320" s="585">
        <f>ROUND(2848036.99/(1284.3+647.52+747.228)*747.228,2)</f>
        <v>794361.65</v>
      </c>
      <c r="G320" s="767">
        <v>5618.69</v>
      </c>
      <c r="H320" s="785">
        <f t="shared" si="177"/>
        <v>820328.74</v>
      </c>
      <c r="I320" s="482">
        <f t="shared" si="178"/>
        <v>-177.86</v>
      </c>
      <c r="J320" s="481">
        <f t="shared" si="193"/>
        <v>-25967.089999999967</v>
      </c>
    </row>
    <row r="321" spans="1:12" ht="20.25" customHeight="1" x14ac:dyDescent="0.3">
      <c r="A321" s="443">
        <f t="shared" ref="A321:A326" si="194">A320+1</f>
        <v>242</v>
      </c>
      <c r="B321" s="428" t="s">
        <v>1696</v>
      </c>
      <c r="C321" s="442" t="s">
        <v>364</v>
      </c>
      <c r="D321" s="568">
        <v>600</v>
      </c>
      <c r="E321" s="575">
        <f t="shared" si="192"/>
        <v>0.63</v>
      </c>
      <c r="F321" s="585">
        <f>ROUND((26689.61-25764.67)/1460*D321,2)</f>
        <v>380.11</v>
      </c>
      <c r="G321" s="767">
        <v>24</v>
      </c>
      <c r="H321" s="785">
        <f t="shared" si="177"/>
        <v>14400</v>
      </c>
      <c r="I321" s="482">
        <f t="shared" si="178"/>
        <v>-23.37</v>
      </c>
      <c r="J321" s="481">
        <f t="shared" si="193"/>
        <v>-14019.89</v>
      </c>
      <c r="K321" s="489">
        <f>0.077*0.044*292</f>
        <v>0.98929599999999995</v>
      </c>
    </row>
    <row r="322" spans="1:12" ht="21" customHeight="1" x14ac:dyDescent="0.3">
      <c r="A322" s="443">
        <f t="shared" si="194"/>
        <v>243</v>
      </c>
      <c r="B322" s="428" t="s">
        <v>1697</v>
      </c>
      <c r="C322" s="442" t="s">
        <v>364</v>
      </c>
      <c r="D322" s="568">
        <v>568</v>
      </c>
      <c r="E322" s="575">
        <f t="shared" si="192"/>
        <v>0.63</v>
      </c>
      <c r="F322" s="585">
        <f>ROUND((26689.61-25764.67)/1460*D322,2)</f>
        <v>359.84</v>
      </c>
      <c r="G322" s="767">
        <v>24</v>
      </c>
      <c r="H322" s="785">
        <f t="shared" si="177"/>
        <v>13632</v>
      </c>
      <c r="I322" s="482">
        <f t="shared" si="178"/>
        <v>-23.37</v>
      </c>
      <c r="J322" s="481">
        <f t="shared" si="193"/>
        <v>-13272.16</v>
      </c>
    </row>
    <row r="323" spans="1:12" ht="21.75" customHeight="1" x14ac:dyDescent="0.3">
      <c r="A323" s="443">
        <f t="shared" si="194"/>
        <v>244</v>
      </c>
      <c r="B323" s="428" t="s">
        <v>1698</v>
      </c>
      <c r="C323" s="442" t="s">
        <v>364</v>
      </c>
      <c r="D323" s="568">
        <v>292</v>
      </c>
      <c r="E323" s="575">
        <f>ROUND(F323/D323,2)</f>
        <v>0.63</v>
      </c>
      <c r="F323" s="585">
        <f>ROUND((26689.61-25764.67)/1460*D323,2)</f>
        <v>184.99</v>
      </c>
      <c r="G323" s="767">
        <v>24</v>
      </c>
      <c r="H323" s="785">
        <f t="shared" si="177"/>
        <v>7008</v>
      </c>
      <c r="I323" s="482">
        <f t="shared" si="178"/>
        <v>-23.37</v>
      </c>
      <c r="J323" s="481">
        <f t="shared" si="193"/>
        <v>-6823.01</v>
      </c>
    </row>
    <row r="324" spans="1:12" ht="23.25" customHeight="1" x14ac:dyDescent="0.3">
      <c r="A324" s="443">
        <f t="shared" si="194"/>
        <v>245</v>
      </c>
      <c r="B324" s="428" t="s">
        <v>1498</v>
      </c>
      <c r="C324" s="442" t="s">
        <v>364</v>
      </c>
      <c r="D324" s="568">
        <v>3000</v>
      </c>
      <c r="E324" s="575">
        <f>ROUND(F324/D324,2)</f>
        <v>4.25</v>
      </c>
      <c r="F324" s="585">
        <f>ROUND((804587.53-785631.64)/4460*D324,2)</f>
        <v>12750.6</v>
      </c>
      <c r="G324" s="767">
        <v>32</v>
      </c>
      <c r="H324" s="785">
        <f t="shared" si="177"/>
        <v>96000</v>
      </c>
      <c r="I324" s="482">
        <f t="shared" si="178"/>
        <v>-27.75</v>
      </c>
      <c r="J324" s="481">
        <f t="shared" si="193"/>
        <v>-83249.399999999994</v>
      </c>
    </row>
    <row r="325" spans="1:12" ht="23.25" customHeight="1" x14ac:dyDescent="0.3">
      <c r="A325" s="443">
        <f t="shared" si="194"/>
        <v>246</v>
      </c>
      <c r="B325" s="428" t="s">
        <v>1499</v>
      </c>
      <c r="C325" s="442" t="s">
        <v>364</v>
      </c>
      <c r="D325" s="568">
        <v>1460</v>
      </c>
      <c r="E325" s="575">
        <f t="shared" ref="E325:E331" si="195">ROUND(F325/D325,2)</f>
        <v>4.25</v>
      </c>
      <c r="F325" s="585">
        <f>ROUND((804587.53-785631.64)/4460*D325,2)</f>
        <v>6205.29</v>
      </c>
      <c r="G325" s="767">
        <v>32</v>
      </c>
      <c r="H325" s="785">
        <f t="shared" si="177"/>
        <v>46720</v>
      </c>
      <c r="I325" s="482">
        <f t="shared" si="178"/>
        <v>-27.75</v>
      </c>
      <c r="J325" s="481">
        <f t="shared" si="193"/>
        <v>-40514.71</v>
      </c>
    </row>
    <row r="326" spans="1:12" ht="30" customHeight="1" x14ac:dyDescent="0.3">
      <c r="A326" s="443">
        <f t="shared" si="194"/>
        <v>247</v>
      </c>
      <c r="B326" s="428" t="s">
        <v>1500</v>
      </c>
      <c r="C326" s="442" t="s">
        <v>364</v>
      </c>
      <c r="D326" s="568">
        <v>1420</v>
      </c>
      <c r="E326" s="575">
        <f t="shared" si="195"/>
        <v>2.64</v>
      </c>
      <c r="F326" s="585">
        <f>159012.94-155266.63</f>
        <v>3746.3099999999977</v>
      </c>
      <c r="G326" s="767">
        <v>32</v>
      </c>
      <c r="H326" s="785">
        <f t="shared" si="177"/>
        <v>45440</v>
      </c>
      <c r="I326" s="482">
        <f t="shared" si="178"/>
        <v>-29.36</v>
      </c>
      <c r="J326" s="481">
        <f t="shared" si="193"/>
        <v>-41693.69</v>
      </c>
      <c r="K326" s="478"/>
    </row>
    <row r="327" spans="1:12" ht="19.5" customHeight="1" x14ac:dyDescent="0.3">
      <c r="A327" s="443">
        <f>A326+1</f>
        <v>248</v>
      </c>
      <c r="B327" s="428" t="s">
        <v>1502</v>
      </c>
      <c r="C327" s="442" t="s">
        <v>1390</v>
      </c>
      <c r="D327" s="568">
        <v>852</v>
      </c>
      <c r="E327" s="575">
        <f t="shared" si="195"/>
        <v>35.880000000000003</v>
      </c>
      <c r="F327" s="585">
        <f>ROUND((5372935.12-5246349.98)/3528*D327,2)</f>
        <v>30569.88</v>
      </c>
      <c r="G327" s="767">
        <v>35</v>
      </c>
      <c r="H327" s="785">
        <f t="shared" si="177"/>
        <v>29820</v>
      </c>
      <c r="I327" s="482">
        <f t="shared" si="178"/>
        <v>0.88</v>
      </c>
      <c r="J327" s="481">
        <f t="shared" si="193"/>
        <v>749.88000000000102</v>
      </c>
      <c r="K327" s="478"/>
    </row>
    <row r="328" spans="1:12" ht="19.5" customHeight="1" x14ac:dyDescent="0.3">
      <c r="A328" s="443">
        <f t="shared" ref="A328:A332" si="196">A327+1</f>
        <v>249</v>
      </c>
      <c r="B328" s="428" t="s">
        <v>1503</v>
      </c>
      <c r="C328" s="442" t="s">
        <v>1390</v>
      </c>
      <c r="D328" s="568">
        <v>1800</v>
      </c>
      <c r="E328" s="575">
        <f t="shared" si="195"/>
        <v>35.880000000000003</v>
      </c>
      <c r="F328" s="585">
        <f>ROUND((5372935.12-5246349.98)/3528*D328,2)</f>
        <v>64584.26</v>
      </c>
      <c r="G328" s="767">
        <v>35</v>
      </c>
      <c r="H328" s="785">
        <f t="shared" si="177"/>
        <v>63000</v>
      </c>
      <c r="I328" s="482">
        <f t="shared" si="178"/>
        <v>0.88</v>
      </c>
      <c r="J328" s="481">
        <f t="shared" si="193"/>
        <v>1584.260000000002</v>
      </c>
      <c r="K328" s="478"/>
    </row>
    <row r="329" spans="1:12" ht="19.5" customHeight="1" x14ac:dyDescent="0.3">
      <c r="A329" s="443">
        <f t="shared" si="196"/>
        <v>250</v>
      </c>
      <c r="B329" s="428" t="s">
        <v>1504</v>
      </c>
      <c r="C329" s="442" t="s">
        <v>1390</v>
      </c>
      <c r="D329" s="568">
        <v>876</v>
      </c>
      <c r="E329" s="575">
        <f t="shared" si="195"/>
        <v>35.880000000000003</v>
      </c>
      <c r="F329" s="585">
        <f>ROUND((5372935.12-5246349.98)/3528*D329,2)</f>
        <v>31431</v>
      </c>
      <c r="G329" s="767">
        <v>35</v>
      </c>
      <c r="H329" s="785">
        <f t="shared" si="177"/>
        <v>30660</v>
      </c>
      <c r="I329" s="482">
        <f t="shared" si="178"/>
        <v>0.88</v>
      </c>
      <c r="J329" s="481">
        <f t="shared" si="193"/>
        <v>771</v>
      </c>
      <c r="K329" s="478"/>
    </row>
    <row r="330" spans="1:12" ht="20.25" customHeight="1" x14ac:dyDescent="0.3">
      <c r="A330" s="443">
        <f t="shared" si="196"/>
        <v>251</v>
      </c>
      <c r="B330" s="428" t="s">
        <v>1824</v>
      </c>
      <c r="C330" s="442" t="s">
        <v>1390</v>
      </c>
      <c r="D330" s="568">
        <v>357</v>
      </c>
      <c r="E330" s="575">
        <f t="shared" si="195"/>
        <v>37.67</v>
      </c>
      <c r="F330" s="585">
        <f>ROUND((3612312.55-3527207.27)/2259*D330,2)</f>
        <v>13449.57</v>
      </c>
      <c r="G330" s="767">
        <v>77.599999999999994</v>
      </c>
      <c r="H330" s="785">
        <f t="shared" si="177"/>
        <v>27703.200000000001</v>
      </c>
      <c r="I330" s="482">
        <f t="shared" si="178"/>
        <v>-39.93</v>
      </c>
      <c r="J330" s="481">
        <f t="shared" si="193"/>
        <v>-14253.630000000001</v>
      </c>
    </row>
    <row r="331" spans="1:12" ht="20.25" customHeight="1" x14ac:dyDescent="0.3">
      <c r="A331" s="443">
        <f t="shared" si="196"/>
        <v>252</v>
      </c>
      <c r="B331" s="428" t="s">
        <v>1825</v>
      </c>
      <c r="C331" s="442" t="s">
        <v>1390</v>
      </c>
      <c r="D331" s="568">
        <v>357</v>
      </c>
      <c r="E331" s="575">
        <f t="shared" si="195"/>
        <v>37.67</v>
      </c>
      <c r="F331" s="585">
        <f>ROUND((3612312.55-3527207.27)/2259*D331,2)</f>
        <v>13449.57</v>
      </c>
      <c r="G331" s="767">
        <v>77.599999999999994</v>
      </c>
      <c r="H331" s="785">
        <f t="shared" si="177"/>
        <v>27703.200000000001</v>
      </c>
      <c r="I331" s="482">
        <f t="shared" si="178"/>
        <v>-39.93</v>
      </c>
      <c r="J331" s="481">
        <f t="shared" si="193"/>
        <v>-14253.630000000001</v>
      </c>
    </row>
    <row r="332" spans="1:12" ht="20.25" customHeight="1" x14ac:dyDescent="0.3">
      <c r="A332" s="443">
        <f t="shared" si="196"/>
        <v>253</v>
      </c>
      <c r="B332" s="428" t="s">
        <v>1701</v>
      </c>
      <c r="C332" s="442" t="s">
        <v>1390</v>
      </c>
      <c r="D332" s="568">
        <v>1545</v>
      </c>
      <c r="E332" s="575">
        <f t="shared" ref="E332" si="197">ROUND(F332/D332,2)</f>
        <v>37.67</v>
      </c>
      <c r="F332" s="585">
        <f>ROUND((3612312.55-3527207.27)/2259*D332,2)</f>
        <v>58206.13</v>
      </c>
      <c r="G332" s="767">
        <v>77.599999999999994</v>
      </c>
      <c r="H332" s="785">
        <f t="shared" si="177"/>
        <v>119892</v>
      </c>
      <c r="I332" s="482">
        <f t="shared" si="178"/>
        <v>-39.93</v>
      </c>
      <c r="J332" s="481">
        <f t="shared" ref="J332" si="198">F332-H332</f>
        <v>-61685.87</v>
      </c>
    </row>
    <row r="333" spans="1:12" s="484" customFormat="1" ht="15" customHeight="1" x14ac:dyDescent="0.3">
      <c r="A333" s="502"/>
      <c r="B333" s="503" t="s">
        <v>1512</v>
      </c>
      <c r="C333" s="504"/>
      <c r="D333" s="505"/>
      <c r="E333" s="566"/>
      <c r="F333" s="586"/>
      <c r="G333" s="786"/>
      <c r="H333" s="787"/>
      <c r="I333" s="567"/>
      <c r="J333" s="590"/>
      <c r="K333" s="491"/>
    </row>
    <row r="334" spans="1:12" ht="20.25" customHeight="1" x14ac:dyDescent="0.3">
      <c r="A334" s="443">
        <f>A332+1</f>
        <v>254</v>
      </c>
      <c r="B334" s="428" t="s">
        <v>1703</v>
      </c>
      <c r="C334" s="442" t="s">
        <v>17</v>
      </c>
      <c r="D334" s="565">
        <v>125.84</v>
      </c>
      <c r="E334" s="575">
        <f t="shared" ref="E334" si="199">ROUND(F334/D334,2)</f>
        <v>950.73</v>
      </c>
      <c r="F334" s="585">
        <f>119639.41</f>
        <v>119639.41</v>
      </c>
      <c r="G334" s="767">
        <v>1680</v>
      </c>
      <c r="H334" s="785">
        <f t="shared" si="177"/>
        <v>211411.20000000001</v>
      </c>
      <c r="I334" s="482">
        <f t="shared" si="178"/>
        <v>-729.27</v>
      </c>
      <c r="J334" s="481">
        <f t="shared" ref="J334" si="200">F334-H334</f>
        <v>-91771.790000000008</v>
      </c>
      <c r="K334" s="528"/>
      <c r="L334" s="527"/>
    </row>
    <row r="335" spans="1:12" ht="20.25" customHeight="1" x14ac:dyDescent="0.3">
      <c r="A335" s="443">
        <f>A334+1</f>
        <v>255</v>
      </c>
      <c r="B335" s="428" t="s">
        <v>1705</v>
      </c>
      <c r="C335" s="442" t="s">
        <v>17</v>
      </c>
      <c r="D335" s="565">
        <v>6.16</v>
      </c>
      <c r="E335" s="575">
        <f t="shared" ref="E335" si="201">ROUND(F335/D335,2)</f>
        <v>950.73</v>
      </c>
      <c r="F335" s="585">
        <v>5856.48</v>
      </c>
      <c r="G335" s="767">
        <v>1680</v>
      </c>
      <c r="H335" s="785">
        <f t="shared" si="177"/>
        <v>10348.799999999999</v>
      </c>
      <c r="I335" s="482">
        <f t="shared" si="178"/>
        <v>-729.27</v>
      </c>
      <c r="J335" s="481">
        <f t="shared" ref="J335" si="202">F335-H335</f>
        <v>-4492.32</v>
      </c>
      <c r="K335" s="528" t="s">
        <v>1706</v>
      </c>
      <c r="L335" s="527"/>
    </row>
    <row r="336" spans="1:12" ht="21.75" customHeight="1" x14ac:dyDescent="0.3">
      <c r="A336" s="443">
        <f>A335+1</f>
        <v>256</v>
      </c>
      <c r="B336" s="428" t="s">
        <v>1513</v>
      </c>
      <c r="C336" s="442" t="s">
        <v>20</v>
      </c>
      <c r="D336" s="568">
        <v>1678</v>
      </c>
      <c r="E336" s="575">
        <f t="shared" ref="E336" si="203">ROUND(F336/D336,2)</f>
        <v>957</v>
      </c>
      <c r="F336" s="585">
        <v>1605846</v>
      </c>
      <c r="G336" s="767">
        <v>957</v>
      </c>
      <c r="H336" s="785">
        <f t="shared" si="177"/>
        <v>1605846</v>
      </c>
      <c r="I336" s="482">
        <f t="shared" si="178"/>
        <v>0</v>
      </c>
      <c r="J336" s="481">
        <f t="shared" ref="J336" si="204">F336-H336</f>
        <v>0</v>
      </c>
    </row>
    <row r="337" spans="1:11" s="484" customFormat="1" ht="15" customHeight="1" x14ac:dyDescent="0.3">
      <c r="A337" s="535"/>
      <c r="B337" s="503" t="s">
        <v>1522</v>
      </c>
      <c r="C337" s="504"/>
      <c r="D337" s="505"/>
      <c r="E337" s="566"/>
      <c r="F337" s="586"/>
      <c r="G337" s="786"/>
      <c r="H337" s="787"/>
      <c r="I337" s="567"/>
      <c r="J337" s="590"/>
      <c r="K337" s="491"/>
    </row>
    <row r="338" spans="1:11" ht="21.75" customHeight="1" x14ac:dyDescent="0.3">
      <c r="A338" s="443">
        <f>A336+1</f>
        <v>257</v>
      </c>
      <c r="B338" s="428" t="s">
        <v>1527</v>
      </c>
      <c r="C338" s="442" t="s">
        <v>17</v>
      </c>
      <c r="D338" s="565">
        <v>37.520000000000003</v>
      </c>
      <c r="E338" s="575">
        <f>ROUND(F338/D338,2)</f>
        <v>1317.1</v>
      </c>
      <c r="F338" s="585">
        <v>49417.77</v>
      </c>
      <c r="G338" s="767">
        <v>1680</v>
      </c>
      <c r="H338" s="785">
        <f t="shared" si="177"/>
        <v>63033.599999999999</v>
      </c>
      <c r="I338" s="482">
        <f t="shared" si="178"/>
        <v>-362.9</v>
      </c>
      <c r="J338" s="481">
        <f>F338-H338</f>
        <v>-13615.830000000002</v>
      </c>
    </row>
    <row r="339" spans="1:11" ht="21.75" customHeight="1" x14ac:dyDescent="0.3">
      <c r="A339" s="852">
        <f>A338+1</f>
        <v>258</v>
      </c>
      <c r="B339" s="428" t="s">
        <v>1523</v>
      </c>
      <c r="C339" s="442" t="s">
        <v>17</v>
      </c>
      <c r="D339" s="565">
        <v>67</v>
      </c>
      <c r="E339" s="854">
        <f>ROUND(F339/D340,2)</f>
        <v>950.56</v>
      </c>
      <c r="F339" s="856">
        <v>1273750.3999999999</v>
      </c>
      <c r="G339" s="858">
        <v>950.56</v>
      </c>
      <c r="H339" s="843">
        <f>ROUND(G339*D340,2)</f>
        <v>1273750.3999999999</v>
      </c>
      <c r="I339" s="848">
        <f>ROUND(E339-G339,2)</f>
        <v>0</v>
      </c>
      <c r="J339" s="850">
        <f>F339-H339</f>
        <v>0</v>
      </c>
    </row>
    <row r="340" spans="1:11" ht="21" customHeight="1" x14ac:dyDescent="0.3">
      <c r="A340" s="853"/>
      <c r="B340" s="428" t="s">
        <v>1386</v>
      </c>
      <c r="C340" s="442" t="s">
        <v>5</v>
      </c>
      <c r="D340" s="568">
        <v>1340</v>
      </c>
      <c r="E340" s="855"/>
      <c r="F340" s="857"/>
      <c r="G340" s="859"/>
      <c r="H340" s="844"/>
      <c r="I340" s="849"/>
      <c r="J340" s="851"/>
    </row>
    <row r="341" spans="1:11" ht="19.5" customHeight="1" x14ac:dyDescent="0.3">
      <c r="A341" s="443">
        <f>A339+1</f>
        <v>259</v>
      </c>
      <c r="B341" s="428" t="s">
        <v>1708</v>
      </c>
      <c r="C341" s="442" t="s">
        <v>17</v>
      </c>
      <c r="D341" s="565">
        <v>39.58</v>
      </c>
      <c r="E341" s="575">
        <f t="shared" ref="E341" si="205">ROUND(F341/D341,2)</f>
        <v>55.19</v>
      </c>
      <c r="F341" s="585">
        <v>2184.2600000000002</v>
      </c>
      <c r="G341" s="767">
        <v>260</v>
      </c>
      <c r="H341" s="785">
        <f t="shared" ref="H341:H359" si="206">ROUND(G341*D341,2)</f>
        <v>10290.799999999999</v>
      </c>
      <c r="I341" s="482">
        <f>ROUND(E341-G341,2)</f>
        <v>-204.81</v>
      </c>
      <c r="J341" s="481">
        <f t="shared" ref="J341" si="207">F341-H341</f>
        <v>-8106.5399999999991</v>
      </c>
    </row>
    <row r="342" spans="1:11" ht="19.5" customHeight="1" x14ac:dyDescent="0.3">
      <c r="A342" s="443">
        <f>A341+1</f>
        <v>260</v>
      </c>
      <c r="B342" s="428" t="s">
        <v>1707</v>
      </c>
      <c r="C342" s="442" t="s">
        <v>28</v>
      </c>
      <c r="D342" s="565">
        <f>39.58*1.95</f>
        <v>77.180999999999997</v>
      </c>
      <c r="E342" s="575">
        <f t="shared" ref="E342:E343" si="208">ROUND(F342/D342,2)</f>
        <v>47.17</v>
      </c>
      <c r="F342" s="585">
        <v>3640.52</v>
      </c>
      <c r="G342" s="767">
        <v>250</v>
      </c>
      <c r="H342" s="785">
        <f t="shared" si="206"/>
        <v>19295.25</v>
      </c>
      <c r="I342" s="482">
        <f t="shared" ref="I342:I343" si="209">ROUND(E342-G342,2)</f>
        <v>-202.83</v>
      </c>
      <c r="J342" s="481">
        <f t="shared" ref="J342:J343" si="210">F342-H342</f>
        <v>-15654.73</v>
      </c>
    </row>
    <row r="343" spans="1:11" ht="19.5" customHeight="1" x14ac:dyDescent="0.3">
      <c r="A343" s="443">
        <f>A342+1</f>
        <v>261</v>
      </c>
      <c r="B343" s="428" t="s">
        <v>1709</v>
      </c>
      <c r="C343" s="442" t="s">
        <v>17</v>
      </c>
      <c r="D343" s="565">
        <v>39.58</v>
      </c>
      <c r="E343" s="575">
        <f t="shared" si="208"/>
        <v>680</v>
      </c>
      <c r="F343" s="585">
        <v>26914.44</v>
      </c>
      <c r="G343" s="767">
        <v>208</v>
      </c>
      <c r="H343" s="785">
        <f t="shared" si="206"/>
        <v>8232.64</v>
      </c>
      <c r="I343" s="482">
        <f t="shared" si="209"/>
        <v>472</v>
      </c>
      <c r="J343" s="481">
        <f t="shared" si="210"/>
        <v>18681.8</v>
      </c>
    </row>
    <row r="344" spans="1:11" s="484" customFormat="1" ht="15" customHeight="1" x14ac:dyDescent="0.3">
      <c r="A344" s="535"/>
      <c r="B344" s="503" t="s">
        <v>1719</v>
      </c>
      <c r="C344" s="504"/>
      <c r="D344" s="505"/>
      <c r="E344" s="566"/>
      <c r="F344" s="586"/>
      <c r="G344" s="786"/>
      <c r="H344" s="787"/>
      <c r="I344" s="567"/>
      <c r="J344" s="590"/>
      <c r="K344" s="491"/>
    </row>
    <row r="345" spans="1:11" ht="33.75" customHeight="1" x14ac:dyDescent="0.3">
      <c r="A345" s="443">
        <f>A343+1</f>
        <v>262</v>
      </c>
      <c r="B345" s="428" t="s">
        <v>1710</v>
      </c>
      <c r="C345" s="442" t="s">
        <v>1131</v>
      </c>
      <c r="D345" s="565">
        <v>970.44</v>
      </c>
      <c r="E345" s="575">
        <f t="shared" ref="E345:E351" si="211">ROUND(F345/D345,2)</f>
        <v>1051.8499999999999</v>
      </c>
      <c r="F345" s="585">
        <f>ROUND(1617512.27/1537.78*D345,2)</f>
        <v>1020756.29</v>
      </c>
      <c r="G345" s="767">
        <v>1788.15</v>
      </c>
      <c r="H345" s="785">
        <f t="shared" si="206"/>
        <v>1735292.29</v>
      </c>
      <c r="I345" s="482">
        <f t="shared" ref="I345:I351" si="212">ROUND(E345-G345,2)</f>
        <v>-736.3</v>
      </c>
      <c r="J345" s="481">
        <f t="shared" ref="J345:J351" si="213">F345-H345</f>
        <v>-714536</v>
      </c>
    </row>
    <row r="346" spans="1:11" ht="33.75" customHeight="1" x14ac:dyDescent="0.3">
      <c r="A346" s="443">
        <f>A345+1</f>
        <v>263</v>
      </c>
      <c r="B346" s="428" t="s">
        <v>1711</v>
      </c>
      <c r="C346" s="442" t="s">
        <v>1131</v>
      </c>
      <c r="D346" s="565">
        <v>146.93</v>
      </c>
      <c r="E346" s="575">
        <f t="shared" si="211"/>
        <v>1051.8499999999999</v>
      </c>
      <c r="F346" s="585">
        <f>ROUND(1617512.27/1537.78*D346,2)</f>
        <v>154548.17000000001</v>
      </c>
      <c r="G346" s="767">
        <v>1788.15</v>
      </c>
      <c r="H346" s="785">
        <f t="shared" si="206"/>
        <v>262732.88</v>
      </c>
      <c r="I346" s="482">
        <f t="shared" si="212"/>
        <v>-736.3</v>
      </c>
      <c r="J346" s="481">
        <f t="shared" si="213"/>
        <v>-108184.70999999999</v>
      </c>
    </row>
    <row r="347" spans="1:11" ht="30.75" customHeight="1" x14ac:dyDescent="0.3">
      <c r="A347" s="443">
        <f t="shared" ref="A347:A349" si="214">A346+1</f>
        <v>264</v>
      </c>
      <c r="B347" s="428" t="s">
        <v>1712</v>
      </c>
      <c r="C347" s="442" t="s">
        <v>1131</v>
      </c>
      <c r="D347" s="565">
        <v>19.5</v>
      </c>
      <c r="E347" s="575">
        <f t="shared" ref="E347" si="215">ROUND(F347/D347,2)</f>
        <v>1051.8499999999999</v>
      </c>
      <c r="F347" s="585">
        <f>ROUND(1617512.27/1537.78*D347,2)</f>
        <v>20511.05</v>
      </c>
      <c r="G347" s="767">
        <v>1788.15</v>
      </c>
      <c r="H347" s="785">
        <f t="shared" si="206"/>
        <v>34868.93</v>
      </c>
      <c r="I347" s="482">
        <f t="shared" si="212"/>
        <v>-736.3</v>
      </c>
      <c r="J347" s="481">
        <f t="shared" ref="J347" si="216">F347-H347</f>
        <v>-14357.880000000001</v>
      </c>
    </row>
    <row r="348" spans="1:11" ht="30.75" customHeight="1" x14ac:dyDescent="0.3">
      <c r="A348" s="443">
        <f t="shared" si="214"/>
        <v>265</v>
      </c>
      <c r="B348" s="428" t="s">
        <v>1713</v>
      </c>
      <c r="C348" s="442" t="s">
        <v>1131</v>
      </c>
      <c r="D348" s="565">
        <v>331.54</v>
      </c>
      <c r="E348" s="575">
        <f>ROUND(F348/D348,2)</f>
        <v>1051.8499999999999</v>
      </c>
      <c r="F348" s="585">
        <f>ROUND(1617512.27/1537.78*D348,2)</f>
        <v>348730</v>
      </c>
      <c r="G348" s="767">
        <v>1788.15</v>
      </c>
      <c r="H348" s="785">
        <f t="shared" si="206"/>
        <v>592843.25</v>
      </c>
      <c r="I348" s="482">
        <f t="shared" si="212"/>
        <v>-736.3</v>
      </c>
      <c r="J348" s="481">
        <f>F348-H348</f>
        <v>-244113.25</v>
      </c>
    </row>
    <row r="349" spans="1:11" ht="33" customHeight="1" x14ac:dyDescent="0.3">
      <c r="A349" s="443">
        <f t="shared" si="214"/>
        <v>266</v>
      </c>
      <c r="B349" s="428" t="s">
        <v>1715</v>
      </c>
      <c r="C349" s="442" t="s">
        <v>1131</v>
      </c>
      <c r="D349" s="570">
        <v>69.364999999999995</v>
      </c>
      <c r="E349" s="575">
        <f t="shared" si="211"/>
        <v>1051.8499999999999</v>
      </c>
      <c r="F349" s="585">
        <f>ROUND(1617512.27/1537.78*D349,2)</f>
        <v>72961.5</v>
      </c>
      <c r="G349" s="767">
        <v>1788.15</v>
      </c>
      <c r="H349" s="785">
        <f t="shared" si="206"/>
        <v>124035.02</v>
      </c>
      <c r="I349" s="482">
        <f t="shared" si="212"/>
        <v>-736.3</v>
      </c>
      <c r="J349" s="481">
        <f t="shared" si="213"/>
        <v>-51073.520000000004</v>
      </c>
    </row>
    <row r="350" spans="1:11" ht="20.25" customHeight="1" x14ac:dyDescent="0.3">
      <c r="A350" s="443">
        <f t="shared" ref="A350:A351" si="217">A349+1</f>
        <v>267</v>
      </c>
      <c r="B350" s="540" t="s">
        <v>1534</v>
      </c>
      <c r="C350" s="442" t="s">
        <v>1131</v>
      </c>
      <c r="D350" s="565">
        <v>1537.77</v>
      </c>
      <c r="E350" s="575">
        <f t="shared" si="211"/>
        <v>0</v>
      </c>
      <c r="F350" s="585"/>
      <c r="G350" s="767"/>
      <c r="H350" s="785">
        <f t="shared" si="206"/>
        <v>0</v>
      </c>
      <c r="I350" s="482">
        <f t="shared" si="212"/>
        <v>0</v>
      </c>
      <c r="J350" s="481">
        <f t="shared" si="213"/>
        <v>0</v>
      </c>
      <c r="K350" s="489" t="s">
        <v>1536</v>
      </c>
    </row>
    <row r="351" spans="1:11" ht="20.25" customHeight="1" x14ac:dyDescent="0.3">
      <c r="A351" s="443">
        <f t="shared" si="217"/>
        <v>268</v>
      </c>
      <c r="B351" s="540" t="s">
        <v>1535</v>
      </c>
      <c r="C351" s="442" t="s">
        <v>1131</v>
      </c>
      <c r="D351" s="565">
        <v>1537.77</v>
      </c>
      <c r="E351" s="575">
        <f t="shared" si="211"/>
        <v>0</v>
      </c>
      <c r="F351" s="585"/>
      <c r="G351" s="767"/>
      <c r="H351" s="785">
        <f t="shared" si="206"/>
        <v>0</v>
      </c>
      <c r="I351" s="482">
        <f t="shared" si="212"/>
        <v>0</v>
      </c>
      <c r="J351" s="481">
        <f t="shared" si="213"/>
        <v>0</v>
      </c>
      <c r="K351" s="489" t="s">
        <v>1536</v>
      </c>
    </row>
    <row r="352" spans="1:11" s="484" customFormat="1" ht="15" customHeight="1" x14ac:dyDescent="0.3">
      <c r="A352" s="502"/>
      <c r="B352" s="503" t="s">
        <v>1529</v>
      </c>
      <c r="C352" s="504"/>
      <c r="D352" s="505"/>
      <c r="E352" s="566"/>
      <c r="F352" s="586"/>
      <c r="G352" s="786"/>
      <c r="H352" s="787"/>
      <c r="I352" s="567"/>
      <c r="J352" s="590"/>
      <c r="K352" s="491"/>
    </row>
    <row r="353" spans="1:12" ht="33" customHeight="1" x14ac:dyDescent="0.3">
      <c r="A353" s="443">
        <f>A351+1</f>
        <v>269</v>
      </c>
      <c r="B353" s="428" t="s">
        <v>1720</v>
      </c>
      <c r="C353" s="442" t="s">
        <v>17</v>
      </c>
      <c r="D353" s="569">
        <f>35.9*0.12</f>
        <v>4.3079999999999998</v>
      </c>
      <c r="E353" s="575">
        <f t="shared" ref="E353:E355" si="218">ROUND(F353/D353,2)</f>
        <v>3447.15</v>
      </c>
      <c r="F353" s="585">
        <v>14850.33</v>
      </c>
      <c r="G353" s="767">
        <v>3000</v>
      </c>
      <c r="H353" s="785">
        <f t="shared" si="206"/>
        <v>12924</v>
      </c>
      <c r="I353" s="482">
        <f t="shared" ref="I353:I356" si="219">ROUND(E353-G353,2)</f>
        <v>447.15</v>
      </c>
      <c r="J353" s="481">
        <f t="shared" ref="J353:J356" si="220">F353-H353</f>
        <v>1926.33</v>
      </c>
    </row>
    <row r="354" spans="1:12" ht="21" customHeight="1" x14ac:dyDescent="0.3">
      <c r="A354" s="443">
        <f>A353+1</f>
        <v>270</v>
      </c>
      <c r="B354" s="428" t="s">
        <v>1539</v>
      </c>
      <c r="C354" s="442" t="s">
        <v>17</v>
      </c>
      <c r="D354" s="569">
        <f>35.9*0.12</f>
        <v>4.3079999999999998</v>
      </c>
      <c r="E354" s="575">
        <f t="shared" si="218"/>
        <v>55.09</v>
      </c>
      <c r="F354" s="585">
        <v>237.31</v>
      </c>
      <c r="G354" s="767">
        <v>260</v>
      </c>
      <c r="H354" s="785">
        <f t="shared" si="206"/>
        <v>1120.08</v>
      </c>
      <c r="I354" s="482">
        <f t="shared" si="219"/>
        <v>-204.91</v>
      </c>
      <c r="J354" s="481">
        <f t="shared" si="220"/>
        <v>-882.77</v>
      </c>
    </row>
    <row r="355" spans="1:12" ht="21" customHeight="1" x14ac:dyDescent="0.3">
      <c r="A355" s="443">
        <f>A354+1</f>
        <v>271</v>
      </c>
      <c r="B355" s="428" t="s">
        <v>1540</v>
      </c>
      <c r="C355" s="442" t="s">
        <v>28</v>
      </c>
      <c r="D355" s="565">
        <f>35.9*0.12*1.9</f>
        <v>8.1852</v>
      </c>
      <c r="E355" s="575">
        <f t="shared" si="218"/>
        <v>187.23</v>
      </c>
      <c r="F355" s="585">
        <v>1532.5</v>
      </c>
      <c r="G355" s="767">
        <v>250</v>
      </c>
      <c r="H355" s="785">
        <f t="shared" si="206"/>
        <v>2046.3</v>
      </c>
      <c r="I355" s="482">
        <f t="shared" si="219"/>
        <v>-62.77</v>
      </c>
      <c r="J355" s="481">
        <f t="shared" si="220"/>
        <v>-513.79999999999995</v>
      </c>
    </row>
    <row r="356" spans="1:12" ht="35.25" customHeight="1" x14ac:dyDescent="0.3">
      <c r="A356" s="443">
        <f>A355+1</f>
        <v>272</v>
      </c>
      <c r="B356" s="428" t="s">
        <v>1537</v>
      </c>
      <c r="C356" s="442" t="s">
        <v>20</v>
      </c>
      <c r="D356" s="565">
        <v>5764.7</v>
      </c>
      <c r="E356" s="575">
        <f>ROUND(F356/D356,2)</f>
        <v>2.33</v>
      </c>
      <c r="F356" s="585">
        <f>6022.78+344.56+6022.78+1033.68</f>
        <v>13423.8</v>
      </c>
      <c r="G356" s="767">
        <v>960</v>
      </c>
      <c r="H356" s="785">
        <f t="shared" si="206"/>
        <v>5534112</v>
      </c>
      <c r="I356" s="482">
        <f t="shared" si="219"/>
        <v>-957.67</v>
      </c>
      <c r="J356" s="481">
        <f t="shared" si="220"/>
        <v>-5520688.2000000002</v>
      </c>
    </row>
    <row r="357" spans="1:12" s="484" customFormat="1" ht="15" customHeight="1" x14ac:dyDescent="0.3">
      <c r="A357" s="502"/>
      <c r="B357" s="503" t="s">
        <v>1722</v>
      </c>
      <c r="C357" s="504"/>
      <c r="D357" s="505"/>
      <c r="E357" s="566"/>
      <c r="F357" s="586"/>
      <c r="G357" s="786"/>
      <c r="H357" s="787"/>
      <c r="I357" s="567"/>
      <c r="J357" s="590"/>
      <c r="K357" s="491"/>
    </row>
    <row r="358" spans="1:12" ht="19.5" customHeight="1" x14ac:dyDescent="0.3">
      <c r="A358" s="443">
        <f>A356+1</f>
        <v>273</v>
      </c>
      <c r="B358" s="428" t="s">
        <v>1723</v>
      </c>
      <c r="C358" s="442" t="s">
        <v>17</v>
      </c>
      <c r="D358" s="569">
        <v>34</v>
      </c>
      <c r="E358" s="575">
        <f t="shared" ref="E358:E359" si="221">ROUND(F358/D358,2)</f>
        <v>293.18</v>
      </c>
      <c r="F358" s="585">
        <v>9967.9599999999991</v>
      </c>
      <c r="G358" s="767">
        <v>4700</v>
      </c>
      <c r="H358" s="785">
        <f t="shared" si="206"/>
        <v>159800</v>
      </c>
      <c r="I358" s="482">
        <f t="shared" ref="I358:I359" si="222">ROUND(E358-G358,2)</f>
        <v>-4406.82</v>
      </c>
      <c r="J358" s="481">
        <f t="shared" ref="J358:J359" si="223">F358-H358</f>
        <v>-149832.04</v>
      </c>
    </row>
    <row r="359" spans="1:12" ht="21" customHeight="1" x14ac:dyDescent="0.3">
      <c r="A359" s="443">
        <f>A358+1</f>
        <v>274</v>
      </c>
      <c r="B359" s="428" t="s">
        <v>1724</v>
      </c>
      <c r="C359" s="442" t="s">
        <v>5</v>
      </c>
      <c r="D359" s="569">
        <f>339*2</f>
        <v>678</v>
      </c>
      <c r="E359" s="575">
        <f t="shared" si="221"/>
        <v>730.2</v>
      </c>
      <c r="F359" s="585">
        <v>495072.41</v>
      </c>
      <c r="G359" s="767">
        <v>985.7700000000001</v>
      </c>
      <c r="H359" s="785">
        <f t="shared" si="206"/>
        <v>668352.06000000006</v>
      </c>
      <c r="I359" s="482">
        <f t="shared" si="222"/>
        <v>-255.57</v>
      </c>
      <c r="J359" s="481">
        <f t="shared" si="223"/>
        <v>-173279.65000000008</v>
      </c>
    </row>
    <row r="360" spans="1:12" s="484" customFormat="1" ht="15" customHeight="1" x14ac:dyDescent="0.3">
      <c r="A360" s="502"/>
      <c r="B360" s="503" t="s">
        <v>1542</v>
      </c>
      <c r="C360" s="504"/>
      <c r="D360" s="505"/>
      <c r="E360" s="566"/>
      <c r="F360" s="586"/>
      <c r="G360" s="786"/>
      <c r="H360" s="787"/>
      <c r="I360" s="567"/>
      <c r="J360" s="590"/>
      <c r="K360" s="491"/>
    </row>
    <row r="361" spans="1:12" ht="19.5" customHeight="1" x14ac:dyDescent="0.3">
      <c r="A361" s="852">
        <f>A359+1</f>
        <v>275</v>
      </c>
      <c r="B361" s="428" t="s">
        <v>1549</v>
      </c>
      <c r="C361" s="442" t="s">
        <v>1391</v>
      </c>
      <c r="D361" s="568">
        <v>10</v>
      </c>
      <c r="E361" s="854">
        <f>ROUND(F361/D361,2)</f>
        <v>9692.17</v>
      </c>
      <c r="F361" s="856">
        <f>87545.51+23832.38-14456.19</f>
        <v>96921.7</v>
      </c>
      <c r="G361" s="858">
        <v>38400</v>
      </c>
      <c r="H361" s="843">
        <f>G361*D361</f>
        <v>384000</v>
      </c>
      <c r="I361" s="848">
        <f>ROUND(E361-G361,2)</f>
        <v>-28707.83</v>
      </c>
      <c r="J361" s="850">
        <f t="shared" ref="J361" si="224">F361-H361</f>
        <v>-287078.3</v>
      </c>
    </row>
    <row r="362" spans="1:12" ht="20.25" customHeight="1" x14ac:dyDescent="0.3">
      <c r="A362" s="853"/>
      <c r="B362" s="428" t="s">
        <v>1543</v>
      </c>
      <c r="C362" s="442" t="s">
        <v>40</v>
      </c>
      <c r="D362" s="568">
        <v>10</v>
      </c>
      <c r="E362" s="855"/>
      <c r="F362" s="857"/>
      <c r="G362" s="859"/>
      <c r="H362" s="844"/>
      <c r="I362" s="849"/>
      <c r="J362" s="851"/>
    </row>
    <row r="363" spans="1:12" ht="19.5" customHeight="1" x14ac:dyDescent="0.3">
      <c r="A363" s="443">
        <f>A361+1</f>
        <v>276</v>
      </c>
      <c r="B363" s="428" t="s">
        <v>1544</v>
      </c>
      <c r="C363" s="442" t="s">
        <v>40</v>
      </c>
      <c r="D363" s="568">
        <v>10</v>
      </c>
      <c r="E363" s="575">
        <f t="shared" ref="E363:E364" si="225">ROUND(F363/D363,2)</f>
        <v>24747.98</v>
      </c>
      <c r="F363" s="585">
        <v>247479.79</v>
      </c>
      <c r="G363" s="767">
        <v>20000</v>
      </c>
      <c r="H363" s="785">
        <f t="shared" ref="H363:H367" si="226">ROUND(G363*D363,2)</f>
        <v>200000</v>
      </c>
      <c r="I363" s="482">
        <f t="shared" ref="I363:I392" si="227">ROUND(E363-G363,2)</f>
        <v>4747.9799999999996</v>
      </c>
      <c r="J363" s="481">
        <f t="shared" ref="J363:J367" si="228">F363-H363</f>
        <v>47479.790000000008</v>
      </c>
      <c r="K363" s="478"/>
    </row>
    <row r="364" spans="1:12" ht="19.5" customHeight="1" x14ac:dyDescent="0.3">
      <c r="A364" s="443">
        <f t="shared" ref="A364:A367" si="229">A363+1</f>
        <v>277</v>
      </c>
      <c r="B364" s="428" t="s">
        <v>1545</v>
      </c>
      <c r="C364" s="442" t="s">
        <v>40</v>
      </c>
      <c r="D364" s="568">
        <v>20</v>
      </c>
      <c r="E364" s="575">
        <f t="shared" si="225"/>
        <v>1199.08</v>
      </c>
      <c r="F364" s="585">
        <v>23981.54</v>
      </c>
      <c r="G364" s="767">
        <v>1558.8</v>
      </c>
      <c r="H364" s="785">
        <f t="shared" si="226"/>
        <v>31176</v>
      </c>
      <c r="I364" s="482">
        <f t="shared" si="227"/>
        <v>-359.72</v>
      </c>
      <c r="J364" s="481">
        <f t="shared" si="228"/>
        <v>-7194.4599999999991</v>
      </c>
      <c r="K364" s="478"/>
    </row>
    <row r="365" spans="1:12" ht="21.75" customHeight="1" x14ac:dyDescent="0.3">
      <c r="A365" s="443">
        <f t="shared" si="229"/>
        <v>278</v>
      </c>
      <c r="B365" s="428" t="s">
        <v>1546</v>
      </c>
      <c r="C365" s="442" t="s">
        <v>40</v>
      </c>
      <c r="D365" s="568">
        <v>20</v>
      </c>
      <c r="E365" s="575">
        <f>ROUND(F365/D365,2)</f>
        <v>1128.03</v>
      </c>
      <c r="F365" s="585">
        <v>22560.65</v>
      </c>
      <c r="G365" s="767">
        <v>1466.44</v>
      </c>
      <c r="H365" s="785">
        <f t="shared" si="226"/>
        <v>29328.799999999999</v>
      </c>
      <c r="I365" s="482">
        <f t="shared" si="227"/>
        <v>-338.41</v>
      </c>
      <c r="J365" s="481">
        <f t="shared" si="228"/>
        <v>-6768.1499999999978</v>
      </c>
    </row>
    <row r="366" spans="1:12" ht="23.25" customHeight="1" x14ac:dyDescent="0.3">
      <c r="A366" s="443">
        <f t="shared" si="229"/>
        <v>279</v>
      </c>
      <c r="B366" s="428" t="s">
        <v>1547</v>
      </c>
      <c r="C366" s="442" t="s">
        <v>5</v>
      </c>
      <c r="D366" s="568">
        <v>200</v>
      </c>
      <c r="E366" s="575">
        <f t="shared" ref="E366:E367" si="230">ROUND(F366/D366,2)</f>
        <v>34.68</v>
      </c>
      <c r="F366" s="585">
        <v>6935.37</v>
      </c>
      <c r="G366" s="767">
        <v>80</v>
      </c>
      <c r="H366" s="785">
        <f t="shared" si="226"/>
        <v>16000</v>
      </c>
      <c r="I366" s="482">
        <f t="shared" si="227"/>
        <v>-45.32</v>
      </c>
      <c r="J366" s="481">
        <f t="shared" si="228"/>
        <v>-9064.630000000001</v>
      </c>
    </row>
    <row r="367" spans="1:12" ht="19.5" customHeight="1" x14ac:dyDescent="0.3">
      <c r="A367" s="443">
        <f t="shared" si="229"/>
        <v>280</v>
      </c>
      <c r="B367" s="428" t="s">
        <v>1548</v>
      </c>
      <c r="C367" s="442" t="s">
        <v>5</v>
      </c>
      <c r="D367" s="568">
        <v>200</v>
      </c>
      <c r="E367" s="575">
        <f t="shared" si="230"/>
        <v>53.24</v>
      </c>
      <c r="F367" s="585">
        <v>10648.51</v>
      </c>
      <c r="G367" s="767">
        <v>80</v>
      </c>
      <c r="H367" s="785">
        <f t="shared" si="226"/>
        <v>16000</v>
      </c>
      <c r="I367" s="482">
        <f t="shared" si="227"/>
        <v>-26.76</v>
      </c>
      <c r="J367" s="481">
        <f t="shared" si="228"/>
        <v>-5351.49</v>
      </c>
      <c r="K367" s="478"/>
    </row>
    <row r="368" spans="1:12" s="484" customFormat="1" ht="21.75" customHeight="1" x14ac:dyDescent="0.3">
      <c r="A368" s="555"/>
      <c r="B368" s="612" t="s">
        <v>1893</v>
      </c>
      <c r="C368" s="613"/>
      <c r="D368" s="614"/>
      <c r="E368" s="615"/>
      <c r="F368" s="616">
        <f>SUM(F263:F367)</f>
        <v>21283173.580000009</v>
      </c>
      <c r="G368" s="772"/>
      <c r="H368" s="773">
        <f>SUM(H263:H367)</f>
        <v>35427057.529999994</v>
      </c>
      <c r="I368" s="617"/>
      <c r="J368" s="616">
        <f>SUM(J263:J367)</f>
        <v>-14143883.950000003</v>
      </c>
      <c r="K368" s="550">
        <f>F368+'ТП М'!F272</f>
        <v>244817273.47410521</v>
      </c>
      <c r="L368" s="549"/>
    </row>
    <row r="369" spans="1:12" s="484" customFormat="1" ht="21.75" customHeight="1" x14ac:dyDescent="0.3">
      <c r="A369" s="486"/>
      <c r="B369" s="888" t="s">
        <v>1727</v>
      </c>
      <c r="C369" s="889"/>
      <c r="D369" s="889"/>
      <c r="E369" s="889"/>
      <c r="F369" s="889"/>
      <c r="G369" s="889"/>
      <c r="H369" s="889"/>
      <c r="I369" s="889"/>
      <c r="J369" s="890"/>
      <c r="K369" s="491"/>
    </row>
    <row r="370" spans="1:12" ht="22.5" customHeight="1" outlineLevel="1" x14ac:dyDescent="0.3">
      <c r="A370" s="443">
        <f>A367+1</f>
        <v>281</v>
      </c>
      <c r="B370" s="506" t="s">
        <v>1415</v>
      </c>
      <c r="C370" s="442" t="s">
        <v>5</v>
      </c>
      <c r="D370" s="565">
        <v>4442.26</v>
      </c>
      <c r="E370" s="575">
        <f>ROUND(F370/D370,2)</f>
        <v>0</v>
      </c>
      <c r="F370" s="585"/>
      <c r="G370" s="767">
        <v>57.53</v>
      </c>
      <c r="H370" s="785">
        <f t="shared" ref="H370:H371" si="231">ROUND(G370*D370,2)</f>
        <v>255563.22</v>
      </c>
      <c r="I370" s="482">
        <f t="shared" si="227"/>
        <v>-57.53</v>
      </c>
      <c r="J370" s="481">
        <f t="shared" ref="J370:J371" si="232">F370-H370</f>
        <v>-255563.22</v>
      </c>
    </row>
    <row r="371" spans="1:12" ht="21" customHeight="1" outlineLevel="1" x14ac:dyDescent="0.3">
      <c r="A371" s="443">
        <f>A370+1</f>
        <v>282</v>
      </c>
      <c r="B371" s="506" t="s">
        <v>1417</v>
      </c>
      <c r="C371" s="442" t="s">
        <v>1416</v>
      </c>
      <c r="D371" s="565">
        <v>20</v>
      </c>
      <c r="E371" s="575">
        <f>ROUND(F371/D371,2)</f>
        <v>0</v>
      </c>
      <c r="F371" s="585"/>
      <c r="G371" s="767">
        <v>2000</v>
      </c>
      <c r="H371" s="785">
        <f t="shared" si="231"/>
        <v>40000</v>
      </c>
      <c r="I371" s="482">
        <f t="shared" si="227"/>
        <v>-2000</v>
      </c>
      <c r="J371" s="481">
        <f t="shared" si="232"/>
        <v>-40000</v>
      </c>
    </row>
    <row r="372" spans="1:12" s="484" customFormat="1" ht="15" customHeight="1" outlineLevel="1" x14ac:dyDescent="0.3">
      <c r="A372" s="502"/>
      <c r="B372" s="503" t="s">
        <v>1418</v>
      </c>
      <c r="C372" s="504"/>
      <c r="D372" s="505"/>
      <c r="E372" s="566"/>
      <c r="F372" s="586"/>
      <c r="G372" s="786"/>
      <c r="H372" s="787"/>
      <c r="I372" s="567"/>
      <c r="J372" s="590"/>
      <c r="K372" s="491"/>
    </row>
    <row r="373" spans="1:12" ht="35.25" customHeight="1" outlineLevel="1" x14ac:dyDescent="0.3">
      <c r="A373" s="443">
        <f>A371+1</f>
        <v>283</v>
      </c>
      <c r="B373" s="428" t="s">
        <v>1553</v>
      </c>
      <c r="C373" s="442" t="s">
        <v>17</v>
      </c>
      <c r="D373" s="565">
        <v>6212.68</v>
      </c>
      <c r="E373" s="575">
        <f t="shared" ref="E373:E376" si="233">ROUND(F373/D373,2)</f>
        <v>9.19</v>
      </c>
      <c r="F373" s="585">
        <v>57078.43</v>
      </c>
      <c r="G373" s="767">
        <v>208</v>
      </c>
      <c r="H373" s="785">
        <f t="shared" ref="H373:H380" si="234">ROUND(G373*D373,2)</f>
        <v>1292237.44</v>
      </c>
      <c r="I373" s="482">
        <f t="shared" si="227"/>
        <v>-198.81</v>
      </c>
      <c r="J373" s="481">
        <f t="shared" ref="J373:J376" si="235">F373-H373</f>
        <v>-1235159.01</v>
      </c>
    </row>
    <row r="374" spans="1:12" ht="31.5" customHeight="1" outlineLevel="1" x14ac:dyDescent="0.3">
      <c r="A374" s="443">
        <f>A373+1</f>
        <v>284</v>
      </c>
      <c r="B374" s="428" t="s">
        <v>1729</v>
      </c>
      <c r="C374" s="442" t="s">
        <v>17</v>
      </c>
      <c r="D374" s="565">
        <f>D373</f>
        <v>6212.68</v>
      </c>
      <c r="E374" s="575">
        <f t="shared" si="233"/>
        <v>55.19</v>
      </c>
      <c r="F374" s="585">
        <v>342852.79</v>
      </c>
      <c r="G374" s="767">
        <v>260</v>
      </c>
      <c r="H374" s="785">
        <f t="shared" si="234"/>
        <v>1615296.8</v>
      </c>
      <c r="I374" s="482">
        <f t="shared" si="227"/>
        <v>-204.81</v>
      </c>
      <c r="J374" s="481">
        <f t="shared" si="235"/>
        <v>-1272444.01</v>
      </c>
    </row>
    <row r="375" spans="1:12" ht="35.25" customHeight="1" outlineLevel="1" x14ac:dyDescent="0.3">
      <c r="A375" s="443">
        <f t="shared" ref="A375:A380" si="236">A374+1</f>
        <v>285</v>
      </c>
      <c r="B375" s="428" t="s">
        <v>1730</v>
      </c>
      <c r="C375" s="442" t="s">
        <v>28</v>
      </c>
      <c r="D375" s="565">
        <v>143.56</v>
      </c>
      <c r="E375" s="575">
        <f t="shared" si="233"/>
        <v>47.13</v>
      </c>
      <c r="F375" s="585">
        <v>6765.95</v>
      </c>
      <c r="G375" s="767">
        <v>250</v>
      </c>
      <c r="H375" s="785">
        <f t="shared" si="234"/>
        <v>35890</v>
      </c>
      <c r="I375" s="482">
        <f t="shared" si="227"/>
        <v>-202.87</v>
      </c>
      <c r="J375" s="481">
        <f t="shared" si="235"/>
        <v>-29124.05</v>
      </c>
    </row>
    <row r="376" spans="1:12" ht="35.25" customHeight="1" outlineLevel="1" x14ac:dyDescent="0.3">
      <c r="A376" s="443">
        <f t="shared" si="236"/>
        <v>286</v>
      </c>
      <c r="B376" s="428" t="s">
        <v>1731</v>
      </c>
      <c r="C376" s="442" t="s">
        <v>28</v>
      </c>
      <c r="D376" s="565">
        <f>6139.12*1.95</f>
        <v>11971.284</v>
      </c>
      <c r="E376" s="575">
        <f t="shared" si="233"/>
        <v>187.58</v>
      </c>
      <c r="F376" s="585">
        <v>2245536.79</v>
      </c>
      <c r="G376" s="767">
        <v>250</v>
      </c>
      <c r="H376" s="785">
        <f t="shared" si="234"/>
        <v>2992821</v>
      </c>
      <c r="I376" s="482">
        <f t="shared" si="227"/>
        <v>-62.42</v>
      </c>
      <c r="J376" s="481">
        <f t="shared" si="235"/>
        <v>-747284.21</v>
      </c>
    </row>
    <row r="377" spans="1:12" ht="35.25" customHeight="1" outlineLevel="1" x14ac:dyDescent="0.3">
      <c r="A377" s="443">
        <f t="shared" si="236"/>
        <v>287</v>
      </c>
      <c r="B377" s="428" t="s">
        <v>1728</v>
      </c>
      <c r="C377" s="442" t="s">
        <v>17</v>
      </c>
      <c r="D377" s="565">
        <v>210.9</v>
      </c>
      <c r="E377" s="575">
        <f t="shared" ref="E377:E379" si="237">ROUND(F377/D377,2)</f>
        <v>946.8</v>
      </c>
      <c r="F377" s="585">
        <v>199679.42</v>
      </c>
      <c r="G377" s="767">
        <v>1474.88</v>
      </c>
      <c r="H377" s="785">
        <f t="shared" si="234"/>
        <v>311052.19</v>
      </c>
      <c r="I377" s="482">
        <f t="shared" si="227"/>
        <v>-528.08000000000004</v>
      </c>
      <c r="J377" s="481">
        <f t="shared" ref="J377:J379" si="238">F377-H377</f>
        <v>-111372.76999999999</v>
      </c>
    </row>
    <row r="378" spans="1:12" ht="31.5" customHeight="1" outlineLevel="1" x14ac:dyDescent="0.3">
      <c r="A378" s="443">
        <f t="shared" si="236"/>
        <v>288</v>
      </c>
      <c r="B378" s="428" t="s">
        <v>1736</v>
      </c>
      <c r="C378" s="442" t="s">
        <v>17</v>
      </c>
      <c r="D378" s="565">
        <f>D377</f>
        <v>210.9</v>
      </c>
      <c r="E378" s="575">
        <f t="shared" si="237"/>
        <v>55.19</v>
      </c>
      <c r="F378" s="585">
        <v>11638.72</v>
      </c>
      <c r="G378" s="767">
        <v>260</v>
      </c>
      <c r="H378" s="785">
        <f t="shared" si="234"/>
        <v>54834</v>
      </c>
      <c r="I378" s="482">
        <f t="shared" si="227"/>
        <v>-204.81</v>
      </c>
      <c r="J378" s="481">
        <f t="shared" si="238"/>
        <v>-43195.28</v>
      </c>
    </row>
    <row r="379" spans="1:12" ht="35.25" customHeight="1" outlineLevel="1" x14ac:dyDescent="0.3">
      <c r="A379" s="443">
        <f t="shared" si="236"/>
        <v>289</v>
      </c>
      <c r="B379" s="428" t="s">
        <v>1734</v>
      </c>
      <c r="C379" s="442" t="s">
        <v>28</v>
      </c>
      <c r="D379" s="565">
        <f>210.9*1.95</f>
        <v>411.255</v>
      </c>
      <c r="E379" s="575">
        <f t="shared" si="237"/>
        <v>187.58</v>
      </c>
      <c r="F379" s="585">
        <v>77142.92</v>
      </c>
      <c r="G379" s="767">
        <v>250</v>
      </c>
      <c r="H379" s="785">
        <f t="shared" si="234"/>
        <v>102813.75</v>
      </c>
      <c r="I379" s="482">
        <f t="shared" si="227"/>
        <v>-62.42</v>
      </c>
      <c r="J379" s="481">
        <f t="shared" si="238"/>
        <v>-25670.83</v>
      </c>
    </row>
    <row r="380" spans="1:12" ht="36" customHeight="1" outlineLevel="1" x14ac:dyDescent="0.3">
      <c r="A380" s="443">
        <f t="shared" si="236"/>
        <v>290</v>
      </c>
      <c r="B380" s="428" t="s">
        <v>1566</v>
      </c>
      <c r="C380" s="442" t="s">
        <v>17</v>
      </c>
      <c r="D380" s="565">
        <v>1031.0999999999999</v>
      </c>
      <c r="E380" s="575">
        <f>ROUND(F380/D380,2)</f>
        <v>26.74</v>
      </c>
      <c r="F380" s="585">
        <v>27573.03</v>
      </c>
      <c r="G380" s="767">
        <v>1179.9000000000001</v>
      </c>
      <c r="H380" s="785">
        <f t="shared" si="234"/>
        <v>1216594.8899999999</v>
      </c>
      <c r="I380" s="482">
        <f t="shared" si="227"/>
        <v>-1153.1600000000001</v>
      </c>
      <c r="J380" s="481">
        <f>F380-H380</f>
        <v>-1189021.8599999999</v>
      </c>
    </row>
    <row r="381" spans="1:12" s="484" customFormat="1" ht="15" customHeight="1" outlineLevel="1" x14ac:dyDescent="0.3">
      <c r="A381" s="502"/>
      <c r="B381" s="503" t="s">
        <v>1735</v>
      </c>
      <c r="C381" s="504"/>
      <c r="D381" s="505"/>
      <c r="E381" s="566"/>
      <c r="F381" s="586"/>
      <c r="G381" s="786"/>
      <c r="H381" s="787"/>
      <c r="I381" s="567"/>
      <c r="J381" s="590"/>
      <c r="K381" s="491"/>
    </row>
    <row r="382" spans="1:12" ht="35.25" customHeight="1" outlineLevel="1" x14ac:dyDescent="0.3">
      <c r="A382" s="443">
        <f>A380+1</f>
        <v>291</v>
      </c>
      <c r="B382" s="428" t="s">
        <v>1737</v>
      </c>
      <c r="C382" s="442" t="s">
        <v>17</v>
      </c>
      <c r="D382" s="565">
        <v>3091.87</v>
      </c>
      <c r="E382" s="575">
        <f t="shared" ref="E382:E392" si="239">ROUND(F382/D382,2)</f>
        <v>605.71</v>
      </c>
      <c r="F382" s="585">
        <v>1872764.47</v>
      </c>
      <c r="G382" s="767">
        <v>1179.9000000000001</v>
      </c>
      <c r="H382" s="785">
        <f t="shared" ref="H382:H391" si="240">ROUND(G382*D382,2)</f>
        <v>3648097.41</v>
      </c>
      <c r="I382" s="482">
        <f t="shared" si="227"/>
        <v>-574.19000000000005</v>
      </c>
      <c r="J382" s="481">
        <f t="shared" ref="J382:J392" si="241">F382-H382</f>
        <v>-1775332.9400000002</v>
      </c>
    </row>
    <row r="383" spans="1:12" ht="34.5" customHeight="1" outlineLevel="1" x14ac:dyDescent="0.3">
      <c r="A383" s="443">
        <f>A382+1</f>
        <v>292</v>
      </c>
      <c r="B383" s="428" t="s">
        <v>1738</v>
      </c>
      <c r="C383" s="442" t="s">
        <v>20</v>
      </c>
      <c r="D383" s="565">
        <v>14794</v>
      </c>
      <c r="E383" s="575">
        <f t="shared" si="239"/>
        <v>86.71</v>
      </c>
      <c r="F383" s="585">
        <v>1282714.98</v>
      </c>
      <c r="G383" s="767">
        <v>80</v>
      </c>
      <c r="H383" s="785">
        <f t="shared" si="240"/>
        <v>1183520</v>
      </c>
      <c r="I383" s="482">
        <f t="shared" si="227"/>
        <v>6.71</v>
      </c>
      <c r="J383" s="481">
        <f t="shared" si="241"/>
        <v>99194.979999999981</v>
      </c>
    </row>
    <row r="384" spans="1:12" ht="30" customHeight="1" outlineLevel="1" x14ac:dyDescent="0.3">
      <c r="A384" s="443">
        <f t="shared" ref="A384:A392" si="242">A383+1</f>
        <v>293</v>
      </c>
      <c r="B384" s="428" t="s">
        <v>1745</v>
      </c>
      <c r="C384" s="442" t="s">
        <v>17</v>
      </c>
      <c r="D384" s="572">
        <v>486.78</v>
      </c>
      <c r="E384" s="576">
        <f t="shared" ref="E384" si="243">ROUND(F384/D384,2)</f>
        <v>2459.25</v>
      </c>
      <c r="F384" s="587">
        <v>1197113.72</v>
      </c>
      <c r="G384" s="767">
        <v>2459.25</v>
      </c>
      <c r="H384" s="785">
        <f t="shared" si="240"/>
        <v>1197113.72</v>
      </c>
      <c r="I384" s="482">
        <f t="shared" si="227"/>
        <v>0</v>
      </c>
      <c r="J384" s="481">
        <f t="shared" ref="J384" si="244">F384-H384</f>
        <v>0</v>
      </c>
      <c r="K384" s="553"/>
      <c r="L384" s="539"/>
    </row>
    <row r="385" spans="1:12" ht="30" customHeight="1" outlineLevel="1" x14ac:dyDescent="0.3">
      <c r="A385" s="443">
        <f t="shared" si="242"/>
        <v>294</v>
      </c>
      <c r="B385" s="428" t="s">
        <v>1746</v>
      </c>
      <c r="C385" s="442" t="s">
        <v>17</v>
      </c>
      <c r="D385" s="572">
        <v>153.72</v>
      </c>
      <c r="E385" s="576">
        <f t="shared" ref="E385" si="245">ROUND(F385/D385,2)</f>
        <v>2459.25</v>
      </c>
      <c r="F385" s="587">
        <v>378035.91</v>
      </c>
      <c r="G385" s="767">
        <v>2459.25</v>
      </c>
      <c r="H385" s="785">
        <f t="shared" si="240"/>
        <v>378035.91</v>
      </c>
      <c r="I385" s="482">
        <f t="shared" si="227"/>
        <v>0</v>
      </c>
      <c r="J385" s="481">
        <f t="shared" ref="J385" si="246">F385-H385</f>
        <v>0</v>
      </c>
      <c r="K385" s="553"/>
      <c r="L385" s="539"/>
    </row>
    <row r="386" spans="1:12" ht="30" customHeight="1" outlineLevel="1" x14ac:dyDescent="0.3">
      <c r="A386" s="443">
        <f t="shared" si="242"/>
        <v>295</v>
      </c>
      <c r="B386" s="428" t="s">
        <v>1741</v>
      </c>
      <c r="C386" s="442" t="s">
        <v>17</v>
      </c>
      <c r="D386" s="572">
        <v>2797.33</v>
      </c>
      <c r="E386" s="576">
        <f t="shared" si="239"/>
        <v>2459.25</v>
      </c>
      <c r="F386" s="587">
        <v>6879333.7999999998</v>
      </c>
      <c r="G386" s="767">
        <v>2459.25</v>
      </c>
      <c r="H386" s="785">
        <f t="shared" si="240"/>
        <v>6879333.7999999998</v>
      </c>
      <c r="I386" s="482">
        <f t="shared" si="227"/>
        <v>0</v>
      </c>
      <c r="J386" s="481">
        <f t="shared" si="241"/>
        <v>0</v>
      </c>
      <c r="K386" s="553"/>
      <c r="L386" s="539"/>
    </row>
    <row r="387" spans="1:12" ht="30" customHeight="1" outlineLevel="1" x14ac:dyDescent="0.3">
      <c r="A387" s="443">
        <f t="shared" si="242"/>
        <v>296</v>
      </c>
      <c r="B387" s="428" t="s">
        <v>1740</v>
      </c>
      <c r="C387" s="442" t="s">
        <v>17</v>
      </c>
      <c r="D387" s="572">
        <v>303.23</v>
      </c>
      <c r="E387" s="576">
        <f t="shared" si="239"/>
        <v>2459.25</v>
      </c>
      <c r="F387" s="587">
        <v>745718.38</v>
      </c>
      <c r="G387" s="767">
        <v>2459.25</v>
      </c>
      <c r="H387" s="785">
        <f t="shared" si="240"/>
        <v>745718.38</v>
      </c>
      <c r="I387" s="482">
        <f t="shared" si="227"/>
        <v>0</v>
      </c>
      <c r="J387" s="481">
        <f t="shared" si="241"/>
        <v>0</v>
      </c>
    </row>
    <row r="388" spans="1:12" ht="30" customHeight="1" outlineLevel="1" x14ac:dyDescent="0.3">
      <c r="A388" s="443">
        <f t="shared" si="242"/>
        <v>297</v>
      </c>
      <c r="B388" s="428" t="s">
        <v>1739</v>
      </c>
      <c r="C388" s="442" t="s">
        <v>17</v>
      </c>
      <c r="D388" s="572">
        <v>146.16</v>
      </c>
      <c r="E388" s="576">
        <f t="shared" si="239"/>
        <v>2459.25</v>
      </c>
      <c r="F388" s="587">
        <v>359443.98100000003</v>
      </c>
      <c r="G388" s="767">
        <v>2459.25</v>
      </c>
      <c r="H388" s="785">
        <f t="shared" si="240"/>
        <v>359443.98</v>
      </c>
      <c r="I388" s="482">
        <f t="shared" si="227"/>
        <v>0</v>
      </c>
      <c r="J388" s="481">
        <f t="shared" si="241"/>
        <v>1.0000000474974513E-3</v>
      </c>
    </row>
    <row r="389" spans="1:12" ht="30" customHeight="1" outlineLevel="1" x14ac:dyDescent="0.3">
      <c r="A389" s="443">
        <f t="shared" si="242"/>
        <v>298</v>
      </c>
      <c r="B389" s="428" t="s">
        <v>1744</v>
      </c>
      <c r="C389" s="442" t="s">
        <v>17</v>
      </c>
      <c r="D389" s="572">
        <v>344.63</v>
      </c>
      <c r="E389" s="576">
        <f t="shared" ref="E389" si="247">ROUND(F389/D389,2)</f>
        <v>2459.25</v>
      </c>
      <c r="F389" s="587">
        <v>847531.33</v>
      </c>
      <c r="G389" s="767">
        <v>2459.25</v>
      </c>
      <c r="H389" s="785">
        <f t="shared" si="240"/>
        <v>847531.33</v>
      </c>
      <c r="I389" s="482">
        <f t="shared" si="227"/>
        <v>0</v>
      </c>
      <c r="J389" s="481">
        <f t="shared" ref="J389" si="248">F389-H389</f>
        <v>0</v>
      </c>
    </row>
    <row r="390" spans="1:12" ht="30" customHeight="1" outlineLevel="1" x14ac:dyDescent="0.3">
      <c r="A390" s="443">
        <f t="shared" si="242"/>
        <v>299</v>
      </c>
      <c r="B390" s="428" t="s">
        <v>1742</v>
      </c>
      <c r="C390" s="442" t="s">
        <v>17</v>
      </c>
      <c r="D390" s="572">
        <v>211.29</v>
      </c>
      <c r="E390" s="576">
        <f t="shared" si="239"/>
        <v>2459.25</v>
      </c>
      <c r="F390" s="587">
        <v>519614.93</v>
      </c>
      <c r="G390" s="767">
        <v>2459.25</v>
      </c>
      <c r="H390" s="785">
        <f t="shared" si="240"/>
        <v>519614.93</v>
      </c>
      <c r="I390" s="482">
        <f t="shared" si="227"/>
        <v>0</v>
      </c>
      <c r="J390" s="481">
        <f t="shared" si="241"/>
        <v>0</v>
      </c>
    </row>
    <row r="391" spans="1:12" ht="30" customHeight="1" outlineLevel="1" x14ac:dyDescent="0.3">
      <c r="A391" s="443">
        <f t="shared" si="242"/>
        <v>300</v>
      </c>
      <c r="B391" s="428" t="s">
        <v>1747</v>
      </c>
      <c r="C391" s="442" t="s">
        <v>17</v>
      </c>
      <c r="D391" s="572">
        <v>21.95</v>
      </c>
      <c r="E391" s="576">
        <f t="shared" ref="E391" si="249">ROUND(F391/D391,2)</f>
        <v>2459.25</v>
      </c>
      <c r="F391" s="587">
        <v>53980.54</v>
      </c>
      <c r="G391" s="767">
        <v>2459.25</v>
      </c>
      <c r="H391" s="785">
        <f t="shared" si="240"/>
        <v>53980.54</v>
      </c>
      <c r="I391" s="482">
        <f t="shared" si="227"/>
        <v>0</v>
      </c>
      <c r="J391" s="481">
        <f t="shared" ref="J391" si="250">F391-H391</f>
        <v>0</v>
      </c>
    </row>
    <row r="392" spans="1:12" ht="30" customHeight="1" outlineLevel="1" x14ac:dyDescent="0.3">
      <c r="A392" s="443">
        <f t="shared" si="242"/>
        <v>301</v>
      </c>
      <c r="B392" s="428" t="s">
        <v>1743</v>
      </c>
      <c r="C392" s="442" t="s">
        <v>17</v>
      </c>
      <c r="D392" s="572">
        <v>48.77</v>
      </c>
      <c r="E392" s="577">
        <f t="shared" si="239"/>
        <v>2459.25</v>
      </c>
      <c r="F392" s="587">
        <v>119937.62</v>
      </c>
      <c r="G392" s="767">
        <v>2459.25</v>
      </c>
      <c r="H392" s="785">
        <f>ROUND(G392*D392,2)</f>
        <v>119937.62</v>
      </c>
      <c r="I392" s="482">
        <f t="shared" si="227"/>
        <v>0</v>
      </c>
      <c r="J392" s="481">
        <f t="shared" si="241"/>
        <v>0</v>
      </c>
    </row>
    <row r="393" spans="1:12" s="484" customFormat="1" ht="15" customHeight="1" outlineLevel="1" x14ac:dyDescent="0.3">
      <c r="A393" s="502"/>
      <c r="B393" s="503" t="s">
        <v>1450</v>
      </c>
      <c r="C393" s="504"/>
      <c r="D393" s="505"/>
      <c r="E393" s="566"/>
      <c r="F393" s="586"/>
      <c r="G393" s="786"/>
      <c r="H393" s="787"/>
      <c r="I393" s="567"/>
      <c r="J393" s="590"/>
      <c r="K393" s="491"/>
    </row>
    <row r="394" spans="1:12" ht="30.75" customHeight="1" outlineLevel="1" x14ac:dyDescent="0.3">
      <c r="A394" s="852">
        <f>A392+1</f>
        <v>302</v>
      </c>
      <c r="B394" s="428" t="s">
        <v>1748</v>
      </c>
      <c r="C394" s="442" t="s">
        <v>5</v>
      </c>
      <c r="D394" s="565">
        <v>3162.64</v>
      </c>
      <c r="E394" s="854">
        <f t="shared" ref="E394" si="251">ROUND(F394/D394,2)</f>
        <v>1909.52</v>
      </c>
      <c r="F394" s="856">
        <v>6039124</v>
      </c>
      <c r="G394" s="860">
        <v>1909.52</v>
      </c>
      <c r="H394" s="843">
        <v>6039124</v>
      </c>
      <c r="I394" s="848">
        <f>ROUND(E394-G394-G395,2)</f>
        <v>0</v>
      </c>
      <c r="J394" s="850">
        <f>F394-H394-H395</f>
        <v>0</v>
      </c>
    </row>
    <row r="395" spans="1:12" ht="30" customHeight="1" outlineLevel="1" x14ac:dyDescent="0.3">
      <c r="A395" s="853"/>
      <c r="B395" s="428" t="s">
        <v>1585</v>
      </c>
      <c r="C395" s="442" t="s">
        <v>40</v>
      </c>
      <c r="D395" s="568">
        <v>367</v>
      </c>
      <c r="E395" s="855"/>
      <c r="F395" s="857"/>
      <c r="G395" s="861"/>
      <c r="H395" s="844"/>
      <c r="I395" s="849"/>
      <c r="J395" s="851"/>
    </row>
    <row r="396" spans="1:12" ht="30.75" customHeight="1" outlineLevel="1" x14ac:dyDescent="0.3">
      <c r="A396" s="443">
        <f>A394+1</f>
        <v>303</v>
      </c>
      <c r="B396" s="428" t="s">
        <v>1749</v>
      </c>
      <c r="C396" s="442" t="s">
        <v>5</v>
      </c>
      <c r="D396" s="565">
        <v>258.12</v>
      </c>
      <c r="E396" s="575">
        <f t="shared" ref="E396:E397" si="252">ROUND(F396/D396,2)</f>
        <v>2591.8000000000002</v>
      </c>
      <c r="F396" s="588">
        <v>668995.42000000004</v>
      </c>
      <c r="G396" s="788">
        <v>2591.8000000000002</v>
      </c>
      <c r="H396" s="785">
        <f t="shared" ref="H396" si="253">ROUND(G396*D396,2)</f>
        <v>668995.42000000004</v>
      </c>
      <c r="I396" s="482">
        <f t="shared" ref="I396" si="254">ROUND(E396-G396,2)</f>
        <v>0</v>
      </c>
      <c r="J396" s="481">
        <f t="shared" ref="J396" si="255">F396-H396</f>
        <v>0</v>
      </c>
    </row>
    <row r="397" spans="1:12" ht="33.75" customHeight="1" outlineLevel="1" x14ac:dyDescent="0.3">
      <c r="A397" s="852">
        <f>A396+1</f>
        <v>304</v>
      </c>
      <c r="B397" s="428" t="s">
        <v>1751</v>
      </c>
      <c r="C397" s="442" t="s">
        <v>5</v>
      </c>
      <c r="D397" s="565">
        <v>133.83000000000001</v>
      </c>
      <c r="E397" s="854">
        <f t="shared" si="252"/>
        <v>1909.52</v>
      </c>
      <c r="F397" s="856">
        <v>255551</v>
      </c>
      <c r="G397" s="858">
        <v>1909.52</v>
      </c>
      <c r="H397" s="843">
        <v>255551</v>
      </c>
      <c r="I397" s="848">
        <f>ROUND(E397-G397-G398,2)</f>
        <v>0</v>
      </c>
      <c r="J397" s="850">
        <f>F397-H397-H398</f>
        <v>0</v>
      </c>
    </row>
    <row r="398" spans="1:12" ht="30" customHeight="1" outlineLevel="1" x14ac:dyDescent="0.3">
      <c r="A398" s="853"/>
      <c r="B398" s="428" t="s">
        <v>1585</v>
      </c>
      <c r="C398" s="442" t="s">
        <v>40</v>
      </c>
      <c r="D398" s="568">
        <v>27</v>
      </c>
      <c r="E398" s="855"/>
      <c r="F398" s="857"/>
      <c r="G398" s="859"/>
      <c r="H398" s="844"/>
      <c r="I398" s="849"/>
      <c r="J398" s="851"/>
    </row>
    <row r="399" spans="1:12" ht="34.5" customHeight="1" outlineLevel="1" x14ac:dyDescent="0.3">
      <c r="A399" s="852">
        <f>A397+1</f>
        <v>305</v>
      </c>
      <c r="B399" s="428" t="s">
        <v>1750</v>
      </c>
      <c r="C399" s="442" t="s">
        <v>5</v>
      </c>
      <c r="D399" s="565">
        <v>173.68</v>
      </c>
      <c r="E399" s="854">
        <f>F399/D399</f>
        <v>2591.8010133578996</v>
      </c>
      <c r="F399" s="856">
        <v>450144</v>
      </c>
      <c r="G399" s="860">
        <v>2591.8000000000002</v>
      </c>
      <c r="H399" s="843">
        <v>450144</v>
      </c>
      <c r="I399" s="848">
        <f>ROUND(E399-G399-G400,2)</f>
        <v>0</v>
      </c>
      <c r="J399" s="850">
        <f>F399-H399-H400</f>
        <v>0</v>
      </c>
    </row>
    <row r="400" spans="1:12" ht="30" customHeight="1" outlineLevel="1" x14ac:dyDescent="0.3">
      <c r="A400" s="853"/>
      <c r="B400" s="428" t="s">
        <v>1585</v>
      </c>
      <c r="C400" s="442" t="s">
        <v>40</v>
      </c>
      <c r="D400" s="568">
        <v>16</v>
      </c>
      <c r="E400" s="855"/>
      <c r="F400" s="857"/>
      <c r="G400" s="862"/>
      <c r="H400" s="844"/>
      <c r="I400" s="849"/>
      <c r="J400" s="851"/>
    </row>
    <row r="401" spans="1:11" ht="33.75" customHeight="1" outlineLevel="1" x14ac:dyDescent="0.3">
      <c r="A401" s="852">
        <f>A399+1</f>
        <v>306</v>
      </c>
      <c r="B401" s="428" t="s">
        <v>1661</v>
      </c>
      <c r="C401" s="442" t="s">
        <v>5</v>
      </c>
      <c r="D401" s="565">
        <v>617.34</v>
      </c>
      <c r="E401" s="854">
        <f t="shared" ref="E401" si="256">ROUND(F401/D401,2)</f>
        <v>1909.52</v>
      </c>
      <c r="F401" s="856">
        <v>1178820</v>
      </c>
      <c r="G401" s="860">
        <v>1909.52</v>
      </c>
      <c r="H401" s="843">
        <v>1178820</v>
      </c>
      <c r="I401" s="848">
        <f>ROUND(E401-G401-G402,2)</f>
        <v>0</v>
      </c>
      <c r="J401" s="850">
        <f>F401-H401-H402</f>
        <v>0</v>
      </c>
    </row>
    <row r="402" spans="1:11" ht="24" customHeight="1" outlineLevel="1" x14ac:dyDescent="0.3">
      <c r="A402" s="853"/>
      <c r="B402" s="428" t="s">
        <v>1654</v>
      </c>
      <c r="C402" s="442" t="s">
        <v>40</v>
      </c>
      <c r="D402" s="568">
        <v>2074</v>
      </c>
      <c r="E402" s="855"/>
      <c r="F402" s="857"/>
      <c r="G402" s="862"/>
      <c r="H402" s="844"/>
      <c r="I402" s="849"/>
      <c r="J402" s="851"/>
    </row>
    <row r="403" spans="1:11" ht="33.75" customHeight="1" outlineLevel="1" x14ac:dyDescent="0.3">
      <c r="A403" s="852">
        <f>A401+1</f>
        <v>307</v>
      </c>
      <c r="B403" s="428" t="s">
        <v>1779</v>
      </c>
      <c r="C403" s="442" t="s">
        <v>5</v>
      </c>
      <c r="D403" s="565">
        <v>630.34</v>
      </c>
      <c r="E403" s="854">
        <f t="shared" ref="E403" si="257">ROUND(F403/D403,2)</f>
        <v>839.76</v>
      </c>
      <c r="F403" s="856">
        <f>1714152.16-955270.67-2017.68-19076.39-169786.16-38669.76</f>
        <v>529331.49999999977</v>
      </c>
      <c r="G403" s="860">
        <v>1336.66</v>
      </c>
      <c r="H403" s="843">
        <f t="shared" ref="H403" si="258">G403*D403</f>
        <v>842550.2644000001</v>
      </c>
      <c r="I403" s="848">
        <f>ROUND(E403-G403-G404,2)</f>
        <v>-496.9</v>
      </c>
      <c r="J403" s="850">
        <f>F403-H403-H404</f>
        <v>-313218.76440000033</v>
      </c>
    </row>
    <row r="404" spans="1:11" ht="24" customHeight="1" outlineLevel="1" x14ac:dyDescent="0.3">
      <c r="A404" s="853"/>
      <c r="B404" s="428" t="s">
        <v>1654</v>
      </c>
      <c r="C404" s="442" t="s">
        <v>40</v>
      </c>
      <c r="D404" s="568">
        <v>1037</v>
      </c>
      <c r="E404" s="855"/>
      <c r="F404" s="857"/>
      <c r="G404" s="862"/>
      <c r="H404" s="844"/>
      <c r="I404" s="849"/>
      <c r="J404" s="851"/>
    </row>
    <row r="405" spans="1:11" ht="34.5" customHeight="1" outlineLevel="1" x14ac:dyDescent="0.3">
      <c r="A405" s="443">
        <f>A403+1</f>
        <v>308</v>
      </c>
      <c r="B405" s="428" t="s">
        <v>1660</v>
      </c>
      <c r="C405" s="442" t="s">
        <v>1385</v>
      </c>
      <c r="D405" s="568">
        <v>1</v>
      </c>
      <c r="E405" s="575">
        <f t="shared" ref="E405:E409" si="259">ROUND(F405/D405,2)</f>
        <v>154091.81</v>
      </c>
      <c r="F405" s="585">
        <f>206933.53-52841.72</f>
        <v>154091.81</v>
      </c>
      <c r="G405" s="770">
        <v>205200</v>
      </c>
      <c r="H405" s="785">
        <f t="shared" ref="H405:H409" si="260">ROUND(G405*D405,2)</f>
        <v>205200</v>
      </c>
      <c r="I405" s="480">
        <f t="shared" ref="I405" si="261">E405-G405</f>
        <v>-51108.19</v>
      </c>
      <c r="J405" s="579">
        <f t="shared" ref="J405:J409" si="262">F405-H405</f>
        <v>-51108.19</v>
      </c>
    </row>
    <row r="406" spans="1:11" ht="21.75" customHeight="1" outlineLevel="1" x14ac:dyDescent="0.3">
      <c r="A406" s="443">
        <f t="shared" ref="A406:A409" si="263">A405+1</f>
        <v>309</v>
      </c>
      <c r="B406" s="428" t="s">
        <v>1436</v>
      </c>
      <c r="C406" s="442" t="s">
        <v>40</v>
      </c>
      <c r="D406" s="568">
        <v>1</v>
      </c>
      <c r="E406" s="575">
        <f t="shared" si="259"/>
        <v>11294.3</v>
      </c>
      <c r="F406" s="585">
        <v>11294.3</v>
      </c>
      <c r="G406" s="767">
        <v>11294.3</v>
      </c>
      <c r="H406" s="785">
        <f t="shared" si="260"/>
        <v>11294.3</v>
      </c>
      <c r="I406" s="482">
        <f t="shared" ref="I406:I409" si="264">ROUND(E406-G406,2)</f>
        <v>0</v>
      </c>
      <c r="J406" s="481">
        <f t="shared" si="262"/>
        <v>0</v>
      </c>
    </row>
    <row r="407" spans="1:11" ht="37.5" customHeight="1" outlineLevel="1" x14ac:dyDescent="0.3">
      <c r="A407" s="443">
        <f t="shared" si="263"/>
        <v>310</v>
      </c>
      <c r="B407" s="428" t="s">
        <v>1658</v>
      </c>
      <c r="C407" s="442" t="s">
        <v>1385</v>
      </c>
      <c r="D407" s="568">
        <v>1</v>
      </c>
      <c r="E407" s="575">
        <f t="shared" si="259"/>
        <v>310343.71999999997</v>
      </c>
      <c r="F407" s="585">
        <f>410994.62-100650.9</f>
        <v>310343.71999999997</v>
      </c>
      <c r="G407" s="770">
        <v>310343.71999999997</v>
      </c>
      <c r="H407" s="785">
        <f t="shared" si="260"/>
        <v>310343.71999999997</v>
      </c>
      <c r="I407" s="482">
        <f t="shared" si="264"/>
        <v>0</v>
      </c>
      <c r="J407" s="481">
        <f t="shared" si="262"/>
        <v>0</v>
      </c>
    </row>
    <row r="408" spans="1:11" ht="34.5" customHeight="1" outlineLevel="1" x14ac:dyDescent="0.3">
      <c r="A408" s="443">
        <f t="shared" si="263"/>
        <v>311</v>
      </c>
      <c r="B408" s="428" t="s">
        <v>1621</v>
      </c>
      <c r="C408" s="442" t="s">
        <v>40</v>
      </c>
      <c r="D408" s="568">
        <v>40</v>
      </c>
      <c r="E408" s="575">
        <f t="shared" si="259"/>
        <v>1909.52</v>
      </c>
      <c r="F408" s="585">
        <f>88008.22-11031.13-853.62+257.33</f>
        <v>76380.800000000003</v>
      </c>
      <c r="G408" s="767">
        <v>1909.52</v>
      </c>
      <c r="H408" s="785">
        <f t="shared" si="260"/>
        <v>76380.800000000003</v>
      </c>
      <c r="I408" s="482">
        <f t="shared" si="264"/>
        <v>0</v>
      </c>
      <c r="J408" s="481">
        <f t="shared" si="262"/>
        <v>0</v>
      </c>
    </row>
    <row r="409" spans="1:11" ht="23.25" customHeight="1" outlineLevel="1" x14ac:dyDescent="0.3">
      <c r="A409" s="443">
        <f t="shared" si="263"/>
        <v>312</v>
      </c>
      <c r="B409" s="428" t="s">
        <v>1445</v>
      </c>
      <c r="C409" s="442" t="s">
        <v>40</v>
      </c>
      <c r="D409" s="568">
        <v>40</v>
      </c>
      <c r="E409" s="575">
        <f t="shared" si="259"/>
        <v>1019.22</v>
      </c>
      <c r="F409" s="585">
        <v>40768.800000000003</v>
      </c>
      <c r="G409" s="767">
        <v>1019.22</v>
      </c>
      <c r="H409" s="785">
        <f t="shared" si="260"/>
        <v>40768.800000000003</v>
      </c>
      <c r="I409" s="482">
        <f t="shared" si="264"/>
        <v>0</v>
      </c>
      <c r="J409" s="481">
        <f t="shared" si="262"/>
        <v>0</v>
      </c>
    </row>
    <row r="410" spans="1:11" s="484" customFormat="1" ht="15" customHeight="1" outlineLevel="1" x14ac:dyDescent="0.3">
      <c r="A410" s="502"/>
      <c r="B410" s="503" t="s">
        <v>1781</v>
      </c>
      <c r="C410" s="504"/>
      <c r="D410" s="505"/>
      <c r="E410" s="566"/>
      <c r="F410" s="586"/>
      <c r="G410" s="786"/>
      <c r="H410" s="787"/>
      <c r="I410" s="567"/>
      <c r="J410" s="590"/>
      <c r="K410" s="491"/>
    </row>
    <row r="411" spans="1:11" ht="21.75" customHeight="1" outlineLevel="1" x14ac:dyDescent="0.3">
      <c r="A411" s="443">
        <f>A409+1</f>
        <v>313</v>
      </c>
      <c r="B411" s="428" t="s">
        <v>1468</v>
      </c>
      <c r="C411" s="442" t="s">
        <v>1446</v>
      </c>
      <c r="D411" s="568">
        <v>367</v>
      </c>
      <c r="E411" s="575">
        <f>ROUND(F411/D411,2)</f>
        <v>3561.88</v>
      </c>
      <c r="F411" s="585">
        <f>1307209.9</f>
        <v>1307209.8999999999</v>
      </c>
      <c r="G411" s="767">
        <v>15000</v>
      </c>
      <c r="H411" s="785">
        <f t="shared" ref="H411:H416" si="265">ROUND(G411*D411,2)</f>
        <v>5505000</v>
      </c>
      <c r="I411" s="482">
        <f t="shared" ref="I411:I416" si="266">ROUND(E411-G411,2)</f>
        <v>-11438.12</v>
      </c>
      <c r="J411" s="481">
        <f t="shared" ref="J411:J416" si="267">F411-H411</f>
        <v>-4197790.0999999996</v>
      </c>
    </row>
    <row r="412" spans="1:11" ht="23.25" customHeight="1" outlineLevel="1" x14ac:dyDescent="0.3">
      <c r="A412" s="443">
        <f t="shared" ref="A412:A416" si="268">A411+1</f>
        <v>314</v>
      </c>
      <c r="B412" s="428" t="s">
        <v>1469</v>
      </c>
      <c r="C412" s="442" t="s">
        <v>1446</v>
      </c>
      <c r="D412" s="568">
        <v>27</v>
      </c>
      <c r="E412" s="575">
        <f>ROUND(F412/D412,2)</f>
        <v>3561.88</v>
      </c>
      <c r="F412" s="585">
        <v>96170.76</v>
      </c>
      <c r="G412" s="767">
        <v>15000</v>
      </c>
      <c r="H412" s="785">
        <f t="shared" si="265"/>
        <v>405000</v>
      </c>
      <c r="I412" s="482">
        <f t="shared" si="266"/>
        <v>-11438.12</v>
      </c>
      <c r="J412" s="481">
        <f t="shared" si="267"/>
        <v>-308829.24</v>
      </c>
    </row>
    <row r="413" spans="1:11" ht="23.25" customHeight="1" outlineLevel="1" x14ac:dyDescent="0.3">
      <c r="A413" s="443">
        <f t="shared" si="268"/>
        <v>315</v>
      </c>
      <c r="B413" s="428" t="s">
        <v>1470</v>
      </c>
      <c r="C413" s="442" t="s">
        <v>1446</v>
      </c>
      <c r="D413" s="568">
        <v>16</v>
      </c>
      <c r="E413" s="575">
        <f t="shared" ref="E413:E416" si="269">ROUND(F413/D413,2)</f>
        <v>3561.88</v>
      </c>
      <c r="F413" s="585">
        <v>56990.07</v>
      </c>
      <c r="G413" s="767">
        <v>15000</v>
      </c>
      <c r="H413" s="785">
        <f t="shared" si="265"/>
        <v>240000</v>
      </c>
      <c r="I413" s="482">
        <f t="shared" si="266"/>
        <v>-11438.12</v>
      </c>
      <c r="J413" s="481">
        <f t="shared" si="267"/>
        <v>-183009.93</v>
      </c>
    </row>
    <row r="414" spans="1:11" ht="33.75" customHeight="1" outlineLevel="1" x14ac:dyDescent="0.3">
      <c r="A414" s="443">
        <f t="shared" si="268"/>
        <v>316</v>
      </c>
      <c r="B414" s="428" t="s">
        <v>1622</v>
      </c>
      <c r="C414" s="442" t="s">
        <v>1446</v>
      </c>
      <c r="D414" s="568">
        <v>40</v>
      </c>
      <c r="E414" s="575">
        <f t="shared" si="269"/>
        <v>3561.88</v>
      </c>
      <c r="F414" s="585">
        <v>142475.21</v>
      </c>
      <c r="G414" s="767">
        <v>15000</v>
      </c>
      <c r="H414" s="785">
        <f t="shared" si="265"/>
        <v>600000</v>
      </c>
      <c r="I414" s="482">
        <f t="shared" si="266"/>
        <v>-11438.12</v>
      </c>
      <c r="J414" s="481">
        <f t="shared" si="267"/>
        <v>-457524.79000000004</v>
      </c>
    </row>
    <row r="415" spans="1:11" ht="22.5" customHeight="1" outlineLevel="1" x14ac:dyDescent="0.3">
      <c r="A415" s="443">
        <f t="shared" si="268"/>
        <v>317</v>
      </c>
      <c r="B415" s="428" t="s">
        <v>1623</v>
      </c>
      <c r="C415" s="442" t="s">
        <v>1446</v>
      </c>
      <c r="D415" s="568">
        <v>40</v>
      </c>
      <c r="E415" s="575">
        <f t="shared" si="269"/>
        <v>3575.02</v>
      </c>
      <c r="F415" s="585">
        <v>143000.71</v>
      </c>
      <c r="G415" s="767">
        <v>15000</v>
      </c>
      <c r="H415" s="785">
        <f t="shared" si="265"/>
        <v>600000</v>
      </c>
      <c r="I415" s="482">
        <f t="shared" si="266"/>
        <v>-11424.98</v>
      </c>
      <c r="J415" s="481">
        <f t="shared" si="267"/>
        <v>-456999.29000000004</v>
      </c>
    </row>
    <row r="416" spans="1:11" ht="21.75" customHeight="1" outlineLevel="1" x14ac:dyDescent="0.3">
      <c r="A416" s="443">
        <f t="shared" si="268"/>
        <v>318</v>
      </c>
      <c r="B416" s="428" t="s">
        <v>1685</v>
      </c>
      <c r="C416" s="442" t="s">
        <v>1446</v>
      </c>
      <c r="D416" s="568">
        <v>450</v>
      </c>
      <c r="E416" s="575">
        <f t="shared" si="269"/>
        <v>5140.8999999999996</v>
      </c>
      <c r="F416" s="585">
        <v>2313406.6</v>
      </c>
      <c r="G416" s="767">
        <v>5000</v>
      </c>
      <c r="H416" s="785">
        <f t="shared" si="265"/>
        <v>2250000</v>
      </c>
      <c r="I416" s="482">
        <f t="shared" si="266"/>
        <v>140.9</v>
      </c>
      <c r="J416" s="481">
        <f t="shared" si="267"/>
        <v>63406.600000000093</v>
      </c>
    </row>
    <row r="417" spans="1:14" s="484" customFormat="1" ht="15" customHeight="1" outlineLevel="1" x14ac:dyDescent="0.3">
      <c r="A417" s="535"/>
      <c r="B417" s="503" t="s">
        <v>1782</v>
      </c>
      <c r="C417" s="504"/>
      <c r="D417" s="505"/>
      <c r="E417" s="566"/>
      <c r="F417" s="586"/>
      <c r="G417" s="786"/>
      <c r="H417" s="787"/>
      <c r="I417" s="567"/>
      <c r="J417" s="590"/>
      <c r="K417" s="491"/>
    </row>
    <row r="418" spans="1:14" ht="35.25" customHeight="1" outlineLevel="1" x14ac:dyDescent="0.3">
      <c r="A418" s="443">
        <f>A416+1</f>
        <v>319</v>
      </c>
      <c r="B418" s="428" t="s">
        <v>1783</v>
      </c>
      <c r="C418" s="442" t="s">
        <v>40</v>
      </c>
      <c r="D418" s="568">
        <v>20</v>
      </c>
      <c r="E418" s="575">
        <f t="shared" ref="E418" si="270">ROUND(F418/D418,2)</f>
        <v>13905.07</v>
      </c>
      <c r="F418" s="585">
        <f>1184705.19-251627.25-654976.48</f>
        <v>278101.45999999996</v>
      </c>
      <c r="G418" s="767">
        <v>4278.4799999999996</v>
      </c>
      <c r="H418" s="785">
        <f t="shared" ref="H418:H419" si="271">ROUND(G418*D418,2)</f>
        <v>85569.600000000006</v>
      </c>
      <c r="I418" s="482">
        <f t="shared" ref="I418:I419" si="272">ROUND(E418-G418,2)</f>
        <v>9626.59</v>
      </c>
      <c r="J418" s="481">
        <f t="shared" ref="J418:J419" si="273">F418-H418</f>
        <v>192531.85999999996</v>
      </c>
    </row>
    <row r="419" spans="1:14" ht="21" customHeight="1" outlineLevel="1" x14ac:dyDescent="0.3">
      <c r="A419" s="443">
        <f>A418+1</f>
        <v>320</v>
      </c>
      <c r="B419" s="428" t="s">
        <v>1521</v>
      </c>
      <c r="C419" s="442" t="s">
        <v>40</v>
      </c>
      <c r="D419" s="568">
        <v>37</v>
      </c>
      <c r="E419" s="575">
        <f>ROUND(F419/D419,2)</f>
        <v>1648.18</v>
      </c>
      <c r="F419" s="585">
        <v>60982.66</v>
      </c>
      <c r="G419" s="767">
        <v>1648.18</v>
      </c>
      <c r="H419" s="785">
        <f t="shared" si="271"/>
        <v>60982.66</v>
      </c>
      <c r="I419" s="482">
        <f t="shared" si="272"/>
        <v>0</v>
      </c>
      <c r="J419" s="481">
        <f t="shared" si="273"/>
        <v>0</v>
      </c>
    </row>
    <row r="420" spans="1:14" s="484" customFormat="1" ht="15" customHeight="1" outlineLevel="1" x14ac:dyDescent="0.3">
      <c r="A420" s="502"/>
      <c r="B420" s="503" t="s">
        <v>1784</v>
      </c>
      <c r="C420" s="504"/>
      <c r="D420" s="505"/>
      <c r="E420" s="566"/>
      <c r="F420" s="586"/>
      <c r="G420" s="786"/>
      <c r="H420" s="787"/>
      <c r="I420" s="567"/>
      <c r="J420" s="590"/>
      <c r="K420" s="491"/>
    </row>
    <row r="421" spans="1:14" ht="20.25" customHeight="1" outlineLevel="1" x14ac:dyDescent="0.35">
      <c r="A421" s="443">
        <f>A419+1</f>
        <v>321</v>
      </c>
      <c r="B421" s="428" t="s">
        <v>1694</v>
      </c>
      <c r="C421" s="442" t="s">
        <v>17</v>
      </c>
      <c r="D421" s="565">
        <v>126.25</v>
      </c>
      <c r="E421" s="575">
        <f t="shared" ref="E421:E426" si="274">ROUND(F421/D421,2)</f>
        <v>950.73</v>
      </c>
      <c r="F421" s="585">
        <v>120029.22</v>
      </c>
      <c r="G421" s="767">
        <v>1680</v>
      </c>
      <c r="H421" s="785">
        <f t="shared" ref="H421:H436" si="275">ROUND(G421*D421,2)</f>
        <v>212100</v>
      </c>
      <c r="I421" s="482">
        <f t="shared" ref="I421:I436" si="276">ROUND(E421-G421,2)</f>
        <v>-729.27</v>
      </c>
      <c r="J421" s="481">
        <f t="shared" ref="J421:J436" si="277">F421-H421</f>
        <v>-92070.78</v>
      </c>
      <c r="K421" s="528" t="s">
        <v>1790</v>
      </c>
      <c r="L421" s="545" t="s">
        <v>1794</v>
      </c>
    </row>
    <row r="422" spans="1:14" ht="20.25" customHeight="1" outlineLevel="1" x14ac:dyDescent="0.3">
      <c r="A422" s="443">
        <f>A421+1</f>
        <v>322</v>
      </c>
      <c r="B422" s="428" t="s">
        <v>1785</v>
      </c>
      <c r="C422" s="442" t="s">
        <v>364</v>
      </c>
      <c r="D422" s="568">
        <v>1050</v>
      </c>
      <c r="E422" s="575">
        <f t="shared" si="274"/>
        <v>4527.84</v>
      </c>
      <c r="F422" s="585">
        <f>ROUND(9969086.47/(4495.05+2284.56+2646.006)*4495.05,2)</f>
        <v>4754229.55</v>
      </c>
      <c r="G422" s="767">
        <v>4699.8</v>
      </c>
      <c r="H422" s="785">
        <f t="shared" si="275"/>
        <v>4934790</v>
      </c>
      <c r="I422" s="482">
        <f t="shared" si="276"/>
        <v>-171.96</v>
      </c>
      <c r="J422" s="481">
        <f t="shared" si="277"/>
        <v>-180560.45000000019</v>
      </c>
      <c r="K422" s="544" t="s">
        <v>1793</v>
      </c>
      <c r="L422" s="527"/>
      <c r="N422" s="528">
        <f>4495.05+2284.56+2646.006</f>
        <v>9425.616</v>
      </c>
    </row>
    <row r="423" spans="1:14" ht="21.75" customHeight="1" outlineLevel="1" x14ac:dyDescent="0.3">
      <c r="A423" s="443">
        <f>A422+1</f>
        <v>323</v>
      </c>
      <c r="B423" s="428" t="s">
        <v>1786</v>
      </c>
      <c r="C423" s="442" t="s">
        <v>364</v>
      </c>
      <c r="D423" s="568">
        <v>1002</v>
      </c>
      <c r="E423" s="575">
        <f t="shared" si="274"/>
        <v>2411.46</v>
      </c>
      <c r="F423" s="585">
        <f>ROUND(9969086.47/(4495.05+2284.56+2646.006)*2284.56,2)</f>
        <v>2416285.17</v>
      </c>
      <c r="G423" s="767">
        <v>2503.0500000000002</v>
      </c>
      <c r="H423" s="785">
        <f t="shared" si="275"/>
        <v>2508056.1</v>
      </c>
      <c r="I423" s="482">
        <f t="shared" si="276"/>
        <v>-91.59</v>
      </c>
      <c r="J423" s="481">
        <f t="shared" si="277"/>
        <v>-91770.930000000168</v>
      </c>
    </row>
    <row r="424" spans="1:14" ht="20.25" customHeight="1" outlineLevel="1" x14ac:dyDescent="0.3">
      <c r="A424" s="443">
        <f>A423+1</f>
        <v>324</v>
      </c>
      <c r="B424" s="428" t="s">
        <v>1787</v>
      </c>
      <c r="C424" s="442" t="s">
        <v>364</v>
      </c>
      <c r="D424" s="568">
        <v>517</v>
      </c>
      <c r="E424" s="575">
        <f t="shared" si="274"/>
        <v>5413.1</v>
      </c>
      <c r="F424" s="585">
        <f>ROUND(9969086.47/(4495.05+2284.56+2646.006)*2646.006,2)</f>
        <v>2798571.74</v>
      </c>
      <c r="G424" s="767">
        <v>5618.69</v>
      </c>
      <c r="H424" s="785">
        <f t="shared" si="275"/>
        <v>2904862.73</v>
      </c>
      <c r="I424" s="482">
        <f t="shared" si="276"/>
        <v>-205.59</v>
      </c>
      <c r="J424" s="481">
        <f t="shared" si="277"/>
        <v>-106290.98999999976</v>
      </c>
    </row>
    <row r="425" spans="1:14" ht="20.25" customHeight="1" outlineLevel="1" x14ac:dyDescent="0.3">
      <c r="A425" s="443">
        <f t="shared" ref="A425:A430" si="278">A424+1</f>
        <v>325</v>
      </c>
      <c r="B425" s="428" t="s">
        <v>1799</v>
      </c>
      <c r="C425" s="442" t="s">
        <v>364</v>
      </c>
      <c r="D425" s="568">
        <v>2100</v>
      </c>
      <c r="E425" s="575">
        <f t="shared" si="274"/>
        <v>0.63</v>
      </c>
      <c r="F425" s="585">
        <f>ROUND((93925.56-90670.45)/(7.11+6.79+3.5)*7.11,2)</f>
        <v>1330.11</v>
      </c>
      <c r="G425" s="767">
        <v>24</v>
      </c>
      <c r="H425" s="785">
        <f t="shared" si="275"/>
        <v>50400</v>
      </c>
      <c r="I425" s="482">
        <f t="shared" si="276"/>
        <v>-23.37</v>
      </c>
      <c r="J425" s="481">
        <f t="shared" si="277"/>
        <v>-49069.89</v>
      </c>
      <c r="K425" s="489">
        <f>0.077*0.044*1034</f>
        <v>3.5031919999999999</v>
      </c>
    </row>
    <row r="426" spans="1:14" ht="21" customHeight="1" outlineLevel="1" x14ac:dyDescent="0.3">
      <c r="A426" s="443">
        <f t="shared" si="278"/>
        <v>326</v>
      </c>
      <c r="B426" s="428" t="s">
        <v>1800</v>
      </c>
      <c r="C426" s="442" t="s">
        <v>364</v>
      </c>
      <c r="D426" s="568">
        <v>2004</v>
      </c>
      <c r="E426" s="575">
        <f t="shared" si="274"/>
        <v>0.63</v>
      </c>
      <c r="F426" s="585">
        <f>ROUND((93925.56-90670.45)/(7.11+6.79+3.5)*6.79,2)</f>
        <v>1270.24</v>
      </c>
      <c r="G426" s="767">
        <v>24</v>
      </c>
      <c r="H426" s="785">
        <f t="shared" si="275"/>
        <v>48096</v>
      </c>
      <c r="I426" s="482">
        <f t="shared" si="276"/>
        <v>-23.37</v>
      </c>
      <c r="J426" s="481">
        <f t="shared" si="277"/>
        <v>-46825.760000000002</v>
      </c>
    </row>
    <row r="427" spans="1:14" ht="21.75" customHeight="1" outlineLevel="1" x14ac:dyDescent="0.3">
      <c r="A427" s="443">
        <f t="shared" si="278"/>
        <v>327</v>
      </c>
      <c r="B427" s="428" t="s">
        <v>1801</v>
      </c>
      <c r="C427" s="442" t="s">
        <v>364</v>
      </c>
      <c r="D427" s="568">
        <v>1034</v>
      </c>
      <c r="E427" s="575">
        <f>ROUND(F427/D427,2)</f>
        <v>0.64</v>
      </c>
      <c r="F427" s="585">
        <f>ROUND((93925.56-90670.45)/(7.11+6.79+3.5)*3.542,2)</f>
        <v>662.62</v>
      </c>
      <c r="G427" s="767">
        <v>24</v>
      </c>
      <c r="H427" s="785">
        <f t="shared" si="275"/>
        <v>24816</v>
      </c>
      <c r="I427" s="482">
        <f t="shared" si="276"/>
        <v>-23.36</v>
      </c>
      <c r="J427" s="481">
        <f t="shared" si="277"/>
        <v>-24153.38</v>
      </c>
    </row>
    <row r="428" spans="1:14" ht="23.25" customHeight="1" outlineLevel="1" x14ac:dyDescent="0.3">
      <c r="A428" s="443">
        <f t="shared" si="278"/>
        <v>328</v>
      </c>
      <c r="B428" s="428" t="s">
        <v>1498</v>
      </c>
      <c r="C428" s="442" t="s">
        <v>364</v>
      </c>
      <c r="D428" s="568">
        <v>10500</v>
      </c>
      <c r="E428" s="575">
        <f>ROUND(F428/D428,2)</f>
        <v>4.26</v>
      </c>
      <c r="F428" s="585">
        <f>ROUND((2835460.43-2768657.63)/(10500+5170)*D428,2)</f>
        <v>44762.57</v>
      </c>
      <c r="G428" s="767">
        <v>32</v>
      </c>
      <c r="H428" s="785">
        <f t="shared" si="275"/>
        <v>336000</v>
      </c>
      <c r="I428" s="482">
        <f t="shared" si="276"/>
        <v>-27.74</v>
      </c>
      <c r="J428" s="481">
        <f t="shared" si="277"/>
        <v>-291237.43</v>
      </c>
    </row>
    <row r="429" spans="1:14" ht="23.25" customHeight="1" outlineLevel="1" x14ac:dyDescent="0.3">
      <c r="A429" s="443">
        <f t="shared" si="278"/>
        <v>329</v>
      </c>
      <c r="B429" s="428" t="s">
        <v>1499</v>
      </c>
      <c r="C429" s="442" t="s">
        <v>364</v>
      </c>
      <c r="D429" s="568">
        <v>5170</v>
      </c>
      <c r="E429" s="575">
        <f t="shared" ref="E429:E436" si="279">ROUND(F429/D429,2)</f>
        <v>4.26</v>
      </c>
      <c r="F429" s="585">
        <f>ROUND((2835460.43-2768657.63)/(10500+5170)*D429,2)</f>
        <v>22040.23</v>
      </c>
      <c r="G429" s="767">
        <v>32</v>
      </c>
      <c r="H429" s="785">
        <f t="shared" si="275"/>
        <v>165440</v>
      </c>
      <c r="I429" s="482">
        <f t="shared" si="276"/>
        <v>-27.74</v>
      </c>
      <c r="J429" s="481">
        <f t="shared" si="277"/>
        <v>-143399.76999999999</v>
      </c>
    </row>
    <row r="430" spans="1:14" ht="30" customHeight="1" outlineLevel="1" x14ac:dyDescent="0.3">
      <c r="A430" s="443">
        <f t="shared" si="278"/>
        <v>330</v>
      </c>
      <c r="B430" s="428" t="s">
        <v>1500</v>
      </c>
      <c r="C430" s="442" t="s">
        <v>364</v>
      </c>
      <c r="D430" s="568">
        <v>5010</v>
      </c>
      <c r="E430" s="575">
        <f t="shared" si="279"/>
        <v>2.64</v>
      </c>
      <c r="F430" s="585">
        <f>561024.52-547806.9</f>
        <v>13217.619999999995</v>
      </c>
      <c r="G430" s="767">
        <v>32</v>
      </c>
      <c r="H430" s="785">
        <f t="shared" si="275"/>
        <v>160320</v>
      </c>
      <c r="I430" s="482">
        <f t="shared" si="276"/>
        <v>-29.36</v>
      </c>
      <c r="J430" s="481">
        <f t="shared" si="277"/>
        <v>-147102.38</v>
      </c>
      <c r="K430" s="478"/>
    </row>
    <row r="431" spans="1:14" ht="19.5" customHeight="1" outlineLevel="1" x14ac:dyDescent="0.3">
      <c r="A431" s="443">
        <f>A430+1</f>
        <v>331</v>
      </c>
      <c r="B431" s="428" t="s">
        <v>1502</v>
      </c>
      <c r="C431" s="442" t="s">
        <v>1390</v>
      </c>
      <c r="D431" s="568">
        <v>3006</v>
      </c>
      <c r="E431" s="575">
        <f t="shared" si="279"/>
        <v>35.880000000000003</v>
      </c>
      <c r="F431" s="585">
        <f>ROUND((18896649.34-18451448.57)/(3006+6300+3102)*D431,2)</f>
        <v>107855.7</v>
      </c>
      <c r="G431" s="767">
        <v>35</v>
      </c>
      <c r="H431" s="785">
        <f t="shared" si="275"/>
        <v>105210</v>
      </c>
      <c r="I431" s="482">
        <f t="shared" si="276"/>
        <v>0.88</v>
      </c>
      <c r="J431" s="481">
        <f t="shared" si="277"/>
        <v>2645.6999999999971</v>
      </c>
      <c r="K431" s="478"/>
    </row>
    <row r="432" spans="1:14" ht="19.5" customHeight="1" outlineLevel="1" x14ac:dyDescent="0.3">
      <c r="A432" s="443">
        <f t="shared" ref="A432:A436" si="280">A431+1</f>
        <v>332</v>
      </c>
      <c r="B432" s="428" t="s">
        <v>1503</v>
      </c>
      <c r="C432" s="442" t="s">
        <v>1390</v>
      </c>
      <c r="D432" s="568">
        <v>6300</v>
      </c>
      <c r="E432" s="575">
        <f t="shared" si="279"/>
        <v>35.880000000000003</v>
      </c>
      <c r="F432" s="585">
        <f>ROUND((18896649.34-18451448.57)/(3006+6300+3102)*D432,2)</f>
        <v>226044.88</v>
      </c>
      <c r="G432" s="767">
        <v>35</v>
      </c>
      <c r="H432" s="785">
        <f t="shared" si="275"/>
        <v>220500</v>
      </c>
      <c r="I432" s="482">
        <f t="shared" si="276"/>
        <v>0.88</v>
      </c>
      <c r="J432" s="481">
        <f t="shared" si="277"/>
        <v>5544.8800000000047</v>
      </c>
      <c r="K432" s="478"/>
    </row>
    <row r="433" spans="1:12" ht="19.5" customHeight="1" outlineLevel="1" x14ac:dyDescent="0.3">
      <c r="A433" s="443">
        <f t="shared" si="280"/>
        <v>333</v>
      </c>
      <c r="B433" s="428" t="s">
        <v>1504</v>
      </c>
      <c r="C433" s="442" t="s">
        <v>1390</v>
      </c>
      <c r="D433" s="568">
        <v>3102</v>
      </c>
      <c r="E433" s="575">
        <f t="shared" si="279"/>
        <v>35.880000000000003</v>
      </c>
      <c r="F433" s="585">
        <f>ROUND((18896649.34-18451448.57)/(3006+6300+3102)*D433,2)</f>
        <v>111300.19</v>
      </c>
      <c r="G433" s="767">
        <v>35</v>
      </c>
      <c r="H433" s="785">
        <f t="shared" si="275"/>
        <v>108570</v>
      </c>
      <c r="I433" s="482">
        <f t="shared" si="276"/>
        <v>0.88</v>
      </c>
      <c r="J433" s="481">
        <f t="shared" si="277"/>
        <v>2730.1900000000023</v>
      </c>
      <c r="K433" s="478"/>
    </row>
    <row r="434" spans="1:12" ht="20.25" customHeight="1" outlineLevel="1" x14ac:dyDescent="0.3">
      <c r="A434" s="443">
        <f t="shared" si="280"/>
        <v>334</v>
      </c>
      <c r="B434" s="428" t="s">
        <v>1824</v>
      </c>
      <c r="C434" s="442" t="s">
        <v>1390</v>
      </c>
      <c r="D434" s="568">
        <v>678</v>
      </c>
      <c r="E434" s="575">
        <f t="shared" si="279"/>
        <v>37.69</v>
      </c>
      <c r="F434" s="585">
        <f>ROUND((7293802.43-7121962.09)/(678+3203+678)*D434,2)</f>
        <v>25555.55</v>
      </c>
      <c r="G434" s="767">
        <v>77.599999999999994</v>
      </c>
      <c r="H434" s="785">
        <f t="shared" si="275"/>
        <v>52612.800000000003</v>
      </c>
      <c r="I434" s="482">
        <f t="shared" si="276"/>
        <v>-39.909999999999997</v>
      </c>
      <c r="J434" s="481">
        <f t="shared" si="277"/>
        <v>-27057.250000000004</v>
      </c>
    </row>
    <row r="435" spans="1:12" ht="20.25" customHeight="1" outlineLevel="1" x14ac:dyDescent="0.3">
      <c r="A435" s="443">
        <f t="shared" si="280"/>
        <v>335</v>
      </c>
      <c r="B435" s="428" t="s">
        <v>1825</v>
      </c>
      <c r="C435" s="442" t="s">
        <v>1390</v>
      </c>
      <c r="D435" s="568">
        <v>678</v>
      </c>
      <c r="E435" s="575">
        <f t="shared" si="279"/>
        <v>37.69</v>
      </c>
      <c r="F435" s="585">
        <f>ROUND((7293802.43-7121962.09)/(678+3203+678)*D435,2)</f>
        <v>25555.55</v>
      </c>
      <c r="G435" s="767">
        <v>77.599999999999994</v>
      </c>
      <c r="H435" s="785">
        <f t="shared" si="275"/>
        <v>52612.800000000003</v>
      </c>
      <c r="I435" s="482">
        <f t="shared" si="276"/>
        <v>-39.909999999999997</v>
      </c>
      <c r="J435" s="481">
        <f t="shared" si="277"/>
        <v>-27057.250000000004</v>
      </c>
    </row>
    <row r="436" spans="1:12" ht="20.25" customHeight="1" outlineLevel="1" x14ac:dyDescent="0.3">
      <c r="A436" s="443">
        <f t="shared" si="280"/>
        <v>336</v>
      </c>
      <c r="B436" s="428" t="s">
        <v>1701</v>
      </c>
      <c r="C436" s="442" t="s">
        <v>1390</v>
      </c>
      <c r="D436" s="568">
        <v>3203</v>
      </c>
      <c r="E436" s="575">
        <f t="shared" si="279"/>
        <v>37.69</v>
      </c>
      <c r="F436" s="585">
        <f>ROUND((7293802.43-7121962.09)/(678+3203+678)*D436,2)</f>
        <v>120729.24</v>
      </c>
      <c r="G436" s="767">
        <v>77.599999999999994</v>
      </c>
      <c r="H436" s="785">
        <f t="shared" si="275"/>
        <v>248552.8</v>
      </c>
      <c r="I436" s="482">
        <f t="shared" si="276"/>
        <v>-39.909999999999997</v>
      </c>
      <c r="J436" s="481">
        <f t="shared" si="277"/>
        <v>-127823.55999999998</v>
      </c>
    </row>
    <row r="437" spans="1:12" s="484" customFormat="1" ht="15" customHeight="1" outlineLevel="1" x14ac:dyDescent="0.3">
      <c r="A437" s="502"/>
      <c r="B437" s="503" t="s">
        <v>1512</v>
      </c>
      <c r="C437" s="504"/>
      <c r="D437" s="505"/>
      <c r="E437" s="566"/>
      <c r="F437" s="586"/>
      <c r="G437" s="786"/>
      <c r="H437" s="787"/>
      <c r="I437" s="567"/>
      <c r="J437" s="590"/>
      <c r="K437" s="491"/>
    </row>
    <row r="438" spans="1:12" ht="20.25" customHeight="1" outlineLevel="1" x14ac:dyDescent="0.3">
      <c r="A438" s="443">
        <f>A436+1</f>
        <v>337</v>
      </c>
      <c r="B438" s="428" t="s">
        <v>1703</v>
      </c>
      <c r="C438" s="442" t="s">
        <v>17</v>
      </c>
      <c r="D438" s="565">
        <v>329.86</v>
      </c>
      <c r="E438" s="575">
        <f t="shared" ref="E438:E440" si="281">ROUND(F438/D438,2)</f>
        <v>950.73</v>
      </c>
      <c r="F438" s="585">
        <f>313606.67</f>
        <v>313606.67</v>
      </c>
      <c r="G438" s="767">
        <v>1680</v>
      </c>
      <c r="H438" s="785">
        <f t="shared" ref="H438:H440" si="282">ROUND(G438*D438,2)</f>
        <v>554164.80000000005</v>
      </c>
      <c r="I438" s="482">
        <f t="shared" ref="I438:I440" si="283">ROUND(E438-G438,2)</f>
        <v>-729.27</v>
      </c>
      <c r="J438" s="481">
        <f t="shared" ref="J438:J440" si="284">F438-H438</f>
        <v>-240558.13000000006</v>
      </c>
      <c r="K438" s="528"/>
      <c r="L438" s="527"/>
    </row>
    <row r="439" spans="1:12" ht="20.25" customHeight="1" outlineLevel="1" x14ac:dyDescent="0.3">
      <c r="A439" s="443">
        <f>A438+1</f>
        <v>338</v>
      </c>
      <c r="B439" s="428" t="s">
        <v>1705</v>
      </c>
      <c r="C439" s="442" t="s">
        <v>17</v>
      </c>
      <c r="D439" s="565">
        <f>3.08*1.26</f>
        <v>3.8808000000000002</v>
      </c>
      <c r="E439" s="575">
        <f t="shared" si="281"/>
        <v>754.55</v>
      </c>
      <c r="F439" s="585">
        <v>2928.25</v>
      </c>
      <c r="G439" s="767">
        <v>1680</v>
      </c>
      <c r="H439" s="785">
        <f t="shared" si="282"/>
        <v>6519.74</v>
      </c>
      <c r="I439" s="482">
        <f t="shared" si="283"/>
        <v>-925.45</v>
      </c>
      <c r="J439" s="481">
        <f t="shared" si="284"/>
        <v>-3591.49</v>
      </c>
      <c r="K439" s="528" t="s">
        <v>1706</v>
      </c>
      <c r="L439" s="527"/>
    </row>
    <row r="440" spans="1:12" ht="21.75" customHeight="1" outlineLevel="1" x14ac:dyDescent="0.3">
      <c r="A440" s="443">
        <f>A439+1</f>
        <v>339</v>
      </c>
      <c r="B440" s="428" t="s">
        <v>1513</v>
      </c>
      <c r="C440" s="442" t="s">
        <v>20</v>
      </c>
      <c r="D440" s="568">
        <v>2381</v>
      </c>
      <c r="E440" s="575">
        <f t="shared" si="281"/>
        <v>957</v>
      </c>
      <c r="F440" s="585">
        <v>2278617</v>
      </c>
      <c r="G440" s="767">
        <v>957</v>
      </c>
      <c r="H440" s="785">
        <f t="shared" si="282"/>
        <v>2278617</v>
      </c>
      <c r="I440" s="482">
        <f t="shared" si="283"/>
        <v>0</v>
      </c>
      <c r="J440" s="481">
        <f t="shared" si="284"/>
        <v>0</v>
      </c>
    </row>
    <row r="441" spans="1:12" s="484" customFormat="1" ht="15" customHeight="1" outlineLevel="1" x14ac:dyDescent="0.3">
      <c r="A441" s="535"/>
      <c r="B441" s="503" t="s">
        <v>1522</v>
      </c>
      <c r="C441" s="504"/>
      <c r="D441" s="505"/>
      <c r="E441" s="566"/>
      <c r="F441" s="586"/>
      <c r="G441" s="786"/>
      <c r="H441" s="787"/>
      <c r="I441" s="567"/>
      <c r="J441" s="590"/>
      <c r="K441" s="491"/>
    </row>
    <row r="442" spans="1:12" ht="21.75" customHeight="1" outlineLevel="1" x14ac:dyDescent="0.3">
      <c r="A442" s="443">
        <f>A440+1</f>
        <v>340</v>
      </c>
      <c r="B442" s="428" t="s">
        <v>1527</v>
      </c>
      <c r="C442" s="442" t="s">
        <v>17</v>
      </c>
      <c r="D442" s="565">
        <v>128.31</v>
      </c>
      <c r="E442" s="575">
        <f>ROUND(F442/D442,2)</f>
        <v>1317.1</v>
      </c>
      <c r="F442" s="585">
        <v>168997.62</v>
      </c>
      <c r="G442" s="767">
        <v>1680</v>
      </c>
      <c r="H442" s="785">
        <f t="shared" ref="H442" si="285">ROUND(G442*D442,2)</f>
        <v>215560.8</v>
      </c>
      <c r="I442" s="482">
        <f t="shared" ref="I442" si="286">ROUND(E442-G442,2)</f>
        <v>-362.9</v>
      </c>
      <c r="J442" s="481">
        <f>F442-H442</f>
        <v>-46563.179999999993</v>
      </c>
    </row>
    <row r="443" spans="1:12" ht="21.75" customHeight="1" outlineLevel="1" x14ac:dyDescent="0.3">
      <c r="A443" s="852">
        <f>A442+1</f>
        <v>341</v>
      </c>
      <c r="B443" s="428" t="s">
        <v>1523</v>
      </c>
      <c r="C443" s="442" t="s">
        <v>17</v>
      </c>
      <c r="D443" s="565">
        <v>197.6</v>
      </c>
      <c r="E443" s="854">
        <f>ROUND(F443/D444,2)</f>
        <v>950.56</v>
      </c>
      <c r="F443" s="856">
        <f>3756613.12</f>
        <v>3756613.12</v>
      </c>
      <c r="G443" s="858">
        <v>950.56</v>
      </c>
      <c r="H443" s="843">
        <f>G443*D444</f>
        <v>3756613.1199999996</v>
      </c>
      <c r="I443" s="848">
        <f>ROUND(E443-G443,2)</f>
        <v>0</v>
      </c>
      <c r="J443" s="850">
        <f>F443-H443</f>
        <v>0</v>
      </c>
      <c r="K443" s="489">
        <f>4957236.22-3756613.61</f>
        <v>1200622.6099999999</v>
      </c>
    </row>
    <row r="444" spans="1:12" ht="21" customHeight="1" outlineLevel="1" x14ac:dyDescent="0.3">
      <c r="A444" s="853"/>
      <c r="B444" s="428" t="s">
        <v>1386</v>
      </c>
      <c r="C444" s="442" t="s">
        <v>5</v>
      </c>
      <c r="D444" s="568">
        <v>3952</v>
      </c>
      <c r="E444" s="855"/>
      <c r="F444" s="857"/>
      <c r="G444" s="859"/>
      <c r="H444" s="844"/>
      <c r="I444" s="849"/>
      <c r="J444" s="851"/>
    </row>
    <row r="445" spans="1:12" ht="19.5" customHeight="1" outlineLevel="1" x14ac:dyDescent="0.3">
      <c r="A445" s="443">
        <f>A443+1</f>
        <v>342</v>
      </c>
      <c r="B445" s="428" t="s">
        <v>1708</v>
      </c>
      <c r="C445" s="442" t="s">
        <v>17</v>
      </c>
      <c r="D445" s="565">
        <v>73.56</v>
      </c>
      <c r="E445" s="575">
        <f t="shared" ref="E445:E447" si="287">ROUND(F445/D445,2)</f>
        <v>55.19</v>
      </c>
      <c r="F445" s="585">
        <v>4059.47</v>
      </c>
      <c r="G445" s="767">
        <v>260</v>
      </c>
      <c r="H445" s="785">
        <f t="shared" ref="H445:H447" si="288">ROUND(G445*D445,2)</f>
        <v>19125.599999999999</v>
      </c>
      <c r="I445" s="482">
        <f t="shared" ref="I445:I463" si="289">ROUND(E445-G445,2)</f>
        <v>-204.81</v>
      </c>
      <c r="J445" s="481">
        <f t="shared" ref="J445:J447" si="290">F445-H445</f>
        <v>-15066.13</v>
      </c>
    </row>
    <row r="446" spans="1:12" ht="19.5" customHeight="1" outlineLevel="1" x14ac:dyDescent="0.3">
      <c r="A446" s="443">
        <f>A445+1</f>
        <v>343</v>
      </c>
      <c r="B446" s="428" t="s">
        <v>1707</v>
      </c>
      <c r="C446" s="442" t="s">
        <v>28</v>
      </c>
      <c r="D446" s="565">
        <f>D445*1.95</f>
        <v>143.44200000000001</v>
      </c>
      <c r="E446" s="575">
        <f t="shared" si="287"/>
        <v>47.17</v>
      </c>
      <c r="F446" s="585">
        <v>6765.95</v>
      </c>
      <c r="G446" s="767">
        <v>250</v>
      </c>
      <c r="H446" s="785">
        <f t="shared" si="288"/>
        <v>35860.5</v>
      </c>
      <c r="I446" s="482">
        <f t="shared" si="289"/>
        <v>-202.83</v>
      </c>
      <c r="J446" s="481">
        <f t="shared" si="290"/>
        <v>-29094.55</v>
      </c>
    </row>
    <row r="447" spans="1:12" ht="19.5" customHeight="1" outlineLevel="1" x14ac:dyDescent="0.3">
      <c r="A447" s="443">
        <f>A446+1</f>
        <v>344</v>
      </c>
      <c r="B447" s="428" t="s">
        <v>1709</v>
      </c>
      <c r="C447" s="442" t="s">
        <v>17</v>
      </c>
      <c r="D447" s="565">
        <f>73.56</f>
        <v>73.56</v>
      </c>
      <c r="E447" s="575">
        <f t="shared" si="287"/>
        <v>680</v>
      </c>
      <c r="F447" s="585">
        <v>50020.86</v>
      </c>
      <c r="G447" s="767">
        <v>208</v>
      </c>
      <c r="H447" s="785">
        <f t="shared" si="288"/>
        <v>15300.48</v>
      </c>
      <c r="I447" s="482">
        <f t="shared" si="289"/>
        <v>472</v>
      </c>
      <c r="J447" s="481">
        <f t="shared" si="290"/>
        <v>34720.380000000005</v>
      </c>
    </row>
    <row r="448" spans="1:12" s="484" customFormat="1" ht="15" customHeight="1" outlineLevel="1" x14ac:dyDescent="0.3">
      <c r="A448" s="535"/>
      <c r="B448" s="503" t="s">
        <v>1812</v>
      </c>
      <c r="C448" s="504"/>
      <c r="D448" s="505"/>
      <c r="E448" s="566"/>
      <c r="F448" s="586"/>
      <c r="G448" s="786"/>
      <c r="H448" s="787"/>
      <c r="I448" s="567"/>
      <c r="J448" s="590"/>
      <c r="K448" s="491"/>
    </row>
    <row r="449" spans="1:11" ht="33.75" customHeight="1" outlineLevel="1" x14ac:dyDescent="0.3">
      <c r="A449" s="443">
        <f>A447+1</f>
        <v>345</v>
      </c>
      <c r="B449" s="428" t="s">
        <v>1806</v>
      </c>
      <c r="C449" s="442" t="s">
        <v>1131</v>
      </c>
      <c r="D449" s="565">
        <v>3420.76</v>
      </c>
      <c r="E449" s="575">
        <f t="shared" ref="E449:E451" si="291">ROUND(F449/D449,2)</f>
        <v>1051.8499999999999</v>
      </c>
      <c r="F449" s="585">
        <f>ROUND(4672586.53/4442.26*D449,2)</f>
        <v>3598122.82</v>
      </c>
      <c r="G449" s="767">
        <v>1788.15</v>
      </c>
      <c r="H449" s="785">
        <f t="shared" ref="H449:H455" si="292">ROUND(G449*D449,2)</f>
        <v>6116831.9900000002</v>
      </c>
      <c r="I449" s="482">
        <f t="shared" si="289"/>
        <v>-736.3</v>
      </c>
      <c r="J449" s="481">
        <f t="shared" ref="J449:J451" si="293">F449-H449</f>
        <v>-2518709.1700000004</v>
      </c>
    </row>
    <row r="450" spans="1:11" ht="33.75" customHeight="1" outlineLevel="1" x14ac:dyDescent="0.3">
      <c r="A450" s="443">
        <f>A449+1</f>
        <v>346</v>
      </c>
      <c r="B450" s="428" t="s">
        <v>1807</v>
      </c>
      <c r="C450" s="442" t="s">
        <v>1131</v>
      </c>
      <c r="D450" s="565">
        <v>307.51</v>
      </c>
      <c r="E450" s="575">
        <f t="shared" si="291"/>
        <v>1051.8499999999999</v>
      </c>
      <c r="F450" s="585">
        <f>ROUND(4672586.53/4442.26*D450,2)</f>
        <v>323454.07</v>
      </c>
      <c r="G450" s="767">
        <v>1788.15</v>
      </c>
      <c r="H450" s="785">
        <f t="shared" si="292"/>
        <v>549874.01</v>
      </c>
      <c r="I450" s="482">
        <f t="shared" si="289"/>
        <v>-736.3</v>
      </c>
      <c r="J450" s="481">
        <f t="shared" si="293"/>
        <v>-226419.94</v>
      </c>
    </row>
    <row r="451" spans="1:11" ht="30.75" customHeight="1" outlineLevel="1" x14ac:dyDescent="0.3">
      <c r="A451" s="443">
        <f t="shared" ref="A451:A455" si="294">A450+1</f>
        <v>347</v>
      </c>
      <c r="B451" s="428" t="s">
        <v>1808</v>
      </c>
      <c r="C451" s="442" t="s">
        <v>1131</v>
      </c>
      <c r="D451" s="565">
        <v>65</v>
      </c>
      <c r="E451" s="575">
        <f t="shared" si="291"/>
        <v>1051.8499999999999</v>
      </c>
      <c r="F451" s="585">
        <f>ROUND(4672586.53/4442.26*D451,2)</f>
        <v>68370.179999999993</v>
      </c>
      <c r="G451" s="767">
        <v>1788.15</v>
      </c>
      <c r="H451" s="785">
        <f t="shared" si="292"/>
        <v>116229.75</v>
      </c>
      <c r="I451" s="482">
        <f t="shared" si="289"/>
        <v>-736.3</v>
      </c>
      <c r="J451" s="481">
        <f t="shared" si="293"/>
        <v>-47859.570000000007</v>
      </c>
    </row>
    <row r="452" spans="1:11" ht="30.75" customHeight="1" outlineLevel="1" x14ac:dyDescent="0.3">
      <c r="A452" s="443">
        <f t="shared" si="294"/>
        <v>348</v>
      </c>
      <c r="B452" s="428" t="s">
        <v>1809</v>
      </c>
      <c r="C452" s="442" t="s">
        <v>1131</v>
      </c>
      <c r="D452" s="565">
        <v>617.34</v>
      </c>
      <c r="E452" s="575">
        <f>ROUND(F452/D452,2)</f>
        <v>1051.8499999999999</v>
      </c>
      <c r="F452" s="585">
        <f>ROUND(4672586.53/4442.26*D452,2)</f>
        <v>649348.43000000005</v>
      </c>
      <c r="G452" s="767">
        <v>1788.15</v>
      </c>
      <c r="H452" s="785">
        <f t="shared" si="292"/>
        <v>1103896.52</v>
      </c>
      <c r="I452" s="482">
        <f t="shared" si="289"/>
        <v>-736.3</v>
      </c>
      <c r="J452" s="481">
        <f>F452-H452</f>
        <v>-454548.08999999997</v>
      </c>
    </row>
    <row r="453" spans="1:11" ht="33" customHeight="1" outlineLevel="1" x14ac:dyDescent="0.3">
      <c r="A453" s="443">
        <f t="shared" si="294"/>
        <v>349</v>
      </c>
      <c r="B453" s="428" t="s">
        <v>1810</v>
      </c>
      <c r="C453" s="442" t="s">
        <v>1131</v>
      </c>
      <c r="D453" s="570">
        <v>31.651</v>
      </c>
      <c r="E453" s="575">
        <f t="shared" ref="E453:E455" si="295">ROUND(F453/D453,2)</f>
        <v>1051.8499999999999</v>
      </c>
      <c r="F453" s="585">
        <f>ROUND(4672586.53/4442.26*D453,2)</f>
        <v>33292.07</v>
      </c>
      <c r="G453" s="767">
        <v>1788.15</v>
      </c>
      <c r="H453" s="785">
        <f t="shared" si="292"/>
        <v>56596.74</v>
      </c>
      <c r="I453" s="482">
        <f t="shared" si="289"/>
        <v>-736.3</v>
      </c>
      <c r="J453" s="481">
        <f t="shared" ref="J453:J455" si="296">F453-H453</f>
        <v>-23304.67</v>
      </c>
    </row>
    <row r="454" spans="1:11" ht="20.25" customHeight="1" outlineLevel="1" x14ac:dyDescent="0.3">
      <c r="A454" s="443">
        <f t="shared" si="294"/>
        <v>350</v>
      </c>
      <c r="B454" s="540" t="s">
        <v>1534</v>
      </c>
      <c r="C454" s="442" t="s">
        <v>1131</v>
      </c>
      <c r="D454" s="565">
        <v>4442.26</v>
      </c>
      <c r="E454" s="575">
        <f t="shared" si="295"/>
        <v>0</v>
      </c>
      <c r="F454" s="585"/>
      <c r="G454" s="767"/>
      <c r="H454" s="785">
        <f t="shared" si="292"/>
        <v>0</v>
      </c>
      <c r="I454" s="482">
        <f t="shared" si="289"/>
        <v>0</v>
      </c>
      <c r="J454" s="481">
        <f t="shared" si="296"/>
        <v>0</v>
      </c>
      <c r="K454" s="489" t="s">
        <v>1536</v>
      </c>
    </row>
    <row r="455" spans="1:11" ht="20.25" customHeight="1" outlineLevel="1" x14ac:dyDescent="0.3">
      <c r="A455" s="443">
        <f t="shared" si="294"/>
        <v>351</v>
      </c>
      <c r="B455" s="540" t="s">
        <v>1535</v>
      </c>
      <c r="C455" s="442" t="s">
        <v>1131</v>
      </c>
      <c r="D455" s="565">
        <v>4442.26</v>
      </c>
      <c r="E455" s="575">
        <f t="shared" si="295"/>
        <v>0</v>
      </c>
      <c r="F455" s="585"/>
      <c r="G455" s="767"/>
      <c r="H455" s="785">
        <f t="shared" si="292"/>
        <v>0</v>
      </c>
      <c r="I455" s="482">
        <f t="shared" si="289"/>
        <v>0</v>
      </c>
      <c r="J455" s="481">
        <f t="shared" si="296"/>
        <v>0</v>
      </c>
      <c r="K455" s="489" t="s">
        <v>1536</v>
      </c>
    </row>
    <row r="456" spans="1:11" s="484" customFormat="1" ht="15" customHeight="1" outlineLevel="1" x14ac:dyDescent="0.3">
      <c r="A456" s="502"/>
      <c r="B456" s="503" t="s">
        <v>1529</v>
      </c>
      <c r="C456" s="504"/>
      <c r="D456" s="505"/>
      <c r="E456" s="566"/>
      <c r="F456" s="586"/>
      <c r="G456" s="786"/>
      <c r="H456" s="787"/>
      <c r="I456" s="567"/>
      <c r="J456" s="590"/>
      <c r="K456" s="491"/>
    </row>
    <row r="457" spans="1:11" ht="33" customHeight="1" outlineLevel="1" x14ac:dyDescent="0.3">
      <c r="A457" s="443">
        <f>A455+1</f>
        <v>352</v>
      </c>
      <c r="B457" s="428" t="s">
        <v>1811</v>
      </c>
      <c r="C457" s="442" t="s">
        <v>17</v>
      </c>
      <c r="D457" s="569">
        <f>88.37*0.12</f>
        <v>10.6044</v>
      </c>
      <c r="E457" s="575">
        <f t="shared" ref="E457:E459" si="297">ROUND(F457/D457,2)</f>
        <v>3452.14</v>
      </c>
      <c r="F457" s="585">
        <v>36607.870000000003</v>
      </c>
      <c r="G457" s="767">
        <v>3000</v>
      </c>
      <c r="H457" s="785">
        <f t="shared" ref="H457:H460" si="298">ROUND(G457*D457,2)</f>
        <v>31813.200000000001</v>
      </c>
      <c r="I457" s="482">
        <f t="shared" si="289"/>
        <v>452.14</v>
      </c>
      <c r="J457" s="481">
        <f t="shared" ref="J457:J460" si="299">F457-H457</f>
        <v>4794.6700000000019</v>
      </c>
    </row>
    <row r="458" spans="1:11" ht="21" customHeight="1" outlineLevel="1" x14ac:dyDescent="0.3">
      <c r="A458" s="443">
        <f>A457+1</f>
        <v>353</v>
      </c>
      <c r="B458" s="428" t="s">
        <v>1539</v>
      </c>
      <c r="C458" s="442" t="s">
        <v>17</v>
      </c>
      <c r="D458" s="569">
        <f>88.37*0.12</f>
        <v>10.6044</v>
      </c>
      <c r="E458" s="575">
        <f t="shared" si="297"/>
        <v>55.16</v>
      </c>
      <c r="F458" s="585">
        <v>584.97</v>
      </c>
      <c r="G458" s="767">
        <v>260</v>
      </c>
      <c r="H458" s="785">
        <f t="shared" si="298"/>
        <v>2757.14</v>
      </c>
      <c r="I458" s="482">
        <f t="shared" si="289"/>
        <v>-204.84</v>
      </c>
      <c r="J458" s="481">
        <f t="shared" si="299"/>
        <v>-2172.17</v>
      </c>
    </row>
    <row r="459" spans="1:11" ht="21" customHeight="1" outlineLevel="1" x14ac:dyDescent="0.3">
      <c r="A459" s="443">
        <f>A458+1</f>
        <v>354</v>
      </c>
      <c r="B459" s="428" t="s">
        <v>1540</v>
      </c>
      <c r="C459" s="442" t="s">
        <v>28</v>
      </c>
      <c r="D459" s="565">
        <f>88.37*0.12*1.9-0.01</f>
        <v>20.138359999999999</v>
      </c>
      <c r="E459" s="575">
        <f t="shared" si="297"/>
        <v>187.59</v>
      </c>
      <c r="F459" s="585">
        <v>3777.8</v>
      </c>
      <c r="G459" s="767">
        <v>250</v>
      </c>
      <c r="H459" s="785">
        <f t="shared" si="298"/>
        <v>5034.59</v>
      </c>
      <c r="I459" s="482">
        <f t="shared" si="289"/>
        <v>-62.41</v>
      </c>
      <c r="J459" s="481">
        <f t="shared" si="299"/>
        <v>-1256.79</v>
      </c>
    </row>
    <row r="460" spans="1:11" ht="35.25" customHeight="1" outlineLevel="1" x14ac:dyDescent="0.3">
      <c r="A460" s="443">
        <f>A459+1</f>
        <v>355</v>
      </c>
      <c r="B460" s="428" t="s">
        <v>1537</v>
      </c>
      <c r="C460" s="442" t="s">
        <v>20</v>
      </c>
      <c r="D460" s="565">
        <v>88.37</v>
      </c>
      <c r="E460" s="575">
        <f>ROUND(F460/D460,2)</f>
        <v>373.92</v>
      </c>
      <c r="F460" s="585">
        <f>14825.45+848.16+14825.45+2544.47</f>
        <v>33043.53</v>
      </c>
      <c r="G460" s="767">
        <v>960</v>
      </c>
      <c r="H460" s="785">
        <f t="shared" si="298"/>
        <v>84835.199999999997</v>
      </c>
      <c r="I460" s="482">
        <f t="shared" si="289"/>
        <v>-586.08000000000004</v>
      </c>
      <c r="J460" s="481">
        <f t="shared" si="299"/>
        <v>-51791.67</v>
      </c>
    </row>
    <row r="461" spans="1:11" s="484" customFormat="1" ht="15" customHeight="1" outlineLevel="1" x14ac:dyDescent="0.3">
      <c r="A461" s="502"/>
      <c r="B461" s="503" t="s">
        <v>1813</v>
      </c>
      <c r="C461" s="504"/>
      <c r="D461" s="505"/>
      <c r="E461" s="566"/>
      <c r="F461" s="586"/>
      <c r="G461" s="786"/>
      <c r="H461" s="787"/>
      <c r="I461" s="567"/>
      <c r="J461" s="590"/>
      <c r="K461" s="491"/>
    </row>
    <row r="462" spans="1:11" ht="19.5" customHeight="1" outlineLevel="1" x14ac:dyDescent="0.3">
      <c r="A462" s="443">
        <f>A460+1</f>
        <v>356</v>
      </c>
      <c r="B462" s="428" t="s">
        <v>1723</v>
      </c>
      <c r="C462" s="442" t="s">
        <v>17</v>
      </c>
      <c r="D462" s="573">
        <v>11.664260000000001</v>
      </c>
      <c r="E462" s="575">
        <f t="shared" ref="E462:E463" si="300">ROUND(F462/D462,2)</f>
        <v>1572.83</v>
      </c>
      <c r="F462" s="585">
        <v>18345.91</v>
      </c>
      <c r="G462" s="767">
        <v>4700</v>
      </c>
      <c r="H462" s="785">
        <f t="shared" ref="H462:H463" si="301">ROUND(G462*D462,2)</f>
        <v>54822.02</v>
      </c>
      <c r="I462" s="482">
        <f t="shared" si="289"/>
        <v>-3127.17</v>
      </c>
      <c r="J462" s="481">
        <f t="shared" ref="J462:J463" si="302">F462-H462</f>
        <v>-36476.11</v>
      </c>
    </row>
    <row r="463" spans="1:11" ht="21" customHeight="1" outlineLevel="1" x14ac:dyDescent="0.3">
      <c r="A463" s="443">
        <f>A462+1</f>
        <v>357</v>
      </c>
      <c r="B463" s="428" t="s">
        <v>1724</v>
      </c>
      <c r="C463" s="442" t="s">
        <v>5</v>
      </c>
      <c r="D463" s="565">
        <f>315.17*4</f>
        <v>1260.68</v>
      </c>
      <c r="E463" s="575">
        <f t="shared" si="300"/>
        <v>730.2</v>
      </c>
      <c r="F463" s="585">
        <v>920542.65</v>
      </c>
      <c r="G463" s="767">
        <v>985.7700000000001</v>
      </c>
      <c r="H463" s="785">
        <f t="shared" si="301"/>
        <v>1242740.52</v>
      </c>
      <c r="I463" s="482">
        <f t="shared" si="289"/>
        <v>-255.57</v>
      </c>
      <c r="J463" s="481">
        <f t="shared" si="302"/>
        <v>-322197.87</v>
      </c>
    </row>
    <row r="464" spans="1:11" s="484" customFormat="1" ht="15" customHeight="1" outlineLevel="1" x14ac:dyDescent="0.3">
      <c r="A464" s="502"/>
      <c r="B464" s="503" t="s">
        <v>1542</v>
      </c>
      <c r="C464" s="504"/>
      <c r="D464" s="505"/>
      <c r="E464" s="566"/>
      <c r="F464" s="586"/>
      <c r="G464" s="786"/>
      <c r="H464" s="787"/>
      <c r="I464" s="567"/>
      <c r="J464" s="590"/>
      <c r="K464" s="491"/>
    </row>
    <row r="465" spans="1:12" ht="19.5" customHeight="1" outlineLevel="1" x14ac:dyDescent="0.3">
      <c r="A465" s="852">
        <f>A463+1</f>
        <v>358</v>
      </c>
      <c r="B465" s="428" t="s">
        <v>1814</v>
      </c>
      <c r="C465" s="442" t="s">
        <v>1391</v>
      </c>
      <c r="D465" s="568">
        <v>5</v>
      </c>
      <c r="E465" s="854">
        <f>ROUND(F465/D465,2)</f>
        <v>9692.17</v>
      </c>
      <c r="F465" s="856">
        <f>43772.75+11916.2-7228.1</f>
        <v>48460.85</v>
      </c>
      <c r="G465" s="858">
        <v>38400</v>
      </c>
      <c r="H465" s="843">
        <f>G465*D465</f>
        <v>192000</v>
      </c>
      <c r="I465" s="848">
        <f>ROUND(E465-G465,2)</f>
        <v>-28707.83</v>
      </c>
      <c r="J465" s="850">
        <f t="shared" ref="J465" si="303">F465-H465</f>
        <v>-143539.15</v>
      </c>
    </row>
    <row r="466" spans="1:12" ht="20.25" customHeight="1" outlineLevel="1" x14ac:dyDescent="0.3">
      <c r="A466" s="853"/>
      <c r="B466" s="428" t="s">
        <v>1543</v>
      </c>
      <c r="C466" s="442" t="s">
        <v>40</v>
      </c>
      <c r="D466" s="568">
        <v>5</v>
      </c>
      <c r="E466" s="855"/>
      <c r="F466" s="857"/>
      <c r="G466" s="859"/>
      <c r="H466" s="844"/>
      <c r="I466" s="849"/>
      <c r="J466" s="851"/>
    </row>
    <row r="467" spans="1:12" ht="19.5" customHeight="1" outlineLevel="1" x14ac:dyDescent="0.3">
      <c r="A467" s="443">
        <f>A465+1</f>
        <v>359</v>
      </c>
      <c r="B467" s="428" t="s">
        <v>1544</v>
      </c>
      <c r="C467" s="442" t="s">
        <v>40</v>
      </c>
      <c r="D467" s="568">
        <v>5</v>
      </c>
      <c r="E467" s="575">
        <f t="shared" ref="E467:E468" si="304">ROUND(F467/D467,2)</f>
        <v>24747.98</v>
      </c>
      <c r="F467" s="585">
        <v>123739.9</v>
      </c>
      <c r="G467" s="767">
        <v>20000</v>
      </c>
      <c r="H467" s="785">
        <f t="shared" ref="H467:H471" si="305">ROUND(G467*D467,2)</f>
        <v>100000</v>
      </c>
      <c r="I467" s="482">
        <f t="shared" ref="I467:I485" si="306">ROUND(E467-G467,2)</f>
        <v>4747.9799999999996</v>
      </c>
      <c r="J467" s="481">
        <f t="shared" ref="J467:J471" si="307">F467-H467</f>
        <v>23739.899999999994</v>
      </c>
      <c r="K467" s="478"/>
    </row>
    <row r="468" spans="1:12" ht="19.5" customHeight="1" outlineLevel="1" x14ac:dyDescent="0.3">
      <c r="A468" s="443">
        <f t="shared" ref="A468:A471" si="308">A467+1</f>
        <v>360</v>
      </c>
      <c r="B468" s="428" t="s">
        <v>1545</v>
      </c>
      <c r="C468" s="442" t="s">
        <v>40</v>
      </c>
      <c r="D468" s="568">
        <v>10</v>
      </c>
      <c r="E468" s="575">
        <f t="shared" si="304"/>
        <v>1199.08</v>
      </c>
      <c r="F468" s="585">
        <v>11990.76</v>
      </c>
      <c r="G468" s="767">
        <v>1558.8</v>
      </c>
      <c r="H468" s="785">
        <f t="shared" si="305"/>
        <v>15588</v>
      </c>
      <c r="I468" s="482">
        <f t="shared" si="306"/>
        <v>-359.72</v>
      </c>
      <c r="J468" s="481">
        <f t="shared" si="307"/>
        <v>-3597.24</v>
      </c>
      <c r="K468" s="478"/>
    </row>
    <row r="469" spans="1:12" ht="21.75" customHeight="1" outlineLevel="1" x14ac:dyDescent="0.3">
      <c r="A469" s="443">
        <f t="shared" si="308"/>
        <v>361</v>
      </c>
      <c r="B469" s="428" t="s">
        <v>1546</v>
      </c>
      <c r="C469" s="442" t="s">
        <v>40</v>
      </c>
      <c r="D469" s="568">
        <v>10</v>
      </c>
      <c r="E469" s="575">
        <f>ROUND(F469/D469,2)</f>
        <v>1128</v>
      </c>
      <c r="F469" s="585">
        <v>11280</v>
      </c>
      <c r="G469" s="767">
        <v>1466.44</v>
      </c>
      <c r="H469" s="785">
        <f t="shared" si="305"/>
        <v>14664.4</v>
      </c>
      <c r="I469" s="482">
        <f t="shared" si="306"/>
        <v>-338.44</v>
      </c>
      <c r="J469" s="481">
        <f t="shared" si="307"/>
        <v>-3384.3999999999996</v>
      </c>
    </row>
    <row r="470" spans="1:12" ht="23.25" customHeight="1" outlineLevel="1" x14ac:dyDescent="0.3">
      <c r="A470" s="443">
        <f t="shared" si="308"/>
        <v>362</v>
      </c>
      <c r="B470" s="428" t="s">
        <v>1547</v>
      </c>
      <c r="C470" s="442" t="s">
        <v>5</v>
      </c>
      <c r="D470" s="568">
        <v>100</v>
      </c>
      <c r="E470" s="575">
        <f t="shared" ref="E470:E471" si="309">ROUND(F470/D470,2)</f>
        <v>34.68</v>
      </c>
      <c r="F470" s="585">
        <v>3467.69</v>
      </c>
      <c r="G470" s="767">
        <v>80</v>
      </c>
      <c r="H470" s="785">
        <f t="shared" si="305"/>
        <v>8000</v>
      </c>
      <c r="I470" s="482">
        <f t="shared" si="306"/>
        <v>-45.32</v>
      </c>
      <c r="J470" s="481">
        <f t="shared" si="307"/>
        <v>-4532.3099999999995</v>
      </c>
    </row>
    <row r="471" spans="1:12" ht="19.5" customHeight="1" outlineLevel="1" x14ac:dyDescent="0.3">
      <c r="A471" s="443">
        <f t="shared" si="308"/>
        <v>363</v>
      </c>
      <c r="B471" s="428" t="s">
        <v>1548</v>
      </c>
      <c r="C471" s="442" t="s">
        <v>5</v>
      </c>
      <c r="D471" s="568">
        <v>100</v>
      </c>
      <c r="E471" s="575">
        <f t="shared" si="309"/>
        <v>53.24</v>
      </c>
      <c r="F471" s="585">
        <v>5324.26</v>
      </c>
      <c r="G471" s="767">
        <v>80</v>
      </c>
      <c r="H471" s="785">
        <f t="shared" si="305"/>
        <v>8000</v>
      </c>
      <c r="I471" s="482">
        <f t="shared" si="306"/>
        <v>-26.76</v>
      </c>
      <c r="J471" s="481">
        <f t="shared" si="307"/>
        <v>-2675.74</v>
      </c>
      <c r="K471" s="478"/>
    </row>
    <row r="472" spans="1:12" s="484" customFormat="1" ht="21.75" customHeight="1" x14ac:dyDescent="0.3">
      <c r="A472" s="555"/>
      <c r="B472" s="612" t="s">
        <v>1895</v>
      </c>
      <c r="C472" s="613"/>
      <c r="D472" s="614"/>
      <c r="E472" s="615"/>
      <c r="F472" s="616">
        <f>SUM(F370:F471)</f>
        <v>54598443.310999982</v>
      </c>
      <c r="G472" s="772"/>
      <c r="H472" s="773">
        <f>SUM(H370:H471)</f>
        <v>72393540.824399978</v>
      </c>
      <c r="I472" s="617"/>
      <c r="J472" s="616">
        <f>SUM(J370:J471)</f>
        <v>-17795097.513400003</v>
      </c>
      <c r="K472" s="550">
        <f>F472+'ТП М'!F350</f>
        <v>596093488.53672206</v>
      </c>
      <c r="L472" s="549"/>
    </row>
    <row r="473" spans="1:12" s="484" customFormat="1" ht="21.75" customHeight="1" x14ac:dyDescent="0.3">
      <c r="A473" s="486"/>
      <c r="B473" s="845" t="s">
        <v>1815</v>
      </c>
      <c r="C473" s="846"/>
      <c r="D473" s="846"/>
      <c r="E473" s="846"/>
      <c r="F473" s="846"/>
      <c r="G473" s="846"/>
      <c r="H473" s="846"/>
      <c r="I473" s="846"/>
      <c r="J473" s="847"/>
      <c r="K473" s="491"/>
    </row>
    <row r="474" spans="1:12" ht="22.5" customHeight="1" outlineLevel="1" x14ac:dyDescent="0.3">
      <c r="A474" s="443">
        <f>A471+1</f>
        <v>364</v>
      </c>
      <c r="B474" s="506" t="s">
        <v>1415</v>
      </c>
      <c r="C474" s="442" t="s">
        <v>5</v>
      </c>
      <c r="D474" s="565">
        <v>125.26</v>
      </c>
      <c r="E474" s="575">
        <f>ROUND(F474/D474,2)</f>
        <v>0</v>
      </c>
      <c r="F474" s="585"/>
      <c r="G474" s="767">
        <v>57.53</v>
      </c>
      <c r="H474" s="785">
        <f t="shared" ref="H474:H475" si="310">ROUND(G474*D474,2)</f>
        <v>7206.21</v>
      </c>
      <c r="I474" s="482">
        <f t="shared" si="306"/>
        <v>-57.53</v>
      </c>
      <c r="J474" s="481">
        <f t="shared" ref="J474:J475" si="311">F474-H474</f>
        <v>-7206.21</v>
      </c>
    </row>
    <row r="475" spans="1:12" ht="21" customHeight="1" outlineLevel="1" x14ac:dyDescent="0.3">
      <c r="A475" s="443">
        <f>A474+1</f>
        <v>365</v>
      </c>
      <c r="B475" s="506" t="s">
        <v>1417</v>
      </c>
      <c r="C475" s="442" t="s">
        <v>1416</v>
      </c>
      <c r="D475" s="565">
        <v>6</v>
      </c>
      <c r="E475" s="575">
        <f>ROUND(F475/D475,2)</f>
        <v>0</v>
      </c>
      <c r="F475" s="585"/>
      <c r="G475" s="767">
        <v>2000</v>
      </c>
      <c r="H475" s="785">
        <f t="shared" si="310"/>
        <v>12000</v>
      </c>
      <c r="I475" s="482">
        <f t="shared" si="306"/>
        <v>-2000</v>
      </c>
      <c r="J475" s="481">
        <f t="shared" si="311"/>
        <v>-12000</v>
      </c>
    </row>
    <row r="476" spans="1:12" s="484" customFormat="1" ht="15" customHeight="1" outlineLevel="1" x14ac:dyDescent="0.3">
      <c r="A476" s="502"/>
      <c r="B476" s="503" t="s">
        <v>1418</v>
      </c>
      <c r="C476" s="504"/>
      <c r="D476" s="505"/>
      <c r="E476" s="566"/>
      <c r="F476" s="586"/>
      <c r="G476" s="786"/>
      <c r="H476" s="787"/>
      <c r="I476" s="567"/>
      <c r="J476" s="590"/>
      <c r="K476" s="491"/>
    </row>
    <row r="477" spans="1:12" ht="35.25" customHeight="1" outlineLevel="1" x14ac:dyDescent="0.3">
      <c r="A477" s="443">
        <f>A475+1</f>
        <v>366</v>
      </c>
      <c r="B477" s="428" t="s">
        <v>1553</v>
      </c>
      <c r="C477" s="442" t="s">
        <v>17</v>
      </c>
      <c r="D477" s="565">
        <v>250.27</v>
      </c>
      <c r="E477" s="575">
        <f t="shared" ref="E477:E479" si="312">ROUND(F477/D477,2)</f>
        <v>9.19</v>
      </c>
      <c r="F477" s="585">
        <v>2299.34</v>
      </c>
      <c r="G477" s="767">
        <v>208</v>
      </c>
      <c r="H477" s="785">
        <f t="shared" ref="H477:H479" si="313">ROUND(G477*D477,2)</f>
        <v>52056.160000000003</v>
      </c>
      <c r="I477" s="482">
        <f t="shared" si="306"/>
        <v>-198.81</v>
      </c>
      <c r="J477" s="481">
        <f t="shared" ref="J477:J479" si="314">F477-H477</f>
        <v>-49756.820000000007</v>
      </c>
    </row>
    <row r="478" spans="1:12" ht="31.5" customHeight="1" outlineLevel="1" x14ac:dyDescent="0.3">
      <c r="A478" s="443">
        <f>A477+1</f>
        <v>367</v>
      </c>
      <c r="B478" s="428" t="s">
        <v>1816</v>
      </c>
      <c r="C478" s="442" t="s">
        <v>17</v>
      </c>
      <c r="D478" s="565">
        <f>D477</f>
        <v>250.27</v>
      </c>
      <c r="E478" s="575">
        <f t="shared" si="312"/>
        <v>55.19</v>
      </c>
      <c r="F478" s="585">
        <f>13811.39+0.44</f>
        <v>13811.83</v>
      </c>
      <c r="G478" s="767">
        <v>260</v>
      </c>
      <c r="H478" s="785">
        <f t="shared" si="313"/>
        <v>65070.2</v>
      </c>
      <c r="I478" s="482">
        <f t="shared" si="306"/>
        <v>-204.81</v>
      </c>
      <c r="J478" s="481">
        <f t="shared" si="314"/>
        <v>-51258.369999999995</v>
      </c>
    </row>
    <row r="479" spans="1:12" ht="35.25" customHeight="1" outlineLevel="1" x14ac:dyDescent="0.3">
      <c r="A479" s="443">
        <f t="shared" ref="A479" si="315">A478+1</f>
        <v>368</v>
      </c>
      <c r="B479" s="428" t="s">
        <v>1817</v>
      </c>
      <c r="C479" s="442" t="s">
        <v>28</v>
      </c>
      <c r="D479" s="565">
        <v>143.56</v>
      </c>
      <c r="E479" s="575">
        <f t="shared" si="312"/>
        <v>637.66999999999996</v>
      </c>
      <c r="F479" s="585">
        <v>91543.2</v>
      </c>
      <c r="G479" s="767">
        <v>250</v>
      </c>
      <c r="H479" s="785">
        <f t="shared" si="313"/>
        <v>35890</v>
      </c>
      <c r="I479" s="482">
        <f t="shared" si="306"/>
        <v>387.67</v>
      </c>
      <c r="J479" s="481">
        <f t="shared" si="314"/>
        <v>55653.2</v>
      </c>
    </row>
    <row r="480" spans="1:12" s="484" customFormat="1" ht="15" customHeight="1" outlineLevel="1" x14ac:dyDescent="0.3">
      <c r="A480" s="502"/>
      <c r="B480" s="503" t="s">
        <v>1820</v>
      </c>
      <c r="C480" s="504"/>
      <c r="D480" s="505"/>
      <c r="E480" s="566"/>
      <c r="F480" s="586"/>
      <c r="G480" s="786"/>
      <c r="H480" s="787"/>
      <c r="I480" s="567"/>
      <c r="J480" s="590"/>
      <c r="K480" s="491"/>
    </row>
    <row r="481" spans="1:12" ht="35.25" customHeight="1" outlineLevel="1" x14ac:dyDescent="0.3">
      <c r="A481" s="443">
        <f>A479+1</f>
        <v>369</v>
      </c>
      <c r="B481" s="428" t="s">
        <v>1737</v>
      </c>
      <c r="C481" s="442" t="s">
        <v>17</v>
      </c>
      <c r="D481" s="565">
        <v>82.26</v>
      </c>
      <c r="E481" s="575">
        <f t="shared" ref="E481:E485" si="316">ROUND(F481/D481,2)</f>
        <v>605.71</v>
      </c>
      <c r="F481" s="585">
        <v>49825.39</v>
      </c>
      <c r="G481" s="767">
        <v>1179.9000000000001</v>
      </c>
      <c r="H481" s="785">
        <f t="shared" ref="H481:H485" si="317">ROUND(G481*D481,2)</f>
        <v>97058.57</v>
      </c>
      <c r="I481" s="482">
        <f t="shared" si="306"/>
        <v>-574.19000000000005</v>
      </c>
      <c r="J481" s="481">
        <f t="shared" ref="J481:J485" si="318">F481-H481</f>
        <v>-47233.180000000008</v>
      </c>
    </row>
    <row r="482" spans="1:12" ht="34.5" customHeight="1" outlineLevel="1" x14ac:dyDescent="0.3">
      <c r="A482" s="443">
        <f>A481+1</f>
        <v>370</v>
      </c>
      <c r="B482" s="428" t="s">
        <v>1855</v>
      </c>
      <c r="C482" s="442" t="s">
        <v>20</v>
      </c>
      <c r="D482" s="565">
        <v>298.13</v>
      </c>
      <c r="E482" s="575">
        <f t="shared" si="316"/>
        <v>86.71</v>
      </c>
      <c r="F482" s="585">
        <v>25849.4</v>
      </c>
      <c r="G482" s="767">
        <v>80</v>
      </c>
      <c r="H482" s="785">
        <f t="shared" si="317"/>
        <v>23850.400000000001</v>
      </c>
      <c r="I482" s="482">
        <f t="shared" si="306"/>
        <v>6.71</v>
      </c>
      <c r="J482" s="481">
        <f t="shared" si="318"/>
        <v>1999</v>
      </c>
    </row>
    <row r="483" spans="1:12" ht="30" customHeight="1" outlineLevel="1" x14ac:dyDescent="0.3">
      <c r="A483" s="443">
        <f t="shared" ref="A483:A485" si="319">A482+1</f>
        <v>371</v>
      </c>
      <c r="B483" s="428" t="s">
        <v>1818</v>
      </c>
      <c r="C483" s="442" t="s">
        <v>17</v>
      </c>
      <c r="D483" s="572">
        <v>80.36</v>
      </c>
      <c r="E483" s="576">
        <f t="shared" si="316"/>
        <v>2459.25</v>
      </c>
      <c r="F483" s="587">
        <f>ROUND(327154.31/133.03*D483,2)-0.17</f>
        <v>197625.33</v>
      </c>
      <c r="G483" s="767">
        <v>2459.25</v>
      </c>
      <c r="H483" s="785">
        <f t="shared" si="317"/>
        <v>197625.33</v>
      </c>
      <c r="I483" s="482">
        <f t="shared" si="306"/>
        <v>0</v>
      </c>
      <c r="J483" s="481">
        <f t="shared" si="318"/>
        <v>0</v>
      </c>
      <c r="K483" s="553"/>
      <c r="L483" s="539"/>
    </row>
    <row r="484" spans="1:12" ht="30" customHeight="1" outlineLevel="1" x14ac:dyDescent="0.3">
      <c r="A484" s="443">
        <f t="shared" si="319"/>
        <v>372</v>
      </c>
      <c r="B484" s="428" t="s">
        <v>1818</v>
      </c>
      <c r="C484" s="442" t="s">
        <v>17</v>
      </c>
      <c r="D484" s="572">
        <v>27.85</v>
      </c>
      <c r="E484" s="576">
        <f t="shared" si="316"/>
        <v>2459.25</v>
      </c>
      <c r="F484" s="587">
        <f>ROUND(327154.31/133.03*D484,2)-0.06</f>
        <v>68490.11</v>
      </c>
      <c r="G484" s="767">
        <v>2459.25</v>
      </c>
      <c r="H484" s="785">
        <f t="shared" si="317"/>
        <v>68490.11</v>
      </c>
      <c r="I484" s="482">
        <f t="shared" si="306"/>
        <v>0</v>
      </c>
      <c r="J484" s="481">
        <f t="shared" si="318"/>
        <v>0</v>
      </c>
      <c r="K484" s="553"/>
      <c r="L484" s="539"/>
    </row>
    <row r="485" spans="1:12" ht="30" customHeight="1" outlineLevel="1" x14ac:dyDescent="0.3">
      <c r="A485" s="443">
        <f t="shared" si="319"/>
        <v>373</v>
      </c>
      <c r="B485" s="428" t="s">
        <v>1819</v>
      </c>
      <c r="C485" s="442" t="s">
        <v>17</v>
      </c>
      <c r="D485" s="572">
        <v>24.82</v>
      </c>
      <c r="E485" s="577">
        <f t="shared" si="316"/>
        <v>2459.25</v>
      </c>
      <c r="F485" s="587">
        <f>ROUND(327154.31/133.03*D485,2)-0.05</f>
        <v>61038.59</v>
      </c>
      <c r="G485" s="767">
        <v>2459.25</v>
      </c>
      <c r="H485" s="785">
        <f t="shared" si="317"/>
        <v>61038.59</v>
      </c>
      <c r="I485" s="482">
        <f t="shared" si="306"/>
        <v>0</v>
      </c>
      <c r="J485" s="481">
        <f t="shared" si="318"/>
        <v>0</v>
      </c>
      <c r="K485" s="553"/>
      <c r="L485" s="539"/>
    </row>
    <row r="486" spans="1:12" s="484" customFormat="1" ht="15" customHeight="1" outlineLevel="1" x14ac:dyDescent="0.3">
      <c r="A486" s="502"/>
      <c r="B486" s="503" t="s">
        <v>1450</v>
      </c>
      <c r="C486" s="504"/>
      <c r="D486" s="505"/>
      <c r="E486" s="566"/>
      <c r="F486" s="586"/>
      <c r="G486" s="786"/>
      <c r="H486" s="787"/>
      <c r="I486" s="567"/>
      <c r="J486" s="590"/>
      <c r="K486" s="491"/>
    </row>
    <row r="487" spans="1:12" ht="33.75" customHeight="1" outlineLevel="1" x14ac:dyDescent="0.3">
      <c r="A487" s="852">
        <f>A485+1</f>
        <v>374</v>
      </c>
      <c r="B487" s="428" t="s">
        <v>1821</v>
      </c>
      <c r="C487" s="442" t="s">
        <v>5</v>
      </c>
      <c r="D487" s="565">
        <v>15.33</v>
      </c>
      <c r="E487" s="854">
        <f t="shared" ref="E487" si="320">ROUND(F487/D487,2)</f>
        <v>1909.52</v>
      </c>
      <c r="F487" s="856">
        <v>29273</v>
      </c>
      <c r="G487" s="858">
        <v>1909.52</v>
      </c>
      <c r="H487" s="843">
        <v>29273</v>
      </c>
      <c r="I487" s="848">
        <f t="shared" ref="I487" si="321">ROUND(E487-G487,2)</f>
        <v>0</v>
      </c>
      <c r="J487" s="850">
        <f>F487-H487-H488</f>
        <v>0</v>
      </c>
    </row>
    <row r="488" spans="1:12" ht="30" customHeight="1" outlineLevel="1" x14ac:dyDescent="0.3">
      <c r="A488" s="853"/>
      <c r="B488" s="428" t="s">
        <v>1585</v>
      </c>
      <c r="C488" s="442" t="s">
        <v>40</v>
      </c>
      <c r="D488" s="568">
        <v>14</v>
      </c>
      <c r="E488" s="855"/>
      <c r="F488" s="857"/>
      <c r="G488" s="859"/>
      <c r="H488" s="844"/>
      <c r="I488" s="849"/>
      <c r="J488" s="851"/>
    </row>
    <row r="489" spans="1:12" ht="34.5" customHeight="1" outlineLevel="1" x14ac:dyDescent="0.3">
      <c r="A489" s="852">
        <f>A487+1</f>
        <v>375</v>
      </c>
      <c r="B489" s="428" t="s">
        <v>1750</v>
      </c>
      <c r="C489" s="442" t="s">
        <v>5</v>
      </c>
      <c r="D489" s="565">
        <v>50.46</v>
      </c>
      <c r="E489" s="854">
        <f>F489/D489</f>
        <v>2591.8000396353546</v>
      </c>
      <c r="F489" s="856">
        <f>182600.3-22682.5-10142.03-52237.46-1184.13+(114871.65-80443.42)-0.18</f>
        <v>130782.23</v>
      </c>
      <c r="G489" s="860">
        <v>2591.8000000000002</v>
      </c>
      <c r="H489" s="843">
        <f t="shared" ref="H489" si="322">G489*D489</f>
        <v>130782.22800000002</v>
      </c>
      <c r="I489" s="848">
        <f t="shared" ref="I489" si="323">ROUND(E489-G489,2)</f>
        <v>0</v>
      </c>
      <c r="J489" s="850">
        <f>F489-H489-H490</f>
        <v>1.9999999785795808E-3</v>
      </c>
    </row>
    <row r="490" spans="1:12" ht="30" customHeight="1" outlineLevel="1" x14ac:dyDescent="0.3">
      <c r="A490" s="853"/>
      <c r="B490" s="428" t="s">
        <v>1585</v>
      </c>
      <c r="C490" s="442" t="s">
        <v>40</v>
      </c>
      <c r="D490" s="568">
        <v>16</v>
      </c>
      <c r="E490" s="855"/>
      <c r="F490" s="857"/>
      <c r="G490" s="861"/>
      <c r="H490" s="844"/>
      <c r="I490" s="849"/>
      <c r="J490" s="851"/>
    </row>
    <row r="491" spans="1:12" s="484" customFormat="1" ht="15" customHeight="1" outlineLevel="1" x14ac:dyDescent="0.3">
      <c r="A491" s="502"/>
      <c r="B491" s="503" t="s">
        <v>1822</v>
      </c>
      <c r="C491" s="504"/>
      <c r="D491" s="505"/>
      <c r="E491" s="566"/>
      <c r="F491" s="586"/>
      <c r="G491" s="786"/>
      <c r="H491" s="787"/>
      <c r="I491" s="567"/>
      <c r="J491" s="590"/>
      <c r="K491" s="491"/>
    </row>
    <row r="492" spans="1:12" ht="23.25" customHeight="1" outlineLevel="1" x14ac:dyDescent="0.3">
      <c r="A492" s="443">
        <f>A489+1</f>
        <v>376</v>
      </c>
      <c r="B492" s="428" t="s">
        <v>1469</v>
      </c>
      <c r="C492" s="442" t="s">
        <v>1446</v>
      </c>
      <c r="D492" s="568">
        <v>14</v>
      </c>
      <c r="E492" s="575">
        <f>ROUND(F492/D492,2)</f>
        <v>3561.88</v>
      </c>
      <c r="F492" s="585">
        <v>49866.32</v>
      </c>
      <c r="G492" s="767">
        <v>15000</v>
      </c>
      <c r="H492" s="785">
        <f t="shared" ref="H492:H495" si="324">ROUND(G492*D492,2)</f>
        <v>210000</v>
      </c>
      <c r="I492" s="482">
        <f t="shared" ref="I492:I495" si="325">ROUND(E492-G492,2)</f>
        <v>-11438.12</v>
      </c>
      <c r="J492" s="481">
        <f t="shared" ref="J492:J495" si="326">F492-H492</f>
        <v>-160133.68</v>
      </c>
    </row>
    <row r="493" spans="1:12" ht="21.75" customHeight="1" outlineLevel="1" x14ac:dyDescent="0.3">
      <c r="A493" s="443">
        <f>A492+1</f>
        <v>377</v>
      </c>
      <c r="B493" s="428" t="s">
        <v>1823</v>
      </c>
      <c r="C493" s="442" t="s">
        <v>1446</v>
      </c>
      <c r="D493" s="568">
        <v>14</v>
      </c>
      <c r="E493" s="575">
        <f t="shared" ref="E493:E495" si="327">ROUND(F493/D493,2)</f>
        <v>5140.8999999999996</v>
      </c>
      <c r="F493" s="585">
        <v>71972.66</v>
      </c>
      <c r="G493" s="767">
        <v>5000</v>
      </c>
      <c r="H493" s="785">
        <f t="shared" si="324"/>
        <v>70000</v>
      </c>
      <c r="I493" s="482">
        <f t="shared" si="325"/>
        <v>140.9</v>
      </c>
      <c r="J493" s="481">
        <f t="shared" si="326"/>
        <v>1972.6600000000035</v>
      </c>
    </row>
    <row r="494" spans="1:12" ht="20.25" customHeight="1" outlineLevel="1" x14ac:dyDescent="0.3">
      <c r="A494" s="443">
        <f t="shared" ref="A494:A495" si="328">A493+1</f>
        <v>378</v>
      </c>
      <c r="B494" s="428" t="s">
        <v>1826</v>
      </c>
      <c r="C494" s="442" t="s">
        <v>1390</v>
      </c>
      <c r="D494" s="568">
        <v>236</v>
      </c>
      <c r="E494" s="575">
        <f t="shared" si="327"/>
        <v>36.99</v>
      </c>
      <c r="F494" s="585">
        <f>ROUND((741027.15-723568.72)/(236+236)*D494,2)</f>
        <v>8729.2199999999993</v>
      </c>
      <c r="G494" s="767">
        <v>77.599999999999994</v>
      </c>
      <c r="H494" s="785">
        <f t="shared" si="324"/>
        <v>18313.599999999999</v>
      </c>
      <c r="I494" s="482">
        <f t="shared" si="325"/>
        <v>-40.61</v>
      </c>
      <c r="J494" s="481">
        <f t="shared" si="326"/>
        <v>-9584.3799999999992</v>
      </c>
    </row>
    <row r="495" spans="1:12" ht="20.25" customHeight="1" outlineLevel="1" x14ac:dyDescent="0.3">
      <c r="A495" s="443">
        <f t="shared" si="328"/>
        <v>379</v>
      </c>
      <c r="B495" s="428" t="s">
        <v>1825</v>
      </c>
      <c r="C495" s="442" t="s">
        <v>1390</v>
      </c>
      <c r="D495" s="568">
        <v>236</v>
      </c>
      <c r="E495" s="575">
        <f t="shared" si="327"/>
        <v>36.99</v>
      </c>
      <c r="F495" s="585">
        <f>ROUND((741027.15-723568.72)/(236+236)*D495,2)</f>
        <v>8729.2199999999993</v>
      </c>
      <c r="G495" s="767">
        <v>77.599999999999994</v>
      </c>
      <c r="H495" s="785">
        <f t="shared" si="324"/>
        <v>18313.599999999999</v>
      </c>
      <c r="I495" s="482">
        <f t="shared" si="325"/>
        <v>-40.61</v>
      </c>
      <c r="J495" s="481">
        <f t="shared" si="326"/>
        <v>-9584.3799999999992</v>
      </c>
    </row>
    <row r="496" spans="1:12" s="484" customFormat="1" ht="15" customHeight="1" outlineLevel="1" x14ac:dyDescent="0.3">
      <c r="A496" s="502"/>
      <c r="B496" s="503" t="s">
        <v>1512</v>
      </c>
      <c r="C496" s="504"/>
      <c r="D496" s="505"/>
      <c r="E496" s="566"/>
      <c r="F496" s="586"/>
      <c r="G496" s="786"/>
      <c r="H496" s="787"/>
      <c r="I496" s="567"/>
      <c r="J496" s="590"/>
      <c r="K496" s="491"/>
    </row>
    <row r="497" spans="1:12" ht="21.75" customHeight="1" outlineLevel="1" x14ac:dyDescent="0.3">
      <c r="A497" s="443">
        <f>A495+1</f>
        <v>380</v>
      </c>
      <c r="B497" s="428" t="s">
        <v>1513</v>
      </c>
      <c r="C497" s="442" t="s">
        <v>20</v>
      </c>
      <c r="D497" s="568">
        <v>82</v>
      </c>
      <c r="E497" s="575">
        <f t="shared" ref="E497" si="329">ROUND(F497/D497,2)</f>
        <v>957</v>
      </c>
      <c r="F497" s="585">
        <v>78474</v>
      </c>
      <c r="G497" s="767">
        <v>957</v>
      </c>
      <c r="H497" s="785">
        <f t="shared" ref="H497" si="330">ROUND(G497*D497,2)</f>
        <v>78474</v>
      </c>
      <c r="I497" s="482">
        <f t="shared" ref="I497" si="331">ROUND(E497-G497,2)</f>
        <v>0</v>
      </c>
      <c r="J497" s="481">
        <f t="shared" ref="J497:J499" si="332">F497-H497</f>
        <v>0</v>
      </c>
    </row>
    <row r="498" spans="1:12" s="484" customFormat="1" ht="15" customHeight="1" outlineLevel="1" x14ac:dyDescent="0.3">
      <c r="A498" s="535"/>
      <c r="B498" s="503" t="s">
        <v>1828</v>
      </c>
      <c r="C498" s="504"/>
      <c r="D498" s="505"/>
      <c r="E498" s="566"/>
      <c r="F498" s="586"/>
      <c r="G498" s="786"/>
      <c r="H498" s="787"/>
      <c r="I498" s="567"/>
      <c r="J498" s="590"/>
      <c r="K498" s="491"/>
    </row>
    <row r="499" spans="1:12" ht="21" customHeight="1" outlineLevel="1" x14ac:dyDescent="0.3">
      <c r="A499" s="443">
        <f>A497+1</f>
        <v>381</v>
      </c>
      <c r="B499" s="428" t="s">
        <v>1521</v>
      </c>
      <c r="C499" s="442" t="s">
        <v>40</v>
      </c>
      <c r="D499" s="568">
        <v>1</v>
      </c>
      <c r="E499" s="575">
        <f>ROUND(F499/D499,2)</f>
        <v>1648.18</v>
      </c>
      <c r="F499" s="585">
        <f>1648.18</f>
        <v>1648.18</v>
      </c>
      <c r="G499" s="767">
        <v>1648.18</v>
      </c>
      <c r="H499" s="785">
        <f t="shared" ref="H499" si="333">ROUND(G499*D499,2)</f>
        <v>1648.18</v>
      </c>
      <c r="I499" s="482">
        <f t="shared" ref="I499" si="334">ROUND(E499-G499,2)</f>
        <v>0</v>
      </c>
      <c r="J499" s="481">
        <f t="shared" si="332"/>
        <v>0</v>
      </c>
    </row>
    <row r="500" spans="1:12" s="484" customFormat="1" ht="15" customHeight="1" outlineLevel="1" x14ac:dyDescent="0.3">
      <c r="A500" s="535"/>
      <c r="B500" s="503" t="s">
        <v>1522</v>
      </c>
      <c r="C500" s="504"/>
      <c r="D500" s="505"/>
      <c r="E500" s="566"/>
      <c r="F500" s="586"/>
      <c r="G500" s="786"/>
      <c r="H500" s="787"/>
      <c r="I500" s="567"/>
      <c r="J500" s="590"/>
      <c r="K500" s="491"/>
    </row>
    <row r="501" spans="1:12" ht="31.5" customHeight="1" outlineLevel="1" x14ac:dyDescent="0.3">
      <c r="A501" s="443">
        <f>A499+1</f>
        <v>382</v>
      </c>
      <c r="B501" s="428" t="s">
        <v>1527</v>
      </c>
      <c r="C501" s="442" t="s">
        <v>17</v>
      </c>
      <c r="D501" s="565">
        <v>0.73</v>
      </c>
      <c r="E501" s="575">
        <f>ROUND(F501/D501,2)</f>
        <v>1317.1</v>
      </c>
      <c r="F501" s="585">
        <v>961.48</v>
      </c>
      <c r="G501" s="767">
        <v>1680</v>
      </c>
      <c r="H501" s="785">
        <f t="shared" ref="H501" si="335">ROUND(G501*D501,2)</f>
        <v>1226.4000000000001</v>
      </c>
      <c r="I501" s="482">
        <f t="shared" ref="I501:I502" si="336">ROUND(E501-G501,2)</f>
        <v>-362.9</v>
      </c>
      <c r="J501" s="481">
        <f>F501-H501</f>
        <v>-264.92000000000007</v>
      </c>
    </row>
    <row r="502" spans="1:12" ht="21.75" customHeight="1" outlineLevel="1" x14ac:dyDescent="0.3">
      <c r="A502" s="852">
        <f>A501+1</f>
        <v>383</v>
      </c>
      <c r="B502" s="428" t="s">
        <v>1523</v>
      </c>
      <c r="C502" s="442" t="s">
        <v>17</v>
      </c>
      <c r="D502" s="565">
        <v>1.3</v>
      </c>
      <c r="E502" s="854">
        <f>ROUND(F502/D503,2)</f>
        <v>950.56</v>
      </c>
      <c r="F502" s="856">
        <f>24714.56</f>
        <v>24714.560000000001</v>
      </c>
      <c r="G502" s="858">
        <v>950.56</v>
      </c>
      <c r="H502" s="843">
        <f>G502*D503</f>
        <v>24714.559999999998</v>
      </c>
      <c r="I502" s="848">
        <f t="shared" si="336"/>
        <v>0</v>
      </c>
      <c r="J502" s="850">
        <f>F502-H502</f>
        <v>0</v>
      </c>
      <c r="K502" s="489">
        <f>4957236.22-3756613.61</f>
        <v>1200622.6099999999</v>
      </c>
    </row>
    <row r="503" spans="1:12" ht="21" customHeight="1" outlineLevel="1" x14ac:dyDescent="0.3">
      <c r="A503" s="853"/>
      <c r="B503" s="428" t="s">
        <v>1386</v>
      </c>
      <c r="C503" s="442" t="s">
        <v>5</v>
      </c>
      <c r="D503" s="568">
        <v>26</v>
      </c>
      <c r="E503" s="855"/>
      <c r="F503" s="857"/>
      <c r="G503" s="859"/>
      <c r="H503" s="844"/>
      <c r="I503" s="849"/>
      <c r="J503" s="851"/>
    </row>
    <row r="504" spans="1:12" s="484" customFormat="1" ht="15" customHeight="1" outlineLevel="1" x14ac:dyDescent="0.3">
      <c r="A504" s="535"/>
      <c r="B504" s="503" t="s">
        <v>1829</v>
      </c>
      <c r="C504" s="504"/>
      <c r="D504" s="505"/>
      <c r="E504" s="566"/>
      <c r="F504" s="586"/>
      <c r="G504" s="786"/>
      <c r="H504" s="787"/>
      <c r="I504" s="567"/>
      <c r="J504" s="590"/>
      <c r="K504" s="491"/>
    </row>
    <row r="505" spans="1:12" ht="33.75" customHeight="1" outlineLevel="1" x14ac:dyDescent="0.3">
      <c r="A505" s="443">
        <f>A502+1</f>
        <v>384</v>
      </c>
      <c r="B505" s="428" t="s">
        <v>1830</v>
      </c>
      <c r="C505" s="442" t="s">
        <v>1131</v>
      </c>
      <c r="D505" s="565">
        <v>65.790000000000006</v>
      </c>
      <c r="E505" s="575">
        <f>ROUND(F505/D505,2)</f>
        <v>1051.8499999999999</v>
      </c>
      <c r="F505" s="585">
        <f>69201.14</f>
        <v>69201.14</v>
      </c>
      <c r="G505" s="767">
        <v>1788.15</v>
      </c>
      <c r="H505" s="785">
        <f t="shared" ref="H505" si="337">G505*D505</f>
        <v>117642.38850000002</v>
      </c>
      <c r="I505" s="482">
        <f t="shared" ref="I505:I507" si="338">ROUND(E505-G505,2)</f>
        <v>-736.3</v>
      </c>
      <c r="J505" s="481">
        <f t="shared" ref="J505" si="339">F505-H505</f>
        <v>-48441.248500000016</v>
      </c>
    </row>
    <row r="506" spans="1:12" ht="20.25" customHeight="1" outlineLevel="1" x14ac:dyDescent="0.3">
      <c r="A506" s="443">
        <f>A505+1</f>
        <v>385</v>
      </c>
      <c r="B506" s="540" t="s">
        <v>1534</v>
      </c>
      <c r="C506" s="442" t="s">
        <v>1131</v>
      </c>
      <c r="D506" s="565">
        <v>4442.26</v>
      </c>
      <c r="E506" s="575">
        <f t="shared" ref="E506:E507" si="340">ROUND(F506/D506,2)</f>
        <v>0</v>
      </c>
      <c r="F506" s="585"/>
      <c r="G506" s="767"/>
      <c r="H506" s="785">
        <f t="shared" ref="H506:H507" si="341">ROUND(G506*D506,2)</f>
        <v>0</v>
      </c>
      <c r="I506" s="482">
        <f t="shared" si="338"/>
        <v>0</v>
      </c>
      <c r="J506" s="481">
        <f t="shared" ref="J506:J507" si="342">F506-H506</f>
        <v>0</v>
      </c>
      <c r="K506" s="489" t="s">
        <v>1536</v>
      </c>
    </row>
    <row r="507" spans="1:12" ht="20.25" customHeight="1" outlineLevel="1" x14ac:dyDescent="0.3">
      <c r="A507" s="443">
        <f t="shared" ref="A507" si="343">A506+1</f>
        <v>386</v>
      </c>
      <c r="B507" s="540" t="s">
        <v>1535</v>
      </c>
      <c r="C507" s="442" t="s">
        <v>1131</v>
      </c>
      <c r="D507" s="565">
        <v>4442.26</v>
      </c>
      <c r="E507" s="575">
        <f t="shared" si="340"/>
        <v>0</v>
      </c>
      <c r="F507" s="585"/>
      <c r="G507" s="767"/>
      <c r="H507" s="785">
        <f t="shared" si="341"/>
        <v>0</v>
      </c>
      <c r="I507" s="482">
        <f t="shared" si="338"/>
        <v>0</v>
      </c>
      <c r="J507" s="481">
        <f t="shared" si="342"/>
        <v>0</v>
      </c>
      <c r="K507" s="489" t="s">
        <v>1536</v>
      </c>
    </row>
    <row r="508" spans="1:12" s="484" customFormat="1" ht="21.75" customHeight="1" x14ac:dyDescent="0.3">
      <c r="A508" s="555"/>
      <c r="B508" s="612" t="s">
        <v>1894</v>
      </c>
      <c r="C508" s="613"/>
      <c r="D508" s="614"/>
      <c r="E508" s="615"/>
      <c r="F508" s="616">
        <f>SUM(F474:F507)</f>
        <v>984835.2</v>
      </c>
      <c r="G508" s="772"/>
      <c r="H508" s="773">
        <f>SUM(H474:H507)</f>
        <v>1320673.5265000002</v>
      </c>
      <c r="I508" s="617"/>
      <c r="J508" s="616">
        <f>SUM(J474:J507)</f>
        <v>-335838.32650000008</v>
      </c>
      <c r="K508" s="550">
        <f>F508+'ТП М'!F380</f>
        <v>6875680.710029236</v>
      </c>
      <c r="L508" s="549"/>
    </row>
    <row r="509" spans="1:12" s="484" customFormat="1" ht="21.75" customHeight="1" x14ac:dyDescent="0.3">
      <c r="A509" s="486"/>
      <c r="B509" s="845" t="s">
        <v>1831</v>
      </c>
      <c r="C509" s="846"/>
      <c r="D509" s="846"/>
      <c r="E509" s="846"/>
      <c r="F509" s="846"/>
      <c r="G509" s="846"/>
      <c r="H509" s="846"/>
      <c r="I509" s="846"/>
      <c r="J509" s="847"/>
      <c r="K509" s="491"/>
    </row>
    <row r="510" spans="1:12" ht="22.5" customHeight="1" outlineLevel="1" x14ac:dyDescent="0.3">
      <c r="A510" s="443">
        <f>A507+1</f>
        <v>387</v>
      </c>
      <c r="B510" s="506" t="s">
        <v>1415</v>
      </c>
      <c r="C510" s="442" t="s">
        <v>5</v>
      </c>
      <c r="D510" s="565">
        <v>322.24</v>
      </c>
      <c r="E510" s="575">
        <f>ROUND(F510/D510,2)</f>
        <v>0</v>
      </c>
      <c r="F510" s="585"/>
      <c r="G510" s="767">
        <v>57.53</v>
      </c>
      <c r="H510" s="785">
        <f t="shared" ref="H510:H511" si="344">ROUND(G510*D510,2)</f>
        <v>18538.47</v>
      </c>
      <c r="I510" s="482">
        <f t="shared" ref="I510:I511" si="345">ROUND(E510-G510,2)</f>
        <v>-57.53</v>
      </c>
      <c r="J510" s="481">
        <f t="shared" ref="J510:J511" si="346">F510-H510</f>
        <v>-18538.47</v>
      </c>
    </row>
    <row r="511" spans="1:12" ht="21" customHeight="1" outlineLevel="1" x14ac:dyDescent="0.3">
      <c r="A511" s="443">
        <f>A510+1</f>
        <v>388</v>
      </c>
      <c r="B511" s="506" t="s">
        <v>1417</v>
      </c>
      <c r="C511" s="442" t="s">
        <v>1416</v>
      </c>
      <c r="D511" s="568">
        <v>9</v>
      </c>
      <c r="E511" s="575">
        <f>ROUND(F511/D511,2)</f>
        <v>0</v>
      </c>
      <c r="F511" s="585"/>
      <c r="G511" s="767">
        <v>2000</v>
      </c>
      <c r="H511" s="785">
        <f t="shared" si="344"/>
        <v>18000</v>
      </c>
      <c r="I511" s="482">
        <f t="shared" si="345"/>
        <v>-2000</v>
      </c>
      <c r="J511" s="481">
        <f t="shared" si="346"/>
        <v>-18000</v>
      </c>
    </row>
    <row r="512" spans="1:12" s="484" customFormat="1" ht="15" customHeight="1" outlineLevel="1" x14ac:dyDescent="0.3">
      <c r="A512" s="502"/>
      <c r="B512" s="503" t="s">
        <v>1418</v>
      </c>
      <c r="C512" s="504"/>
      <c r="D512" s="505"/>
      <c r="E512" s="566"/>
      <c r="F512" s="586"/>
      <c r="G512" s="786"/>
      <c r="H512" s="787"/>
      <c r="I512" s="567"/>
      <c r="J512" s="590"/>
      <c r="K512" s="491"/>
    </row>
    <row r="513" spans="1:12" ht="35.25" customHeight="1" outlineLevel="1" x14ac:dyDescent="0.3">
      <c r="A513" s="443">
        <f>A511+1</f>
        <v>389</v>
      </c>
      <c r="B513" s="428" t="s">
        <v>1553</v>
      </c>
      <c r="C513" s="442" t="s">
        <v>17</v>
      </c>
      <c r="D513" s="565">
        <v>313.16000000000003</v>
      </c>
      <c r="E513" s="575">
        <f t="shared" ref="E513:E515" si="347">ROUND(F513/D513,2)</f>
        <v>9.19</v>
      </c>
      <c r="F513" s="585">
        <v>2877.13</v>
      </c>
      <c r="G513" s="767">
        <v>208</v>
      </c>
      <c r="H513" s="785">
        <f t="shared" ref="H513:H518" si="348">ROUND(G513*D513,2)</f>
        <v>65137.279999999999</v>
      </c>
      <c r="I513" s="482">
        <f t="shared" ref="I513:I518" si="349">ROUND(E513-G513,2)</f>
        <v>-198.81</v>
      </c>
      <c r="J513" s="481">
        <f t="shared" ref="J513:J515" si="350">F513-H513</f>
        <v>-62260.15</v>
      </c>
    </row>
    <row r="514" spans="1:12" ht="31.5" customHeight="1" outlineLevel="1" x14ac:dyDescent="0.3">
      <c r="A514" s="443">
        <f>A513+1</f>
        <v>390</v>
      </c>
      <c r="B514" s="428" t="s">
        <v>1832</v>
      </c>
      <c r="C514" s="442" t="s">
        <v>17</v>
      </c>
      <c r="D514" s="565">
        <f>D513</f>
        <v>313.16000000000003</v>
      </c>
      <c r="E514" s="575">
        <f t="shared" si="347"/>
        <v>55.19</v>
      </c>
      <c r="F514" s="585">
        <v>17282.04</v>
      </c>
      <c r="G514" s="767">
        <v>260</v>
      </c>
      <c r="H514" s="785">
        <f t="shared" si="348"/>
        <v>81421.600000000006</v>
      </c>
      <c r="I514" s="482">
        <f t="shared" si="349"/>
        <v>-204.81</v>
      </c>
      <c r="J514" s="481">
        <f t="shared" si="350"/>
        <v>-64139.560000000005</v>
      </c>
    </row>
    <row r="515" spans="1:12" ht="35.25" customHeight="1" outlineLevel="1" x14ac:dyDescent="0.3">
      <c r="A515" s="443">
        <f t="shared" ref="A515:A518" si="351">A514+1</f>
        <v>391</v>
      </c>
      <c r="B515" s="428" t="s">
        <v>1833</v>
      </c>
      <c r="C515" s="442" t="s">
        <v>28</v>
      </c>
      <c r="D515" s="565">
        <v>610.66</v>
      </c>
      <c r="E515" s="575">
        <f t="shared" si="347"/>
        <v>187.58</v>
      </c>
      <c r="F515" s="585">
        <v>114545.77</v>
      </c>
      <c r="G515" s="767">
        <v>250</v>
      </c>
      <c r="H515" s="785">
        <f t="shared" si="348"/>
        <v>152665</v>
      </c>
      <c r="I515" s="482">
        <f t="shared" si="349"/>
        <v>-62.42</v>
      </c>
      <c r="J515" s="481">
        <f t="shared" si="350"/>
        <v>-38119.229999999996</v>
      </c>
    </row>
    <row r="516" spans="1:12" ht="35.25" customHeight="1" outlineLevel="1" x14ac:dyDescent="0.3">
      <c r="A516" s="443">
        <f t="shared" si="351"/>
        <v>392</v>
      </c>
      <c r="B516" s="428" t="s">
        <v>1834</v>
      </c>
      <c r="C516" s="442" t="s">
        <v>17</v>
      </c>
      <c r="D516" s="565">
        <v>112.53</v>
      </c>
      <c r="E516" s="575">
        <f t="shared" ref="E516:E518" si="352">ROUND(F516/D516,2)</f>
        <v>9.19</v>
      </c>
      <c r="F516" s="585">
        <v>1033.8599999999999</v>
      </c>
      <c r="G516" s="767">
        <v>208</v>
      </c>
      <c r="H516" s="785">
        <f t="shared" si="348"/>
        <v>23406.240000000002</v>
      </c>
      <c r="I516" s="482">
        <f t="shared" si="349"/>
        <v>-198.81</v>
      </c>
      <c r="J516" s="481">
        <f t="shared" ref="J516:J518" si="353">F516-H516</f>
        <v>-22372.38</v>
      </c>
    </row>
    <row r="517" spans="1:12" ht="31.5" customHeight="1" outlineLevel="1" x14ac:dyDescent="0.3">
      <c r="A517" s="443">
        <f t="shared" si="351"/>
        <v>393</v>
      </c>
      <c r="B517" s="428" t="s">
        <v>1835</v>
      </c>
      <c r="C517" s="442" t="s">
        <v>17</v>
      </c>
      <c r="D517" s="565">
        <f>D516</f>
        <v>112.53</v>
      </c>
      <c r="E517" s="575">
        <f t="shared" si="352"/>
        <v>55.19</v>
      </c>
      <c r="F517" s="585">
        <v>6210.08</v>
      </c>
      <c r="G517" s="767">
        <v>260</v>
      </c>
      <c r="H517" s="785">
        <f t="shared" si="348"/>
        <v>29257.8</v>
      </c>
      <c r="I517" s="482">
        <f t="shared" si="349"/>
        <v>-204.81</v>
      </c>
      <c r="J517" s="481">
        <f t="shared" si="353"/>
        <v>-23047.72</v>
      </c>
    </row>
    <row r="518" spans="1:12" ht="35.25" customHeight="1" outlineLevel="1" x14ac:dyDescent="0.3">
      <c r="A518" s="443">
        <f t="shared" si="351"/>
        <v>394</v>
      </c>
      <c r="B518" s="428" t="s">
        <v>1836</v>
      </c>
      <c r="C518" s="442" t="s">
        <v>28</v>
      </c>
      <c r="D518" s="565">
        <v>214.93</v>
      </c>
      <c r="E518" s="575">
        <f t="shared" si="352"/>
        <v>187.58</v>
      </c>
      <c r="F518" s="585">
        <v>40315.919999999998</v>
      </c>
      <c r="G518" s="767">
        <v>250</v>
      </c>
      <c r="H518" s="785">
        <f t="shared" si="348"/>
        <v>53732.5</v>
      </c>
      <c r="I518" s="482">
        <f t="shared" si="349"/>
        <v>-62.42</v>
      </c>
      <c r="J518" s="481">
        <f t="shared" si="353"/>
        <v>-13416.580000000002</v>
      </c>
    </row>
    <row r="519" spans="1:12" s="484" customFormat="1" ht="15" customHeight="1" outlineLevel="1" x14ac:dyDescent="0.3">
      <c r="A519" s="502"/>
      <c r="B519" s="503" t="s">
        <v>1837</v>
      </c>
      <c r="C519" s="504"/>
      <c r="D519" s="505"/>
      <c r="E519" s="566"/>
      <c r="F519" s="586"/>
      <c r="G519" s="786"/>
      <c r="H519" s="787"/>
      <c r="I519" s="567"/>
      <c r="J519" s="590"/>
      <c r="K519" s="491"/>
    </row>
    <row r="520" spans="1:12" ht="35.25" customHeight="1" outlineLevel="1" x14ac:dyDescent="0.3">
      <c r="A520" s="443">
        <f>A518+1</f>
        <v>395</v>
      </c>
      <c r="B520" s="428" t="s">
        <v>1737</v>
      </c>
      <c r="C520" s="442" t="s">
        <v>17</v>
      </c>
      <c r="D520" s="565">
        <v>184.63</v>
      </c>
      <c r="E520" s="575">
        <f t="shared" ref="E520:E522" si="354">ROUND(F520/D520,2)</f>
        <v>605.71</v>
      </c>
      <c r="F520" s="585">
        <v>111831.51</v>
      </c>
      <c r="G520" s="767">
        <v>1179.9000000000001</v>
      </c>
      <c r="H520" s="785">
        <f t="shared" ref="H520:H522" si="355">ROUND(G520*D520,2)</f>
        <v>217844.94</v>
      </c>
      <c r="I520" s="482">
        <f t="shared" ref="I520:I522" si="356">ROUND(E520-G520,2)</f>
        <v>-574.19000000000005</v>
      </c>
      <c r="J520" s="481">
        <f t="shared" ref="J520:J521" si="357">F520-H520</f>
        <v>-106013.43000000001</v>
      </c>
    </row>
    <row r="521" spans="1:12" ht="34.5" customHeight="1" outlineLevel="1" x14ac:dyDescent="0.3">
      <c r="A521" s="443">
        <f>A520+1</f>
        <v>396</v>
      </c>
      <c r="B521" s="428" t="s">
        <v>1838</v>
      </c>
      <c r="C521" s="442" t="s">
        <v>20</v>
      </c>
      <c r="D521" s="565">
        <v>1033</v>
      </c>
      <c r="E521" s="575">
        <f t="shared" si="354"/>
        <v>86.71</v>
      </c>
      <c r="F521" s="585">
        <v>89566.35</v>
      </c>
      <c r="G521" s="767">
        <v>80</v>
      </c>
      <c r="H521" s="785">
        <f t="shared" si="355"/>
        <v>82640</v>
      </c>
      <c r="I521" s="482">
        <f t="shared" si="356"/>
        <v>6.71</v>
      </c>
      <c r="J521" s="481">
        <f t="shared" si="357"/>
        <v>6926.3500000000058</v>
      </c>
    </row>
    <row r="522" spans="1:12" ht="30" customHeight="1" outlineLevel="1" x14ac:dyDescent="0.3">
      <c r="A522" s="443">
        <f>A521+1</f>
        <v>397</v>
      </c>
      <c r="B522" s="428" t="s">
        <v>1839</v>
      </c>
      <c r="C522" s="442" t="s">
        <v>17</v>
      </c>
      <c r="D522" s="572">
        <v>285.61</v>
      </c>
      <c r="E522" s="577">
        <f t="shared" si="354"/>
        <v>2459.25</v>
      </c>
      <c r="F522" s="587">
        <v>702386.39</v>
      </c>
      <c r="G522" s="767">
        <v>2459.25</v>
      </c>
      <c r="H522" s="785">
        <f t="shared" si="355"/>
        <v>702386.39</v>
      </c>
      <c r="I522" s="482">
        <f t="shared" si="356"/>
        <v>0</v>
      </c>
      <c r="J522" s="481">
        <f>F522-H522</f>
        <v>0</v>
      </c>
      <c r="K522" s="553"/>
      <c r="L522" s="539"/>
    </row>
    <row r="523" spans="1:12" s="484" customFormat="1" ht="15" customHeight="1" outlineLevel="1" x14ac:dyDescent="0.3">
      <c r="A523" s="502"/>
      <c r="B523" s="503" t="s">
        <v>1450</v>
      </c>
      <c r="C523" s="504"/>
      <c r="D523" s="505"/>
      <c r="E523" s="566"/>
      <c r="F523" s="586"/>
      <c r="G523" s="786"/>
      <c r="H523" s="787"/>
      <c r="I523" s="567"/>
      <c r="J523" s="590"/>
      <c r="K523" s="491"/>
    </row>
    <row r="524" spans="1:12" ht="33.75" customHeight="1" outlineLevel="1" x14ac:dyDescent="0.3">
      <c r="A524" s="852">
        <f>A522+1</f>
        <v>398</v>
      </c>
      <c r="B524" s="428" t="s">
        <v>1840</v>
      </c>
      <c r="C524" s="442" t="s">
        <v>5</v>
      </c>
      <c r="D524" s="565">
        <v>160.87</v>
      </c>
      <c r="E524" s="854">
        <f t="shared" ref="E524" si="358">ROUND(F524/D524,2)</f>
        <v>1909.52</v>
      </c>
      <c r="F524" s="856">
        <v>307184</v>
      </c>
      <c r="G524" s="858">
        <v>1909.52</v>
      </c>
      <c r="H524" s="843">
        <v>307184</v>
      </c>
      <c r="I524" s="848">
        <f t="shared" ref="I524:I547" si="359">ROUND(E524-G524,2)</f>
        <v>0</v>
      </c>
      <c r="J524" s="850">
        <v>0</v>
      </c>
    </row>
    <row r="525" spans="1:12" ht="30" customHeight="1" outlineLevel="1" x14ac:dyDescent="0.3">
      <c r="A525" s="853"/>
      <c r="B525" s="428" t="s">
        <v>1585</v>
      </c>
      <c r="C525" s="442" t="s">
        <v>40</v>
      </c>
      <c r="D525" s="568">
        <v>16</v>
      </c>
      <c r="E525" s="855"/>
      <c r="F525" s="857"/>
      <c r="G525" s="859"/>
      <c r="H525" s="844"/>
      <c r="I525" s="849"/>
      <c r="J525" s="851"/>
    </row>
    <row r="526" spans="1:12" ht="34.5" customHeight="1" outlineLevel="1" x14ac:dyDescent="0.3">
      <c r="A526" s="554">
        <f>A524+1</f>
        <v>399</v>
      </c>
      <c r="B526" s="428" t="s">
        <v>1841</v>
      </c>
      <c r="C526" s="442" t="s">
        <v>5</v>
      </c>
      <c r="D526" s="565">
        <v>124.63</v>
      </c>
      <c r="E526" s="577">
        <f>F526/D526</f>
        <v>2591.799967904999</v>
      </c>
      <c r="F526" s="587">
        <v>323016.03000000003</v>
      </c>
      <c r="G526" s="788">
        <v>2591.8000000000002</v>
      </c>
      <c r="H526" s="785">
        <f t="shared" ref="H526" si="360">ROUND(G526*D526,2)</f>
        <v>323016.03000000003</v>
      </c>
      <c r="I526" s="482">
        <f t="shared" si="359"/>
        <v>0</v>
      </c>
      <c r="J526" s="481">
        <f t="shared" ref="J526" si="361">F526-H526</f>
        <v>0</v>
      </c>
    </row>
    <row r="527" spans="1:12" s="484" customFormat="1" ht="15" customHeight="1" outlineLevel="1" x14ac:dyDescent="0.3">
      <c r="A527" s="502"/>
      <c r="B527" s="503" t="s">
        <v>1842</v>
      </c>
      <c r="C527" s="504"/>
      <c r="D527" s="505"/>
      <c r="E527" s="566"/>
      <c r="F527" s="586"/>
      <c r="G527" s="786"/>
      <c r="H527" s="787"/>
      <c r="I527" s="567"/>
      <c r="J527" s="590"/>
      <c r="K527" s="491"/>
    </row>
    <row r="528" spans="1:12" ht="23.25" customHeight="1" outlineLevel="1" x14ac:dyDescent="0.3">
      <c r="A528" s="443">
        <f>A526+1</f>
        <v>400</v>
      </c>
      <c r="B528" s="428" t="s">
        <v>1469</v>
      </c>
      <c r="C528" s="442" t="s">
        <v>1446</v>
      </c>
      <c r="D528" s="568">
        <v>14</v>
      </c>
      <c r="E528" s="575">
        <f>ROUND(F528/D528,2)</f>
        <v>3561.88</v>
      </c>
      <c r="F528" s="585">
        <v>49866.32</v>
      </c>
      <c r="G528" s="767">
        <v>15000</v>
      </c>
      <c r="H528" s="785">
        <f t="shared" ref="H528:H532" si="362">ROUND(G528*D528,2)</f>
        <v>210000</v>
      </c>
      <c r="I528" s="482">
        <f t="shared" si="359"/>
        <v>-11438.12</v>
      </c>
      <c r="J528" s="481">
        <f t="shared" ref="J528:J532" si="363">F528-H528</f>
        <v>-160133.68</v>
      </c>
    </row>
    <row r="529" spans="1:12" ht="33.75" customHeight="1" outlineLevel="1" x14ac:dyDescent="0.3">
      <c r="A529" s="443">
        <f t="shared" ref="A529:A532" si="364">A528+1</f>
        <v>401</v>
      </c>
      <c r="B529" s="428" t="s">
        <v>1622</v>
      </c>
      <c r="C529" s="442" t="s">
        <v>1446</v>
      </c>
      <c r="D529" s="568">
        <v>4</v>
      </c>
      <c r="E529" s="575">
        <f t="shared" ref="E529" si="365">ROUND(F529/D529,2)</f>
        <v>3561.88</v>
      </c>
      <c r="F529" s="585">
        <v>14247.53</v>
      </c>
      <c r="G529" s="767">
        <v>15000</v>
      </c>
      <c r="H529" s="785">
        <f t="shared" si="362"/>
        <v>60000</v>
      </c>
      <c r="I529" s="482">
        <f t="shared" si="359"/>
        <v>-11438.12</v>
      </c>
      <c r="J529" s="481">
        <f t="shared" si="363"/>
        <v>-45752.47</v>
      </c>
    </row>
    <row r="530" spans="1:12" ht="21.75" customHeight="1" outlineLevel="1" x14ac:dyDescent="0.3">
      <c r="A530" s="443">
        <f t="shared" si="364"/>
        <v>402</v>
      </c>
      <c r="B530" s="428" t="s">
        <v>1823</v>
      </c>
      <c r="C530" s="442" t="s">
        <v>1446</v>
      </c>
      <c r="D530" s="568">
        <v>16</v>
      </c>
      <c r="E530" s="575">
        <f t="shared" ref="E530:E532" si="366">ROUND(F530/D530,2)</f>
        <v>5140.8999999999996</v>
      </c>
      <c r="F530" s="585">
        <v>82254.47</v>
      </c>
      <c r="G530" s="767">
        <v>5000</v>
      </c>
      <c r="H530" s="785">
        <f t="shared" si="362"/>
        <v>80000</v>
      </c>
      <c r="I530" s="482">
        <f t="shared" si="359"/>
        <v>140.9</v>
      </c>
      <c r="J530" s="481">
        <f t="shared" si="363"/>
        <v>2254.4700000000012</v>
      </c>
    </row>
    <row r="531" spans="1:12" ht="20.25" customHeight="1" outlineLevel="1" x14ac:dyDescent="0.3">
      <c r="A531" s="443">
        <f t="shared" si="364"/>
        <v>403</v>
      </c>
      <c r="B531" s="428" t="s">
        <v>1844</v>
      </c>
      <c r="C531" s="442" t="s">
        <v>1390</v>
      </c>
      <c r="D531" s="568">
        <v>1291</v>
      </c>
      <c r="E531" s="575">
        <f t="shared" si="366"/>
        <v>36.99</v>
      </c>
      <c r="F531" s="585">
        <f>ROUND((4053669.74-3958166.2)/2582*D531,2)</f>
        <v>47751.77</v>
      </c>
      <c r="G531" s="767">
        <v>77.599999999999994</v>
      </c>
      <c r="H531" s="785">
        <f t="shared" si="362"/>
        <v>100181.6</v>
      </c>
      <c r="I531" s="482">
        <f t="shared" si="359"/>
        <v>-40.61</v>
      </c>
      <c r="J531" s="481">
        <f t="shared" si="363"/>
        <v>-52429.830000000009</v>
      </c>
    </row>
    <row r="532" spans="1:12" ht="20.25" customHeight="1" outlineLevel="1" x14ac:dyDescent="0.3">
      <c r="A532" s="443">
        <f t="shared" si="364"/>
        <v>404</v>
      </c>
      <c r="B532" s="428" t="s">
        <v>1825</v>
      </c>
      <c r="C532" s="442" t="s">
        <v>1390</v>
      </c>
      <c r="D532" s="568">
        <v>1291</v>
      </c>
      <c r="E532" s="575">
        <f t="shared" si="366"/>
        <v>36.99</v>
      </c>
      <c r="F532" s="585">
        <f>ROUND((4053669.74-3958166.2)/2582*D532,2)</f>
        <v>47751.77</v>
      </c>
      <c r="G532" s="767">
        <v>77.599999999999994</v>
      </c>
      <c r="H532" s="785">
        <f t="shared" si="362"/>
        <v>100181.6</v>
      </c>
      <c r="I532" s="482">
        <f t="shared" si="359"/>
        <v>-40.61</v>
      </c>
      <c r="J532" s="481">
        <f t="shared" si="363"/>
        <v>-52429.830000000009</v>
      </c>
    </row>
    <row r="533" spans="1:12" s="484" customFormat="1" ht="15" customHeight="1" outlineLevel="1" x14ac:dyDescent="0.3">
      <c r="A533" s="535"/>
      <c r="B533" s="503" t="s">
        <v>1843</v>
      </c>
      <c r="C533" s="504"/>
      <c r="D533" s="505"/>
      <c r="E533" s="566"/>
      <c r="F533" s="586"/>
      <c r="G533" s="786"/>
      <c r="H533" s="787"/>
      <c r="I533" s="567"/>
      <c r="J533" s="590"/>
      <c r="K533" s="491"/>
    </row>
    <row r="534" spans="1:12" ht="35.25" customHeight="1" outlineLevel="1" x14ac:dyDescent="0.3">
      <c r="A534" s="443">
        <f>A532+1</f>
        <v>405</v>
      </c>
      <c r="B534" s="428" t="s">
        <v>1783</v>
      </c>
      <c r="C534" s="442" t="s">
        <v>40</v>
      </c>
      <c r="D534" s="568">
        <v>1</v>
      </c>
      <c r="E534" s="575">
        <f t="shared" ref="E534" si="367">ROUND(F534/D534,2)</f>
        <v>13905.06</v>
      </c>
      <c r="F534" s="585">
        <f>59235.24-12581.36-32748.82</f>
        <v>13905.059999999998</v>
      </c>
      <c r="G534" s="767">
        <v>4278.4799999999996</v>
      </c>
      <c r="H534" s="785">
        <f t="shared" ref="H534:H535" si="368">ROUND(G534*D534,2)</f>
        <v>4278.4799999999996</v>
      </c>
      <c r="I534" s="482">
        <f t="shared" si="359"/>
        <v>9626.58</v>
      </c>
      <c r="J534" s="481">
        <f t="shared" ref="J534:J535" si="369">F534-H534</f>
        <v>9626.5799999999981</v>
      </c>
    </row>
    <row r="535" spans="1:12" ht="21" customHeight="1" outlineLevel="1" x14ac:dyDescent="0.3">
      <c r="A535" s="443">
        <f>A534+1</f>
        <v>406</v>
      </c>
      <c r="B535" s="428" t="s">
        <v>1521</v>
      </c>
      <c r="C535" s="442" t="s">
        <v>40</v>
      </c>
      <c r="D535" s="568">
        <v>2</v>
      </c>
      <c r="E535" s="575">
        <f>ROUND(F535/D535,2)</f>
        <v>1648.18</v>
      </c>
      <c r="F535" s="585">
        <f>3296.36</f>
        <v>3296.36</v>
      </c>
      <c r="G535" s="767">
        <v>1648.18</v>
      </c>
      <c r="H535" s="785">
        <f t="shared" si="368"/>
        <v>3296.36</v>
      </c>
      <c r="I535" s="482">
        <f t="shared" si="359"/>
        <v>0</v>
      </c>
      <c r="J535" s="481">
        <f t="shared" si="369"/>
        <v>0</v>
      </c>
    </row>
    <row r="536" spans="1:12" s="484" customFormat="1" ht="15" customHeight="1" outlineLevel="1" x14ac:dyDescent="0.3">
      <c r="A536" s="443">
        <f>A535+1</f>
        <v>407</v>
      </c>
      <c r="B536" s="503" t="s">
        <v>1512</v>
      </c>
      <c r="C536" s="504"/>
      <c r="D536" s="505"/>
      <c r="E536" s="566"/>
      <c r="F536" s="586"/>
      <c r="G536" s="786"/>
      <c r="H536" s="787"/>
      <c r="I536" s="567"/>
      <c r="J536" s="590"/>
      <c r="K536" s="491"/>
    </row>
    <row r="537" spans="1:12" ht="20.25" customHeight="1" outlineLevel="1" x14ac:dyDescent="0.3">
      <c r="A537" s="443">
        <f>A536+1</f>
        <v>408</v>
      </c>
      <c r="B537" s="428" t="s">
        <v>1703</v>
      </c>
      <c r="C537" s="442" t="s">
        <v>17</v>
      </c>
      <c r="D537" s="565">
        <v>76.02</v>
      </c>
      <c r="E537" s="575">
        <f t="shared" ref="E537" si="370">ROUND(F537/D537,2)</f>
        <v>950.73</v>
      </c>
      <c r="F537" s="585">
        <f>72274.25</f>
        <v>72274.25</v>
      </c>
      <c r="G537" s="767">
        <v>1680</v>
      </c>
      <c r="H537" s="785">
        <f t="shared" ref="H537:H538" si="371">ROUND(G537*D537,2)</f>
        <v>127713.60000000001</v>
      </c>
      <c r="I537" s="482">
        <f t="shared" si="359"/>
        <v>-729.27</v>
      </c>
      <c r="J537" s="481">
        <f t="shared" ref="J537" si="372">F537-H537</f>
        <v>-55439.350000000006</v>
      </c>
      <c r="K537" s="528"/>
      <c r="L537" s="527"/>
    </row>
    <row r="538" spans="1:12" ht="21.75" customHeight="1" outlineLevel="1" x14ac:dyDescent="0.3">
      <c r="A538" s="443">
        <f>A537+1</f>
        <v>409</v>
      </c>
      <c r="B538" s="428" t="s">
        <v>1513</v>
      </c>
      <c r="C538" s="442" t="s">
        <v>20</v>
      </c>
      <c r="D538" s="568">
        <v>1014</v>
      </c>
      <c r="E538" s="575">
        <f t="shared" ref="E538" si="373">ROUND(F538/D538,2)</f>
        <v>957</v>
      </c>
      <c r="F538" s="585">
        <v>970398</v>
      </c>
      <c r="G538" s="767">
        <v>957</v>
      </c>
      <c r="H538" s="785">
        <f t="shared" si="371"/>
        <v>970398</v>
      </c>
      <c r="I538" s="482">
        <f t="shared" si="359"/>
        <v>0</v>
      </c>
      <c r="J538" s="481">
        <f t="shared" ref="J538" si="374">F538-H538</f>
        <v>0</v>
      </c>
    </row>
    <row r="539" spans="1:12" s="484" customFormat="1" ht="15" customHeight="1" outlineLevel="1" x14ac:dyDescent="0.3">
      <c r="A539" s="535"/>
      <c r="B539" s="503" t="s">
        <v>1522</v>
      </c>
      <c r="C539" s="504"/>
      <c r="D539" s="505"/>
      <c r="E539" s="566"/>
      <c r="F539" s="586"/>
      <c r="G539" s="786"/>
      <c r="H539" s="787"/>
      <c r="I539" s="567"/>
      <c r="J539" s="590"/>
      <c r="K539" s="491"/>
    </row>
    <row r="540" spans="1:12" ht="21.75" customHeight="1" outlineLevel="1" x14ac:dyDescent="0.3">
      <c r="A540" s="443">
        <f>A538+1</f>
        <v>410</v>
      </c>
      <c r="B540" s="428" t="s">
        <v>1527</v>
      </c>
      <c r="C540" s="442" t="s">
        <v>17</v>
      </c>
      <c r="D540" s="565">
        <v>16.13</v>
      </c>
      <c r="E540" s="575">
        <f>ROUND(F540/D540,2)</f>
        <v>1317.1</v>
      </c>
      <c r="F540" s="585">
        <v>21244.880000000001</v>
      </c>
      <c r="G540" s="767">
        <v>1680</v>
      </c>
      <c r="H540" s="785">
        <f t="shared" ref="H540" si="375">ROUND(G540*D540,2)</f>
        <v>27098.400000000001</v>
      </c>
      <c r="I540" s="482">
        <f t="shared" si="359"/>
        <v>-362.9</v>
      </c>
      <c r="J540" s="481">
        <f>F540-H540</f>
        <v>-5853.52</v>
      </c>
    </row>
    <row r="541" spans="1:12" ht="21.75" customHeight="1" outlineLevel="1" x14ac:dyDescent="0.3">
      <c r="A541" s="852">
        <f>A540+1</f>
        <v>411</v>
      </c>
      <c r="B541" s="428" t="s">
        <v>1523</v>
      </c>
      <c r="C541" s="442" t="s">
        <v>17</v>
      </c>
      <c r="D541" s="565">
        <v>28.8</v>
      </c>
      <c r="E541" s="854">
        <f>ROUND(F541/D542,2)</f>
        <v>950.56</v>
      </c>
      <c r="F541" s="856">
        <v>547522.56000000006</v>
      </c>
      <c r="G541" s="858">
        <v>950.56</v>
      </c>
      <c r="H541" s="843">
        <f>G541*D542</f>
        <v>547522.55999999994</v>
      </c>
      <c r="I541" s="482">
        <f t="shared" si="359"/>
        <v>0</v>
      </c>
      <c r="J541" s="850">
        <f>F541-H541</f>
        <v>0</v>
      </c>
      <c r="K541" s="489">
        <f>4957236.22-3756613.61</f>
        <v>1200622.6099999999</v>
      </c>
    </row>
    <row r="542" spans="1:12" ht="21" customHeight="1" outlineLevel="1" x14ac:dyDescent="0.3">
      <c r="A542" s="853"/>
      <c r="B542" s="428" t="s">
        <v>1386</v>
      </c>
      <c r="C542" s="442" t="s">
        <v>5</v>
      </c>
      <c r="D542" s="568">
        <v>576</v>
      </c>
      <c r="E542" s="855"/>
      <c r="F542" s="857"/>
      <c r="G542" s="859"/>
      <c r="H542" s="844"/>
      <c r="I542" s="482">
        <f t="shared" si="359"/>
        <v>0</v>
      </c>
      <c r="J542" s="851"/>
    </row>
    <row r="543" spans="1:12" s="484" customFormat="1" ht="14.25" customHeight="1" outlineLevel="1" x14ac:dyDescent="0.3">
      <c r="A543" s="535"/>
      <c r="B543" s="503" t="s">
        <v>1846</v>
      </c>
      <c r="C543" s="504"/>
      <c r="D543" s="505"/>
      <c r="E543" s="566"/>
      <c r="F543" s="586"/>
      <c r="G543" s="786"/>
      <c r="H543" s="787"/>
      <c r="I543" s="567"/>
      <c r="J543" s="590"/>
      <c r="K543" s="491"/>
    </row>
    <row r="544" spans="1:12" ht="33.75" customHeight="1" outlineLevel="1" x14ac:dyDescent="0.3">
      <c r="A544" s="443">
        <f>A541+1</f>
        <v>412</v>
      </c>
      <c r="B544" s="428" t="s">
        <v>1848</v>
      </c>
      <c r="C544" s="442" t="s">
        <v>1131</v>
      </c>
      <c r="D544" s="565">
        <v>285.5</v>
      </c>
      <c r="E544" s="575">
        <f>ROUND(F544/D544,2)</f>
        <v>1051.8499999999999</v>
      </c>
      <c r="F544" s="585">
        <f>ROUND(303721.38/288.75*D544,2)</f>
        <v>300302.87</v>
      </c>
      <c r="G544" s="767">
        <v>1788.15</v>
      </c>
      <c r="H544" s="785">
        <f t="shared" ref="H544:H547" si="376">ROUND(G544*D544,2)</f>
        <v>510516.83</v>
      </c>
      <c r="I544" s="482">
        <f t="shared" si="359"/>
        <v>-736.3</v>
      </c>
      <c r="J544" s="481">
        <f t="shared" ref="J544:J547" si="377">F544-H544</f>
        <v>-210213.96000000002</v>
      </c>
    </row>
    <row r="545" spans="1:12" ht="30.75" customHeight="1" outlineLevel="1" x14ac:dyDescent="0.3">
      <c r="A545" s="443">
        <f t="shared" ref="A545:A547" si="378">A544+1</f>
        <v>413</v>
      </c>
      <c r="B545" s="428" t="s">
        <v>1847</v>
      </c>
      <c r="C545" s="442" t="s">
        <v>1131</v>
      </c>
      <c r="D545" s="565">
        <v>3.25</v>
      </c>
      <c r="E545" s="575">
        <f t="shared" ref="E545" si="379">ROUND(F545/D545,2)</f>
        <v>1051.8499999999999</v>
      </c>
      <c r="F545" s="585">
        <f>ROUND(303721.38/288.75*D545,2)</f>
        <v>3418.51</v>
      </c>
      <c r="G545" s="767">
        <v>1788.15</v>
      </c>
      <c r="H545" s="785">
        <f t="shared" si="376"/>
        <v>5811.49</v>
      </c>
      <c r="I545" s="482">
        <f t="shared" si="359"/>
        <v>-736.3</v>
      </c>
      <c r="J545" s="481">
        <f t="shared" si="377"/>
        <v>-2392.9799999999996</v>
      </c>
    </row>
    <row r="546" spans="1:12" ht="20.25" customHeight="1" outlineLevel="1" x14ac:dyDescent="0.3">
      <c r="A546" s="443">
        <f t="shared" si="378"/>
        <v>414</v>
      </c>
      <c r="B546" s="540" t="s">
        <v>1534</v>
      </c>
      <c r="C546" s="442" t="s">
        <v>1131</v>
      </c>
      <c r="D546" s="565">
        <v>288.75</v>
      </c>
      <c r="E546" s="575">
        <f t="shared" ref="E546:E547" si="380">ROUND(F546/D546,2)</f>
        <v>0</v>
      </c>
      <c r="F546" s="585"/>
      <c r="G546" s="767"/>
      <c r="H546" s="785">
        <f t="shared" si="376"/>
        <v>0</v>
      </c>
      <c r="I546" s="482">
        <f t="shared" si="359"/>
        <v>0</v>
      </c>
      <c r="J546" s="481">
        <f t="shared" si="377"/>
        <v>0</v>
      </c>
      <c r="K546" s="489" t="s">
        <v>1536</v>
      </c>
    </row>
    <row r="547" spans="1:12" ht="20.25" customHeight="1" outlineLevel="1" x14ac:dyDescent="0.3">
      <c r="A547" s="443">
        <f t="shared" si="378"/>
        <v>415</v>
      </c>
      <c r="B547" s="540" t="s">
        <v>1535</v>
      </c>
      <c r="C547" s="442" t="s">
        <v>1131</v>
      </c>
      <c r="D547" s="565">
        <v>288.75</v>
      </c>
      <c r="E547" s="575">
        <f t="shared" si="380"/>
        <v>0</v>
      </c>
      <c r="F547" s="585"/>
      <c r="G547" s="767"/>
      <c r="H547" s="785">
        <f t="shared" si="376"/>
        <v>0</v>
      </c>
      <c r="I547" s="482">
        <f t="shared" si="359"/>
        <v>0</v>
      </c>
      <c r="J547" s="481">
        <f t="shared" si="377"/>
        <v>0</v>
      </c>
      <c r="K547" s="489" t="s">
        <v>1536</v>
      </c>
    </row>
    <row r="548" spans="1:12" s="484" customFormat="1" ht="15" customHeight="1" outlineLevel="1" x14ac:dyDescent="0.3">
      <c r="A548" s="502"/>
      <c r="B548" s="503" t="s">
        <v>1542</v>
      </c>
      <c r="C548" s="504"/>
      <c r="D548" s="505"/>
      <c r="E548" s="566"/>
      <c r="F548" s="586"/>
      <c r="G548" s="786"/>
      <c r="H548" s="787"/>
      <c r="I548" s="567"/>
      <c r="J548" s="590"/>
      <c r="K548" s="491"/>
    </row>
    <row r="549" spans="1:12" ht="19.5" customHeight="1" outlineLevel="1" x14ac:dyDescent="0.3">
      <c r="A549" s="852">
        <f>A547+1</f>
        <v>416</v>
      </c>
      <c r="B549" s="428" t="s">
        <v>1814</v>
      </c>
      <c r="C549" s="442" t="s">
        <v>1391</v>
      </c>
      <c r="D549" s="568">
        <v>1</v>
      </c>
      <c r="E549" s="854">
        <f>ROUND(F549/D549,2)</f>
        <v>9694.69</v>
      </c>
      <c r="F549" s="856">
        <f>8754.56+2383.24-1445.62+2.51</f>
        <v>9694.69</v>
      </c>
      <c r="G549" s="858">
        <v>38400</v>
      </c>
      <c r="H549" s="843">
        <f>G549*D549</f>
        <v>38400</v>
      </c>
      <c r="I549" s="848">
        <f>ROUND(E549-G549,2)</f>
        <v>-28705.31</v>
      </c>
      <c r="J549" s="850">
        <f t="shared" ref="J549" si="381">F549-H549</f>
        <v>-28705.309999999998</v>
      </c>
    </row>
    <row r="550" spans="1:12" ht="20.25" customHeight="1" outlineLevel="1" x14ac:dyDescent="0.3">
      <c r="A550" s="853"/>
      <c r="B550" s="428" t="s">
        <v>1543</v>
      </c>
      <c r="C550" s="442" t="s">
        <v>40</v>
      </c>
      <c r="D550" s="568">
        <v>1</v>
      </c>
      <c r="E550" s="855"/>
      <c r="F550" s="857"/>
      <c r="G550" s="859"/>
      <c r="H550" s="844"/>
      <c r="I550" s="849"/>
      <c r="J550" s="851"/>
    </row>
    <row r="551" spans="1:12" ht="19.5" customHeight="1" outlineLevel="1" x14ac:dyDescent="0.3">
      <c r="A551" s="443">
        <f>A549+1</f>
        <v>417</v>
      </c>
      <c r="B551" s="428" t="s">
        <v>1544</v>
      </c>
      <c r="C551" s="442" t="s">
        <v>40</v>
      </c>
      <c r="D551" s="568">
        <v>1</v>
      </c>
      <c r="E551" s="575">
        <f t="shared" ref="E551:E552" si="382">ROUND(F551/D551,2)</f>
        <v>24747.96</v>
      </c>
      <c r="F551" s="585">
        <v>24747.96</v>
      </c>
      <c r="G551" s="767">
        <v>20000</v>
      </c>
      <c r="H551" s="785">
        <f t="shared" ref="H551:H555" si="383">ROUND(G551*D551,2)</f>
        <v>20000</v>
      </c>
      <c r="I551" s="482">
        <f t="shared" ref="I551:I555" si="384">ROUND(E551-G551,2)</f>
        <v>4747.96</v>
      </c>
      <c r="J551" s="481">
        <f t="shared" ref="J551:J555" si="385">F551-H551</f>
        <v>4747.9599999999991</v>
      </c>
      <c r="K551" s="478"/>
    </row>
    <row r="552" spans="1:12" ht="19.5" customHeight="1" outlineLevel="1" x14ac:dyDescent="0.3">
      <c r="A552" s="443">
        <f t="shared" ref="A552:A555" si="386">A551+1</f>
        <v>418</v>
      </c>
      <c r="B552" s="428" t="s">
        <v>1545</v>
      </c>
      <c r="C552" s="442" t="s">
        <v>40</v>
      </c>
      <c r="D552" s="568">
        <v>2</v>
      </c>
      <c r="E552" s="575">
        <f t="shared" si="382"/>
        <v>1199.07</v>
      </c>
      <c r="F552" s="585">
        <v>2398.14</v>
      </c>
      <c r="G552" s="767">
        <v>1558.8</v>
      </c>
      <c r="H552" s="785">
        <f t="shared" si="383"/>
        <v>3117.6</v>
      </c>
      <c r="I552" s="482">
        <f t="shared" si="384"/>
        <v>-359.73</v>
      </c>
      <c r="J552" s="481">
        <f t="shared" si="385"/>
        <v>-719.46</v>
      </c>
      <c r="K552" s="478"/>
    </row>
    <row r="553" spans="1:12" ht="21.75" customHeight="1" outlineLevel="1" x14ac:dyDescent="0.3">
      <c r="A553" s="443">
        <f t="shared" si="386"/>
        <v>419</v>
      </c>
      <c r="B553" s="428" t="s">
        <v>1546</v>
      </c>
      <c r="C553" s="442" t="s">
        <v>40</v>
      </c>
      <c r="D553" s="568">
        <v>2</v>
      </c>
      <c r="E553" s="575">
        <f>ROUND(F553/D553,2)</f>
        <v>1128.03</v>
      </c>
      <c r="F553" s="585">
        <v>2256.06</v>
      </c>
      <c r="G553" s="767">
        <v>1466.44</v>
      </c>
      <c r="H553" s="785">
        <f t="shared" si="383"/>
        <v>2932.88</v>
      </c>
      <c r="I553" s="482">
        <f t="shared" si="384"/>
        <v>-338.41</v>
      </c>
      <c r="J553" s="481">
        <f t="shared" si="385"/>
        <v>-676.82000000000016</v>
      </c>
    </row>
    <row r="554" spans="1:12" ht="23.25" customHeight="1" outlineLevel="1" x14ac:dyDescent="0.3">
      <c r="A554" s="443">
        <f t="shared" si="386"/>
        <v>420</v>
      </c>
      <c r="B554" s="428" t="s">
        <v>1547</v>
      </c>
      <c r="C554" s="442" t="s">
        <v>5</v>
      </c>
      <c r="D554" s="568">
        <v>20</v>
      </c>
      <c r="E554" s="575">
        <f t="shared" ref="E554:E555" si="387">ROUND(F554/D554,2)</f>
        <v>34.68</v>
      </c>
      <c r="F554" s="585">
        <v>693.54</v>
      </c>
      <c r="G554" s="767">
        <v>80</v>
      </c>
      <c r="H554" s="785">
        <f t="shared" si="383"/>
        <v>1600</v>
      </c>
      <c r="I554" s="482">
        <f t="shared" si="384"/>
        <v>-45.32</v>
      </c>
      <c r="J554" s="481">
        <f t="shared" si="385"/>
        <v>-906.46</v>
      </c>
    </row>
    <row r="555" spans="1:12" ht="19.5" customHeight="1" outlineLevel="1" x14ac:dyDescent="0.3">
      <c r="A555" s="443">
        <f t="shared" si="386"/>
        <v>421</v>
      </c>
      <c r="B555" s="428" t="s">
        <v>1548</v>
      </c>
      <c r="C555" s="442" t="s">
        <v>5</v>
      </c>
      <c r="D555" s="568">
        <v>20</v>
      </c>
      <c r="E555" s="575">
        <f t="shared" si="387"/>
        <v>53.24</v>
      </c>
      <c r="F555" s="585">
        <v>1064.8399999999999</v>
      </c>
      <c r="G555" s="767">
        <v>80</v>
      </c>
      <c r="H555" s="785">
        <f t="shared" si="383"/>
        <v>1600</v>
      </c>
      <c r="I555" s="482">
        <f t="shared" si="384"/>
        <v>-26.76</v>
      </c>
      <c r="J555" s="481">
        <f t="shared" si="385"/>
        <v>-535.16000000000008</v>
      </c>
      <c r="K555" s="478"/>
    </row>
    <row r="556" spans="1:12" s="484" customFormat="1" ht="21.75" customHeight="1" x14ac:dyDescent="0.3">
      <c r="A556" s="555"/>
      <c r="B556" s="612" t="s">
        <v>1897</v>
      </c>
      <c r="C556" s="613"/>
      <c r="D556" s="614"/>
      <c r="E556" s="615"/>
      <c r="F556" s="616">
        <f>SUM(F510:F555)</f>
        <v>3931338.66</v>
      </c>
      <c r="G556" s="772"/>
      <c r="H556" s="773">
        <f>SUM(H510:H555)</f>
        <v>4889879.6499999994</v>
      </c>
      <c r="I556" s="617"/>
      <c r="J556" s="616">
        <f>SUM(J510:J555)</f>
        <v>-958540.99</v>
      </c>
      <c r="K556" s="550">
        <f>F556+'ТП М'!F418</f>
        <v>34384342.361071676</v>
      </c>
      <c r="L556" s="549"/>
    </row>
    <row r="557" spans="1:12" s="484" customFormat="1" ht="22.5" customHeight="1" x14ac:dyDescent="0.3">
      <c r="A557" s="486"/>
      <c r="B557" s="845" t="s">
        <v>1849</v>
      </c>
      <c r="C557" s="846"/>
      <c r="D557" s="846"/>
      <c r="E557" s="846"/>
      <c r="F557" s="846"/>
      <c r="G557" s="846"/>
      <c r="H557" s="846"/>
      <c r="I557" s="846"/>
      <c r="J557" s="847"/>
      <c r="K557" s="491"/>
    </row>
    <row r="558" spans="1:12" ht="22.5" customHeight="1" outlineLevel="1" x14ac:dyDescent="0.3">
      <c r="A558" s="443">
        <f>A555+1</f>
        <v>422</v>
      </c>
      <c r="B558" s="506" t="s">
        <v>1415</v>
      </c>
      <c r="C558" s="442" t="s">
        <v>5</v>
      </c>
      <c r="D558" s="565">
        <v>136.28</v>
      </c>
      <c r="E558" s="575">
        <f>ROUND(F558/D558,2)</f>
        <v>0</v>
      </c>
      <c r="F558" s="585"/>
      <c r="G558" s="767">
        <v>57.53</v>
      </c>
      <c r="H558" s="785">
        <f t="shared" ref="H558:H559" si="388">ROUND(G558*D558,2)</f>
        <v>7840.19</v>
      </c>
      <c r="I558" s="482">
        <f t="shared" ref="I558:I567" si="389">ROUND(E558-G558,2)</f>
        <v>-57.53</v>
      </c>
      <c r="J558" s="481">
        <f t="shared" ref="J558:J559" si="390">F558-H558</f>
        <v>-7840.19</v>
      </c>
    </row>
    <row r="559" spans="1:12" ht="21" customHeight="1" outlineLevel="1" x14ac:dyDescent="0.3">
      <c r="A559" s="443">
        <f>A558+1</f>
        <v>423</v>
      </c>
      <c r="B559" s="506" t="s">
        <v>1417</v>
      </c>
      <c r="C559" s="442" t="s">
        <v>1416</v>
      </c>
      <c r="D559" s="568">
        <v>4</v>
      </c>
      <c r="E559" s="575">
        <f>ROUND(F559/D559,2)</f>
        <v>0</v>
      </c>
      <c r="F559" s="585"/>
      <c r="G559" s="767">
        <v>2000</v>
      </c>
      <c r="H559" s="785">
        <f t="shared" si="388"/>
        <v>8000</v>
      </c>
      <c r="I559" s="482">
        <f t="shared" si="389"/>
        <v>-2000</v>
      </c>
      <c r="J559" s="481">
        <f t="shared" si="390"/>
        <v>-8000</v>
      </c>
    </row>
    <row r="560" spans="1:12" s="484" customFormat="1" ht="15" customHeight="1" outlineLevel="1" x14ac:dyDescent="0.3">
      <c r="A560" s="502"/>
      <c r="B560" s="503" t="s">
        <v>1418</v>
      </c>
      <c r="C560" s="504"/>
      <c r="D560" s="505"/>
      <c r="E560" s="566"/>
      <c r="F560" s="586"/>
      <c r="G560" s="786"/>
      <c r="H560" s="787"/>
      <c r="I560" s="567"/>
      <c r="J560" s="590"/>
      <c r="K560" s="491"/>
    </row>
    <row r="561" spans="1:12" ht="35.25" customHeight="1" outlineLevel="1" x14ac:dyDescent="0.3">
      <c r="A561" s="443">
        <f>A559+1</f>
        <v>424</v>
      </c>
      <c r="B561" s="428" t="s">
        <v>1553</v>
      </c>
      <c r="C561" s="442" t="s">
        <v>17</v>
      </c>
      <c r="D561" s="565">
        <v>365.08</v>
      </c>
      <c r="E561" s="575">
        <f t="shared" ref="E561:E563" si="391">ROUND(F561/D561,2)</f>
        <v>9.19</v>
      </c>
      <c r="F561" s="585">
        <v>3354.15</v>
      </c>
      <c r="G561" s="767">
        <v>208</v>
      </c>
      <c r="H561" s="785">
        <f t="shared" ref="H561:H563" si="392">ROUND(G561*D561,2)</f>
        <v>75936.639999999999</v>
      </c>
      <c r="I561" s="482">
        <f t="shared" si="389"/>
        <v>-198.81</v>
      </c>
      <c r="J561" s="481">
        <f t="shared" ref="J561:J563" si="393">F561-H561</f>
        <v>-72582.490000000005</v>
      </c>
    </row>
    <row r="562" spans="1:12" ht="31.5" customHeight="1" outlineLevel="1" x14ac:dyDescent="0.3">
      <c r="A562" s="443">
        <f>A561+1</f>
        <v>425</v>
      </c>
      <c r="B562" s="428" t="s">
        <v>1850</v>
      </c>
      <c r="C562" s="442" t="s">
        <v>17</v>
      </c>
      <c r="D562" s="565">
        <f>D561</f>
        <v>365.08</v>
      </c>
      <c r="E562" s="575">
        <f t="shared" si="391"/>
        <v>55.19</v>
      </c>
      <c r="F562" s="585">
        <v>20147.29</v>
      </c>
      <c r="G562" s="767">
        <v>260</v>
      </c>
      <c r="H562" s="785">
        <f t="shared" si="392"/>
        <v>94920.8</v>
      </c>
      <c r="I562" s="482">
        <f t="shared" si="389"/>
        <v>-204.81</v>
      </c>
      <c r="J562" s="481">
        <f t="shared" si="393"/>
        <v>-74773.510000000009</v>
      </c>
    </row>
    <row r="563" spans="1:12" ht="35.25" customHeight="1" outlineLevel="1" x14ac:dyDescent="0.3">
      <c r="A563" s="443">
        <f t="shared" ref="A563" si="394">A562+1</f>
        <v>426</v>
      </c>
      <c r="B563" s="428" t="s">
        <v>1851</v>
      </c>
      <c r="C563" s="442" t="s">
        <v>28</v>
      </c>
      <c r="D563" s="565">
        <v>711.91</v>
      </c>
      <c r="E563" s="575">
        <f t="shared" si="391"/>
        <v>187.58</v>
      </c>
      <c r="F563" s="585">
        <v>133537.94</v>
      </c>
      <c r="G563" s="767">
        <v>250</v>
      </c>
      <c r="H563" s="785">
        <f t="shared" si="392"/>
        <v>177977.5</v>
      </c>
      <c r="I563" s="482">
        <f t="shared" si="389"/>
        <v>-62.42</v>
      </c>
      <c r="J563" s="481">
        <f t="shared" si="393"/>
        <v>-44439.56</v>
      </c>
    </row>
    <row r="564" spans="1:12" s="484" customFormat="1" ht="15" customHeight="1" outlineLevel="1" x14ac:dyDescent="0.3">
      <c r="A564" s="502"/>
      <c r="B564" s="503" t="s">
        <v>1852</v>
      </c>
      <c r="C564" s="504"/>
      <c r="D564" s="505"/>
      <c r="E564" s="566"/>
      <c r="F564" s="586"/>
      <c r="G564" s="786"/>
      <c r="H564" s="787"/>
      <c r="I564" s="567"/>
      <c r="J564" s="590"/>
      <c r="K564" s="491"/>
    </row>
    <row r="565" spans="1:12" ht="35.25" customHeight="1" outlineLevel="1" x14ac:dyDescent="0.3">
      <c r="A565" s="443">
        <f>A563+1</f>
        <v>427</v>
      </c>
      <c r="B565" s="428" t="s">
        <v>1737</v>
      </c>
      <c r="C565" s="442" t="s">
        <v>17</v>
      </c>
      <c r="D565" s="565">
        <v>67.91</v>
      </c>
      <c r="E565" s="575">
        <f t="shared" ref="E565:E567" si="395">ROUND(F565/D565,2)</f>
        <v>605.71</v>
      </c>
      <c r="F565" s="585">
        <v>41133.49</v>
      </c>
      <c r="G565" s="767">
        <v>1179.9000000000001</v>
      </c>
      <c r="H565" s="785">
        <f t="shared" ref="H565:H567" si="396">ROUND(G565*D565,2)</f>
        <v>80127.009999999995</v>
      </c>
      <c r="I565" s="482">
        <f t="shared" si="389"/>
        <v>-574.19000000000005</v>
      </c>
      <c r="J565" s="481">
        <f t="shared" ref="J565:J567" si="397">F565-H565</f>
        <v>-38993.519999999997</v>
      </c>
    </row>
    <row r="566" spans="1:12" ht="34.5" customHeight="1" outlineLevel="1" x14ac:dyDescent="0.3">
      <c r="A566" s="443">
        <f>A565+1</f>
        <v>428</v>
      </c>
      <c r="B566" s="428" t="s">
        <v>1871</v>
      </c>
      <c r="C566" s="442" t="s">
        <v>20</v>
      </c>
      <c r="D566" s="565">
        <v>438</v>
      </c>
      <c r="E566" s="575">
        <f t="shared" si="395"/>
        <v>86.71</v>
      </c>
      <c r="F566" s="585">
        <v>37976.83</v>
      </c>
      <c r="G566" s="767">
        <v>80</v>
      </c>
      <c r="H566" s="785">
        <f t="shared" si="396"/>
        <v>35040</v>
      </c>
      <c r="I566" s="482">
        <f t="shared" si="389"/>
        <v>6.71</v>
      </c>
      <c r="J566" s="481">
        <f t="shared" si="397"/>
        <v>2936.8300000000017</v>
      </c>
    </row>
    <row r="567" spans="1:12" ht="30" customHeight="1" outlineLevel="1" x14ac:dyDescent="0.3">
      <c r="A567" s="443">
        <f>A566+1</f>
        <v>429</v>
      </c>
      <c r="B567" s="428" t="s">
        <v>1839</v>
      </c>
      <c r="C567" s="442" t="s">
        <v>17</v>
      </c>
      <c r="D567" s="572">
        <v>110.87</v>
      </c>
      <c r="E567" s="577">
        <f t="shared" si="395"/>
        <v>2459.25</v>
      </c>
      <c r="F567" s="587">
        <v>272657.05</v>
      </c>
      <c r="G567" s="767">
        <v>2459.25</v>
      </c>
      <c r="H567" s="785">
        <f t="shared" si="396"/>
        <v>272657.05</v>
      </c>
      <c r="I567" s="482">
        <f t="shared" si="389"/>
        <v>0</v>
      </c>
      <c r="J567" s="481">
        <f t="shared" si="397"/>
        <v>0</v>
      </c>
      <c r="K567" s="553"/>
      <c r="L567" s="539"/>
    </row>
    <row r="568" spans="1:12" s="484" customFormat="1" ht="15" customHeight="1" outlineLevel="1" x14ac:dyDescent="0.3">
      <c r="A568" s="502"/>
      <c r="B568" s="503" t="s">
        <v>1450</v>
      </c>
      <c r="C568" s="504"/>
      <c r="D568" s="505"/>
      <c r="E568" s="566"/>
      <c r="F568" s="586"/>
      <c r="G568" s="786"/>
      <c r="H568" s="787"/>
      <c r="I568" s="567"/>
      <c r="J568" s="590"/>
      <c r="K568" s="491"/>
    </row>
    <row r="569" spans="1:12" ht="33.75" customHeight="1" outlineLevel="1" x14ac:dyDescent="0.3">
      <c r="A569" s="852">
        <f>A567+1</f>
        <v>430</v>
      </c>
      <c r="B569" s="428" t="s">
        <v>1857</v>
      </c>
      <c r="C569" s="442" t="s">
        <v>5</v>
      </c>
      <c r="D569" s="565">
        <v>44.22</v>
      </c>
      <c r="E569" s="854">
        <f t="shared" ref="E569" si="398">ROUND(F569/D569,2)</f>
        <v>1909.52</v>
      </c>
      <c r="F569" s="856">
        <v>84438.97</v>
      </c>
      <c r="G569" s="858">
        <v>1909.52</v>
      </c>
      <c r="H569" s="843">
        <f>ROUND(G569*D569,2)</f>
        <v>84438.97</v>
      </c>
      <c r="I569" s="848">
        <f>ROUND(E569-G569-G570,2)</f>
        <v>0</v>
      </c>
      <c r="J569" s="850">
        <f>F569-H569-H570</f>
        <v>0</v>
      </c>
    </row>
    <row r="570" spans="1:12" ht="30" customHeight="1" outlineLevel="1" x14ac:dyDescent="0.3">
      <c r="A570" s="853"/>
      <c r="B570" s="428" t="s">
        <v>1585</v>
      </c>
      <c r="C570" s="442" t="s">
        <v>40</v>
      </c>
      <c r="D570" s="568">
        <v>12</v>
      </c>
      <c r="E570" s="855"/>
      <c r="F570" s="857"/>
      <c r="G570" s="859"/>
      <c r="H570" s="844"/>
      <c r="I570" s="849"/>
      <c r="J570" s="851"/>
    </row>
    <row r="571" spans="1:12" ht="34.5" customHeight="1" outlineLevel="1" x14ac:dyDescent="0.3">
      <c r="A571" s="554">
        <f>A569+1</f>
        <v>431</v>
      </c>
      <c r="B571" s="428" t="s">
        <v>1863</v>
      </c>
      <c r="C571" s="442" t="s">
        <v>5</v>
      </c>
      <c r="D571" s="565">
        <v>70.25</v>
      </c>
      <c r="E571" s="577">
        <f>F571/D571</f>
        <v>2591.8000000000006</v>
      </c>
      <c r="F571" s="587">
        <f>254214.62-31578.4-14119.64-72724.56-1648.54+(159923.35-111992.67)-0.21</f>
        <v>182073.95000000004</v>
      </c>
      <c r="G571" s="788">
        <v>2591.8000000000002</v>
      </c>
      <c r="H571" s="785">
        <f t="shared" ref="H571" si="399">ROUND(G571*D571,2)</f>
        <v>182073.95</v>
      </c>
      <c r="I571" s="482">
        <f t="shared" ref="I571:I583" si="400">ROUND(E571-G571,2)</f>
        <v>0</v>
      </c>
      <c r="J571" s="578">
        <f>F571-H571</f>
        <v>0</v>
      </c>
    </row>
    <row r="572" spans="1:12" s="484" customFormat="1" ht="15" customHeight="1" outlineLevel="1" x14ac:dyDescent="0.3">
      <c r="A572" s="502"/>
      <c r="B572" s="503" t="s">
        <v>1866</v>
      </c>
      <c r="C572" s="504"/>
      <c r="D572" s="505"/>
      <c r="E572" s="566"/>
      <c r="F572" s="586"/>
      <c r="G572" s="786"/>
      <c r="H572" s="787"/>
      <c r="I572" s="567"/>
      <c r="J572" s="590"/>
      <c r="K572" s="491"/>
    </row>
    <row r="573" spans="1:12" ht="23.25" customHeight="1" outlineLevel="1" x14ac:dyDescent="0.3">
      <c r="A573" s="443">
        <f>A571+1</f>
        <v>432</v>
      </c>
      <c r="B573" s="428" t="s">
        <v>1469</v>
      </c>
      <c r="C573" s="442" t="s">
        <v>1446</v>
      </c>
      <c r="D573" s="568">
        <v>12</v>
      </c>
      <c r="E573" s="575">
        <f>ROUND(F573/D573,2)</f>
        <v>3561.88</v>
      </c>
      <c r="F573" s="585">
        <v>42742.55</v>
      </c>
      <c r="G573" s="767">
        <v>15000</v>
      </c>
      <c r="H573" s="785">
        <f t="shared" ref="H573:H576" si="401">ROUND(G573*D573,2)</f>
        <v>180000</v>
      </c>
      <c r="I573" s="482">
        <f t="shared" si="400"/>
        <v>-11438.12</v>
      </c>
      <c r="J573" s="481">
        <f t="shared" ref="J573:J576" si="402">F573-H573</f>
        <v>-137257.45000000001</v>
      </c>
    </row>
    <row r="574" spans="1:12" ht="21.75" customHeight="1" outlineLevel="1" x14ac:dyDescent="0.3">
      <c r="A574" s="443">
        <f>A573+1</f>
        <v>433</v>
      </c>
      <c r="B574" s="428" t="s">
        <v>1865</v>
      </c>
      <c r="C574" s="442" t="s">
        <v>1446</v>
      </c>
      <c r="D574" s="568">
        <v>12</v>
      </c>
      <c r="E574" s="575">
        <f t="shared" ref="E574:E576" si="403">ROUND(F574/D574,2)</f>
        <v>5140.8999999999996</v>
      </c>
      <c r="F574" s="585">
        <v>61690.85</v>
      </c>
      <c r="G574" s="767">
        <v>5000</v>
      </c>
      <c r="H574" s="785">
        <f t="shared" si="401"/>
        <v>60000</v>
      </c>
      <c r="I574" s="482">
        <f t="shared" si="400"/>
        <v>140.9</v>
      </c>
      <c r="J574" s="481">
        <f t="shared" si="402"/>
        <v>1690.8499999999985</v>
      </c>
    </row>
    <row r="575" spans="1:12" ht="20.25" customHeight="1" outlineLevel="1" x14ac:dyDescent="0.3">
      <c r="A575" s="443">
        <f t="shared" ref="A575:A576" si="404">A574+1</f>
        <v>434</v>
      </c>
      <c r="B575" s="428" t="s">
        <v>1844</v>
      </c>
      <c r="C575" s="442" t="s">
        <v>1390</v>
      </c>
      <c r="D575" s="568">
        <v>547</v>
      </c>
      <c r="E575" s="575">
        <f t="shared" si="403"/>
        <v>36.99</v>
      </c>
      <c r="F575" s="585">
        <f>ROUND((1717550.21-1677085.13)/1094*D575,2)</f>
        <v>20232.54</v>
      </c>
      <c r="G575" s="767">
        <v>77.599999999999994</v>
      </c>
      <c r="H575" s="785">
        <f t="shared" si="401"/>
        <v>42447.199999999997</v>
      </c>
      <c r="I575" s="482">
        <f t="shared" si="400"/>
        <v>-40.61</v>
      </c>
      <c r="J575" s="481">
        <f t="shared" si="402"/>
        <v>-22214.659999999996</v>
      </c>
    </row>
    <row r="576" spans="1:12" ht="20.25" customHeight="1" outlineLevel="1" x14ac:dyDescent="0.3">
      <c r="A576" s="443">
        <f t="shared" si="404"/>
        <v>435</v>
      </c>
      <c r="B576" s="428" t="s">
        <v>1825</v>
      </c>
      <c r="C576" s="442" t="s">
        <v>1390</v>
      </c>
      <c r="D576" s="568">
        <v>547</v>
      </c>
      <c r="E576" s="575">
        <f t="shared" si="403"/>
        <v>36.99</v>
      </c>
      <c r="F576" s="585">
        <f>ROUND((1717550.21-1677085.13)/1094*D576,2)</f>
        <v>20232.54</v>
      </c>
      <c r="G576" s="767">
        <v>77.599999999999994</v>
      </c>
      <c r="H576" s="785">
        <f t="shared" si="401"/>
        <v>42447.199999999997</v>
      </c>
      <c r="I576" s="482">
        <f t="shared" si="400"/>
        <v>-40.61</v>
      </c>
      <c r="J576" s="481">
        <f t="shared" si="402"/>
        <v>-22214.659999999996</v>
      </c>
    </row>
    <row r="577" spans="1:12" s="484" customFormat="1" ht="15" customHeight="1" outlineLevel="1" x14ac:dyDescent="0.3">
      <c r="A577" s="535"/>
      <c r="B577" s="503" t="s">
        <v>1828</v>
      </c>
      <c r="C577" s="504"/>
      <c r="D577" s="505"/>
      <c r="E577" s="566"/>
      <c r="F577" s="586"/>
      <c r="G577" s="786"/>
      <c r="H577" s="787"/>
      <c r="I577" s="567"/>
      <c r="J577" s="590"/>
      <c r="K577" s="491"/>
    </row>
    <row r="578" spans="1:12" ht="21" customHeight="1" outlineLevel="1" x14ac:dyDescent="0.3">
      <c r="A578" s="443">
        <f>A576+1</f>
        <v>436</v>
      </c>
      <c r="B578" s="428" t="s">
        <v>1521</v>
      </c>
      <c r="C578" s="442" t="s">
        <v>40</v>
      </c>
      <c r="D578" s="568">
        <v>1</v>
      </c>
      <c r="E578" s="575">
        <f>ROUND(F578/D578,2)</f>
        <v>1648.18</v>
      </c>
      <c r="F578" s="585">
        <f>1648.18</f>
        <v>1648.18</v>
      </c>
      <c r="G578" s="767">
        <v>1648.18</v>
      </c>
      <c r="H578" s="785">
        <f t="shared" ref="H578" si="405">ROUND(G578*D578,2)</f>
        <v>1648.18</v>
      </c>
      <c r="I578" s="482">
        <f t="shared" si="400"/>
        <v>0</v>
      </c>
      <c r="J578" s="481">
        <f t="shared" ref="J578" si="406">F578-H578</f>
        <v>0</v>
      </c>
    </row>
    <row r="579" spans="1:12" s="484" customFormat="1" ht="15" customHeight="1" outlineLevel="1" x14ac:dyDescent="0.3">
      <c r="A579" s="443">
        <f>A578+1</f>
        <v>437</v>
      </c>
      <c r="B579" s="503" t="s">
        <v>1512</v>
      </c>
      <c r="C579" s="504"/>
      <c r="D579" s="505"/>
      <c r="E579" s="566"/>
      <c r="F579" s="586"/>
      <c r="G579" s="786"/>
      <c r="H579" s="787"/>
      <c r="I579" s="567"/>
      <c r="J579" s="590"/>
      <c r="K579" s="491"/>
    </row>
    <row r="580" spans="1:12" ht="20.25" customHeight="1" outlineLevel="1" x14ac:dyDescent="0.3">
      <c r="A580" s="443">
        <f>A579+1</f>
        <v>438</v>
      </c>
      <c r="B580" s="428" t="s">
        <v>1703</v>
      </c>
      <c r="C580" s="442" t="s">
        <v>17</v>
      </c>
      <c r="D580" s="565">
        <v>102.06</v>
      </c>
      <c r="E580" s="575">
        <f t="shared" ref="E580:E581" si="407">ROUND(F580/D580,2)</f>
        <v>950.73</v>
      </c>
      <c r="F580" s="585">
        <f>97031.13</f>
        <v>97031.13</v>
      </c>
      <c r="G580" s="767">
        <v>1680</v>
      </c>
      <c r="H580" s="785">
        <f t="shared" ref="H580:H581" si="408">ROUND(G580*D580,2)</f>
        <v>171460.8</v>
      </c>
      <c r="I580" s="482">
        <f t="shared" si="400"/>
        <v>-729.27</v>
      </c>
      <c r="J580" s="481">
        <f t="shared" ref="J580:J581" si="409">F580-H580</f>
        <v>-74429.669999999984</v>
      </c>
      <c r="K580" s="528"/>
      <c r="L580" s="527"/>
    </row>
    <row r="581" spans="1:12" ht="21.75" customHeight="1" outlineLevel="1" x14ac:dyDescent="0.3">
      <c r="A581" s="443">
        <f>A580+1</f>
        <v>439</v>
      </c>
      <c r="B581" s="428" t="s">
        <v>1513</v>
      </c>
      <c r="C581" s="442" t="s">
        <v>20</v>
      </c>
      <c r="D581" s="568">
        <v>1361</v>
      </c>
      <c r="E581" s="575">
        <f t="shared" si="407"/>
        <v>957</v>
      </c>
      <c r="F581" s="585">
        <v>1302477</v>
      </c>
      <c r="G581" s="767">
        <v>957</v>
      </c>
      <c r="H581" s="785">
        <f t="shared" si="408"/>
        <v>1302477</v>
      </c>
      <c r="I581" s="482">
        <f t="shared" si="400"/>
        <v>0</v>
      </c>
      <c r="J581" s="481">
        <f t="shared" si="409"/>
        <v>0</v>
      </c>
    </row>
    <row r="582" spans="1:12" s="484" customFormat="1" ht="15" customHeight="1" outlineLevel="1" x14ac:dyDescent="0.3">
      <c r="A582" s="535"/>
      <c r="B582" s="503" t="s">
        <v>1522</v>
      </c>
      <c r="C582" s="504"/>
      <c r="D582" s="505"/>
      <c r="E582" s="566"/>
      <c r="F582" s="586"/>
      <c r="G582" s="786"/>
      <c r="H582" s="787"/>
      <c r="I582" s="567"/>
      <c r="J582" s="590"/>
      <c r="K582" s="491"/>
    </row>
    <row r="583" spans="1:12" ht="21.75" customHeight="1" outlineLevel="1" x14ac:dyDescent="0.3">
      <c r="A583" s="443">
        <f>A581+1</f>
        <v>440</v>
      </c>
      <c r="B583" s="428" t="s">
        <v>1527</v>
      </c>
      <c r="C583" s="442" t="s">
        <v>17</v>
      </c>
      <c r="D583" s="565">
        <v>5.88</v>
      </c>
      <c r="E583" s="575">
        <f>ROUND(F583/D583,2)</f>
        <v>1317.1</v>
      </c>
      <c r="F583" s="585">
        <v>7744.57</v>
      </c>
      <c r="G583" s="767">
        <v>1680</v>
      </c>
      <c r="H583" s="785">
        <f t="shared" ref="H583" si="410">ROUND(G583*D583,2)</f>
        <v>9878.4</v>
      </c>
      <c r="I583" s="482">
        <f t="shared" si="400"/>
        <v>-362.9</v>
      </c>
      <c r="J583" s="481">
        <f>F583-H583</f>
        <v>-2133.83</v>
      </c>
    </row>
    <row r="584" spans="1:12" ht="21.75" customHeight="1" outlineLevel="1" x14ac:dyDescent="0.3">
      <c r="A584" s="852">
        <f>A583+1</f>
        <v>441</v>
      </c>
      <c r="B584" s="428" t="s">
        <v>1523</v>
      </c>
      <c r="C584" s="442" t="s">
        <v>17</v>
      </c>
      <c r="D584" s="565">
        <v>10.5</v>
      </c>
      <c r="E584" s="854">
        <f>ROUND(F584/D585,2)</f>
        <v>950.56</v>
      </c>
      <c r="F584" s="856">
        <v>199617.6</v>
      </c>
      <c r="G584" s="858">
        <v>950.56</v>
      </c>
      <c r="H584" s="843">
        <f>G584*D585</f>
        <v>199617.59999999998</v>
      </c>
      <c r="I584" s="848">
        <f>ROUND(E584-G584,2)</f>
        <v>0</v>
      </c>
      <c r="J584" s="850">
        <f>F584-H584</f>
        <v>0</v>
      </c>
    </row>
    <row r="585" spans="1:12" ht="21" customHeight="1" outlineLevel="1" x14ac:dyDescent="0.3">
      <c r="A585" s="853"/>
      <c r="B585" s="428" t="s">
        <v>1386</v>
      </c>
      <c r="C585" s="442" t="s">
        <v>5</v>
      </c>
      <c r="D585" s="568">
        <v>210</v>
      </c>
      <c r="E585" s="855"/>
      <c r="F585" s="857"/>
      <c r="G585" s="859"/>
      <c r="H585" s="844"/>
      <c r="I585" s="849"/>
      <c r="J585" s="851"/>
    </row>
    <row r="586" spans="1:12" s="484" customFormat="1" ht="14.25" customHeight="1" outlineLevel="1" x14ac:dyDescent="0.3">
      <c r="A586" s="535"/>
      <c r="B586" s="503" t="s">
        <v>1869</v>
      </c>
      <c r="C586" s="504"/>
      <c r="D586" s="505"/>
      <c r="E586" s="566"/>
      <c r="F586" s="586"/>
      <c r="G586" s="786"/>
      <c r="H586" s="787"/>
      <c r="I586" s="567"/>
      <c r="J586" s="590"/>
      <c r="K586" s="491"/>
    </row>
    <row r="587" spans="1:12" ht="33.75" customHeight="1" outlineLevel="1" x14ac:dyDescent="0.3">
      <c r="A587" s="443">
        <f>A584+1</f>
        <v>442</v>
      </c>
      <c r="B587" s="428" t="s">
        <v>1870</v>
      </c>
      <c r="C587" s="442" t="s">
        <v>1131</v>
      </c>
      <c r="D587" s="565">
        <v>114.47</v>
      </c>
      <c r="E587" s="575">
        <f>ROUND(F587/D587,2)</f>
        <v>1051.8699999999999</v>
      </c>
      <c r="F587" s="585">
        <f>ROUND(303721.38/288.75*D587,2)+2.52</f>
        <v>120407.67</v>
      </c>
      <c r="G587" s="767">
        <v>1788.15</v>
      </c>
      <c r="H587" s="785">
        <f t="shared" ref="H587:H589" si="411">ROUND(G587*D587,2)</f>
        <v>204689.53</v>
      </c>
      <c r="I587" s="482">
        <f t="shared" ref="I587:I589" si="412">ROUND(E587-G587,2)</f>
        <v>-736.28</v>
      </c>
      <c r="J587" s="481">
        <f t="shared" ref="J587:J589" si="413">F587-H587</f>
        <v>-84281.86</v>
      </c>
    </row>
    <row r="588" spans="1:12" ht="20.25" customHeight="1" outlineLevel="1" x14ac:dyDescent="0.3">
      <c r="A588" s="443">
        <f>A587+1</f>
        <v>443</v>
      </c>
      <c r="B588" s="540" t="s">
        <v>1534</v>
      </c>
      <c r="C588" s="442" t="s">
        <v>1131</v>
      </c>
      <c r="D588" s="565">
        <v>114.47</v>
      </c>
      <c r="E588" s="575">
        <f t="shared" ref="E588:E589" si="414">ROUND(F588/D588,2)</f>
        <v>0</v>
      </c>
      <c r="F588" s="585"/>
      <c r="G588" s="767"/>
      <c r="H588" s="785">
        <f t="shared" si="411"/>
        <v>0</v>
      </c>
      <c r="I588" s="482">
        <f t="shared" si="412"/>
        <v>0</v>
      </c>
      <c r="J588" s="481">
        <f t="shared" si="413"/>
        <v>0</v>
      </c>
      <c r="K588" s="489" t="s">
        <v>1536</v>
      </c>
    </row>
    <row r="589" spans="1:12" ht="20.25" customHeight="1" outlineLevel="1" x14ac:dyDescent="0.3">
      <c r="A589" s="443">
        <f t="shared" ref="A589" si="415">A588+1</f>
        <v>444</v>
      </c>
      <c r="B589" s="540" t="s">
        <v>1535</v>
      </c>
      <c r="C589" s="442" t="s">
        <v>1131</v>
      </c>
      <c r="D589" s="565">
        <v>114.47</v>
      </c>
      <c r="E589" s="575">
        <f t="shared" si="414"/>
        <v>0</v>
      </c>
      <c r="F589" s="585"/>
      <c r="G589" s="767"/>
      <c r="H589" s="785">
        <f t="shared" si="411"/>
        <v>0</v>
      </c>
      <c r="I589" s="482">
        <f t="shared" si="412"/>
        <v>0</v>
      </c>
      <c r="J589" s="481">
        <f t="shared" si="413"/>
        <v>0</v>
      </c>
      <c r="K589" s="489" t="s">
        <v>1536</v>
      </c>
    </row>
    <row r="590" spans="1:12" s="484" customFormat="1" ht="21.75" customHeight="1" x14ac:dyDescent="0.3">
      <c r="A590" s="555"/>
      <c r="B590" s="612" t="s">
        <v>1898</v>
      </c>
      <c r="C590" s="613"/>
      <c r="D590" s="614"/>
      <c r="E590" s="615"/>
      <c r="F590" s="616">
        <f>SUM(F558:F589)</f>
        <v>2649144.2999999998</v>
      </c>
      <c r="G590" s="772"/>
      <c r="H590" s="773">
        <f>SUM(H558:H589)</f>
        <v>3233678.0199999996</v>
      </c>
      <c r="I590" s="617"/>
      <c r="J590" s="616">
        <f>SUM(J558:J589)</f>
        <v>-584533.72</v>
      </c>
      <c r="K590" s="550">
        <f>F590+'ТП М'!F449</f>
        <v>16696514.392232001</v>
      </c>
      <c r="L590" s="549"/>
    </row>
    <row r="591" spans="1:12" s="484" customFormat="1" ht="21.75" customHeight="1" outlineLevel="1" x14ac:dyDescent="0.3">
      <c r="A591" s="486"/>
      <c r="B591" s="487" t="s">
        <v>1872</v>
      </c>
      <c r="C591" s="488"/>
      <c r="D591" s="497"/>
      <c r="E591" s="563"/>
      <c r="F591" s="584">
        <f>SUM(F592)</f>
        <v>1210634.68</v>
      </c>
      <c r="G591" s="789"/>
      <c r="H591" s="790">
        <f>SUM(H592)</f>
        <v>0</v>
      </c>
      <c r="I591" s="564"/>
      <c r="J591" s="592">
        <f>SUM(J592)</f>
        <v>1210634.68</v>
      </c>
      <c r="K591" s="491"/>
    </row>
    <row r="592" spans="1:12" ht="23.25" customHeight="1" outlineLevel="1" x14ac:dyDescent="0.3">
      <c r="A592" s="443">
        <f>A589+1</f>
        <v>445</v>
      </c>
      <c r="B592" s="428" t="s">
        <v>1873</v>
      </c>
      <c r="C592" s="442" t="s">
        <v>1874</v>
      </c>
      <c r="D592" s="568">
        <v>1</v>
      </c>
      <c r="E592" s="480">
        <f>ROUND(F592/D592,2)</f>
        <v>1210634.68</v>
      </c>
      <c r="F592" s="585">
        <f>1210634.68</f>
        <v>1210634.68</v>
      </c>
      <c r="G592" s="767">
        <v>0</v>
      </c>
      <c r="H592" s="785">
        <f t="shared" ref="H592" si="416">ROUND(G592*D592,2)</f>
        <v>0</v>
      </c>
      <c r="I592" s="482">
        <f t="shared" ref="I592" si="417">ROUND(E592-G592,2)</f>
        <v>1210634.68</v>
      </c>
      <c r="J592" s="481">
        <f t="shared" ref="J592" si="418">F592-H592</f>
        <v>1210634.68</v>
      </c>
    </row>
    <row r="593" spans="1:12" s="484" customFormat="1" ht="21.75" customHeight="1" x14ac:dyDescent="0.3">
      <c r="A593" s="555"/>
      <c r="B593" s="612" t="s">
        <v>1900</v>
      </c>
      <c r="C593" s="633"/>
      <c r="D593" s="634"/>
      <c r="E593" s="615"/>
      <c r="F593" s="616">
        <f>F592</f>
        <v>1210634.68</v>
      </c>
      <c r="G593" s="772"/>
      <c r="H593" s="773">
        <f>H592</f>
        <v>0</v>
      </c>
      <c r="I593" s="617"/>
      <c r="J593" s="616">
        <f>J592</f>
        <v>1210634.68</v>
      </c>
      <c r="K593" s="550"/>
      <c r="L593" s="549"/>
    </row>
    <row r="594" spans="1:12" s="483" customFormat="1" ht="27.75" customHeight="1" x14ac:dyDescent="0.35">
      <c r="A594" s="635"/>
      <c r="B594" s="886" t="s">
        <v>1899</v>
      </c>
      <c r="C594" s="887"/>
      <c r="D594" s="887"/>
      <c r="E594" s="636"/>
      <c r="F594" s="637">
        <f>F593+F590+F556+F508+F472+F368+F261+F171+F115</f>
        <v>211302934.33708647</v>
      </c>
      <c r="G594" s="791"/>
      <c r="H594" s="792">
        <f>H593+H590+H556+H508+H472+H368+H261+H171+H115</f>
        <v>290137837.27089995</v>
      </c>
      <c r="I594" s="639"/>
      <c r="J594" s="637">
        <f>J593+J590+J556+J508+J472+J368+J261+J171+J115</f>
        <v>-78834902.933813542</v>
      </c>
      <c r="K594" s="490"/>
    </row>
    <row r="595" spans="1:12" x14ac:dyDescent="0.3">
      <c r="A595" s="432"/>
      <c r="B595" s="430"/>
      <c r="C595" s="431"/>
      <c r="D595" s="438"/>
      <c r="E595" s="433"/>
      <c r="F595" s="556"/>
      <c r="G595" s="434"/>
      <c r="H595" s="435"/>
      <c r="I595" s="436"/>
      <c r="J595" s="557"/>
    </row>
  </sheetData>
  <mergeCells count="267">
    <mergeCell ref="B594:D594"/>
    <mergeCell ref="B6:J6"/>
    <mergeCell ref="B172:J172"/>
    <mergeCell ref="B116:J116"/>
    <mergeCell ref="I244:I245"/>
    <mergeCell ref="B369:J369"/>
    <mergeCell ref="A541:A542"/>
    <mergeCell ref="E541:E542"/>
    <mergeCell ref="F541:F542"/>
    <mergeCell ref="G541:G542"/>
    <mergeCell ref="A524:A525"/>
    <mergeCell ref="F144:F145"/>
    <mergeCell ref="A164:A165"/>
    <mergeCell ref="A204:A205"/>
    <mergeCell ref="A206:A207"/>
    <mergeCell ref="A208:A209"/>
    <mergeCell ref="A244:A245"/>
    <mergeCell ref="A254:A255"/>
    <mergeCell ref="A286:A287"/>
    <mergeCell ref="A289:A290"/>
    <mergeCell ref="A292:A293"/>
    <mergeCell ref="G399:G400"/>
    <mergeCell ref="E144:E145"/>
    <mergeCell ref="E208:E209"/>
    <mergeCell ref="H584:H585"/>
    <mergeCell ref="I584:I585"/>
    <mergeCell ref="J584:J585"/>
    <mergeCell ref="A549:A550"/>
    <mergeCell ref="E549:E550"/>
    <mergeCell ref="F549:F550"/>
    <mergeCell ref="G549:G550"/>
    <mergeCell ref="H549:H550"/>
    <mergeCell ref="I549:I550"/>
    <mergeCell ref="J549:J550"/>
    <mergeCell ref="A569:A570"/>
    <mergeCell ref="E569:E570"/>
    <mergeCell ref="F569:F570"/>
    <mergeCell ref="I569:I570"/>
    <mergeCell ref="J569:J570"/>
    <mergeCell ref="G569:G570"/>
    <mergeCell ref="A584:A585"/>
    <mergeCell ref="E584:E585"/>
    <mergeCell ref="F584:F585"/>
    <mergeCell ref="G584:G585"/>
    <mergeCell ref="J541:J542"/>
    <mergeCell ref="E41:E42"/>
    <mergeCell ref="F41:F42"/>
    <mergeCell ref="I41:I42"/>
    <mergeCell ref="J41:J42"/>
    <mergeCell ref="E44:E45"/>
    <mergeCell ref="F44:F45"/>
    <mergeCell ref="I44:I45"/>
    <mergeCell ref="J44:J45"/>
    <mergeCell ref="E524:E525"/>
    <mergeCell ref="F524:F525"/>
    <mergeCell ref="I524:I525"/>
    <mergeCell ref="J524:J525"/>
    <mergeCell ref="F46:F47"/>
    <mergeCell ref="I46:I47"/>
    <mergeCell ref="J46:J47"/>
    <mergeCell ref="F92:F93"/>
    <mergeCell ref="G92:G93"/>
    <mergeCell ref="H92:H93"/>
    <mergeCell ref="J92:J93"/>
    <mergeCell ref="J108:J109"/>
    <mergeCell ref="G524:G525"/>
    <mergeCell ref="E46:E47"/>
    <mergeCell ref="E92:E93"/>
    <mergeCell ref="A1:J1"/>
    <mergeCell ref="A2:A4"/>
    <mergeCell ref="B2:B4"/>
    <mergeCell ref="C2:C4"/>
    <mergeCell ref="D2:D4"/>
    <mergeCell ref="E2:F3"/>
    <mergeCell ref="G2:H3"/>
    <mergeCell ref="I2:J3"/>
    <mergeCell ref="B5:D5"/>
    <mergeCell ref="E142:E143"/>
    <mergeCell ref="E292:E293"/>
    <mergeCell ref="F142:F143"/>
    <mergeCell ref="I142:I143"/>
    <mergeCell ref="J142:J143"/>
    <mergeCell ref="E108:E109"/>
    <mergeCell ref="F108:F109"/>
    <mergeCell ref="G108:G109"/>
    <mergeCell ref="H108:H109"/>
    <mergeCell ref="I108:I109"/>
    <mergeCell ref="G142:G143"/>
    <mergeCell ref="H142:H143"/>
    <mergeCell ref="I144:I145"/>
    <mergeCell ref="J144:J145"/>
    <mergeCell ref="E156:E157"/>
    <mergeCell ref="F156:F157"/>
    <mergeCell ref="G156:G157"/>
    <mergeCell ref="H156:H157"/>
    <mergeCell ref="I156:I157"/>
    <mergeCell ref="J156:J157"/>
    <mergeCell ref="F208:F209"/>
    <mergeCell ref="I208:I209"/>
    <mergeCell ref="J208:J209"/>
    <mergeCell ref="G244:G245"/>
    <mergeCell ref="H244:H245"/>
    <mergeCell ref="G286:G287"/>
    <mergeCell ref="E204:E205"/>
    <mergeCell ref="I204:I205"/>
    <mergeCell ref="J204:J205"/>
    <mergeCell ref="J164:J165"/>
    <mergeCell ref="E206:E207"/>
    <mergeCell ref="F206:F207"/>
    <mergeCell ref="I206:I207"/>
    <mergeCell ref="J206:J207"/>
    <mergeCell ref="E164:E165"/>
    <mergeCell ref="F164:F165"/>
    <mergeCell ref="G164:G165"/>
    <mergeCell ref="H164:H165"/>
    <mergeCell ref="I164:I165"/>
    <mergeCell ref="G204:G205"/>
    <mergeCell ref="G206:G207"/>
    <mergeCell ref="F204:F205"/>
    <mergeCell ref="F286:F287"/>
    <mergeCell ref="E286:E287"/>
    <mergeCell ref="G208:G209"/>
    <mergeCell ref="A46:A47"/>
    <mergeCell ref="A92:A93"/>
    <mergeCell ref="A108:A109"/>
    <mergeCell ref="A142:A143"/>
    <mergeCell ref="A144:A145"/>
    <mergeCell ref="A156:A157"/>
    <mergeCell ref="A41:A42"/>
    <mergeCell ref="A44:A45"/>
    <mergeCell ref="I292:I293"/>
    <mergeCell ref="G41:G42"/>
    <mergeCell ref="H41:H42"/>
    <mergeCell ref="G44:G45"/>
    <mergeCell ref="H44:H45"/>
    <mergeCell ref="G46:G47"/>
    <mergeCell ref="H46:H47"/>
    <mergeCell ref="G144:G145"/>
    <mergeCell ref="I286:I287"/>
    <mergeCell ref="E254:E255"/>
    <mergeCell ref="F254:F255"/>
    <mergeCell ref="G254:G255"/>
    <mergeCell ref="H254:H255"/>
    <mergeCell ref="I254:I255"/>
    <mergeCell ref="E244:E245"/>
    <mergeCell ref="F244:F245"/>
    <mergeCell ref="A294:A295"/>
    <mergeCell ref="E294:E295"/>
    <mergeCell ref="F294:F295"/>
    <mergeCell ref="I294:I295"/>
    <mergeCell ref="J294:J295"/>
    <mergeCell ref="E289:E290"/>
    <mergeCell ref="F289:F290"/>
    <mergeCell ref="I289:I290"/>
    <mergeCell ref="J289:J290"/>
    <mergeCell ref="G289:G290"/>
    <mergeCell ref="G292:G293"/>
    <mergeCell ref="G294:G295"/>
    <mergeCell ref="H294:H295"/>
    <mergeCell ref="F292:F293"/>
    <mergeCell ref="A339:A340"/>
    <mergeCell ref="E339:E340"/>
    <mergeCell ref="F339:F340"/>
    <mergeCell ref="G339:G340"/>
    <mergeCell ref="H339:H340"/>
    <mergeCell ref="I339:I340"/>
    <mergeCell ref="J339:J340"/>
    <mergeCell ref="G296:G297"/>
    <mergeCell ref="H296:H297"/>
    <mergeCell ref="A296:A297"/>
    <mergeCell ref="E296:E297"/>
    <mergeCell ref="F296:F297"/>
    <mergeCell ref="I296:I297"/>
    <mergeCell ref="A361:A362"/>
    <mergeCell ref="E361:E362"/>
    <mergeCell ref="F361:F362"/>
    <mergeCell ref="G361:G362"/>
    <mergeCell ref="H361:H362"/>
    <mergeCell ref="I361:I362"/>
    <mergeCell ref="J361:J362"/>
    <mergeCell ref="G394:G395"/>
    <mergeCell ref="G397:G398"/>
    <mergeCell ref="H394:H395"/>
    <mergeCell ref="H397:H398"/>
    <mergeCell ref="A394:A395"/>
    <mergeCell ref="E394:E395"/>
    <mergeCell ref="F394:F395"/>
    <mergeCell ref="I394:I395"/>
    <mergeCell ref="A399:A400"/>
    <mergeCell ref="E399:E400"/>
    <mergeCell ref="F399:F400"/>
    <mergeCell ref="I399:I400"/>
    <mergeCell ref="J394:J395"/>
    <mergeCell ref="A397:A398"/>
    <mergeCell ref="E397:E398"/>
    <mergeCell ref="F397:F398"/>
    <mergeCell ref="I397:I398"/>
    <mergeCell ref="J397:J398"/>
    <mergeCell ref="A401:A402"/>
    <mergeCell ref="E401:E402"/>
    <mergeCell ref="F401:F402"/>
    <mergeCell ref="I401:I402"/>
    <mergeCell ref="J401:J402"/>
    <mergeCell ref="G403:G404"/>
    <mergeCell ref="H403:H404"/>
    <mergeCell ref="G401:G402"/>
    <mergeCell ref="H401:H402"/>
    <mergeCell ref="A403:A404"/>
    <mergeCell ref="E403:E404"/>
    <mergeCell ref="F403:F404"/>
    <mergeCell ref="E443:E444"/>
    <mergeCell ref="F443:F444"/>
    <mergeCell ref="G443:G444"/>
    <mergeCell ref="H443:H444"/>
    <mergeCell ref="A502:A503"/>
    <mergeCell ref="E502:E503"/>
    <mergeCell ref="F502:F503"/>
    <mergeCell ref="G502:G503"/>
    <mergeCell ref="H502:H503"/>
    <mergeCell ref="J443:J444"/>
    <mergeCell ref="A465:A466"/>
    <mergeCell ref="E465:E466"/>
    <mergeCell ref="F465:F466"/>
    <mergeCell ref="G465:G466"/>
    <mergeCell ref="H465:H466"/>
    <mergeCell ref="I465:I466"/>
    <mergeCell ref="J465:J466"/>
    <mergeCell ref="A489:A490"/>
    <mergeCell ref="E489:E490"/>
    <mergeCell ref="F489:F490"/>
    <mergeCell ref="I489:I490"/>
    <mergeCell ref="J489:J490"/>
    <mergeCell ref="A487:A488"/>
    <mergeCell ref="E487:E488"/>
    <mergeCell ref="F487:F488"/>
    <mergeCell ref="I487:I488"/>
    <mergeCell ref="J487:J488"/>
    <mergeCell ref="G487:G488"/>
    <mergeCell ref="H487:H488"/>
    <mergeCell ref="H489:H490"/>
    <mergeCell ref="G489:G490"/>
    <mergeCell ref="I443:I444"/>
    <mergeCell ref="A443:A444"/>
    <mergeCell ref="H524:H525"/>
    <mergeCell ref="H569:H570"/>
    <mergeCell ref="H144:H145"/>
    <mergeCell ref="H204:H205"/>
    <mergeCell ref="H206:H207"/>
    <mergeCell ref="H208:H209"/>
    <mergeCell ref="H286:H287"/>
    <mergeCell ref="H289:H290"/>
    <mergeCell ref="H292:H293"/>
    <mergeCell ref="H541:H542"/>
    <mergeCell ref="B473:J473"/>
    <mergeCell ref="I502:I503"/>
    <mergeCell ref="B509:J509"/>
    <mergeCell ref="B557:J557"/>
    <mergeCell ref="J502:J503"/>
    <mergeCell ref="I403:I404"/>
    <mergeCell ref="J403:J404"/>
    <mergeCell ref="J399:J400"/>
    <mergeCell ref="H399:H400"/>
    <mergeCell ref="J296:J297"/>
    <mergeCell ref="J292:J293"/>
    <mergeCell ref="J286:J287"/>
    <mergeCell ref="J244:J245"/>
    <mergeCell ref="J254:J255"/>
  </mergeCells>
  <phoneticPr fontId="73" type="noConversion"/>
  <pageMargins left="0.7" right="0.7" top="0.75" bottom="0.75" header="0.3" footer="0.3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L451"/>
  <sheetViews>
    <sheetView view="pageBreakPreview" zoomScale="60" zoomScaleNormal="60" workbookViewId="0">
      <pane ySplit="4" topLeftCell="A5" activePane="bottomLeft" state="frozen"/>
      <selection pane="bottomLeft" activeCell="G33" sqref="G33"/>
    </sheetView>
  </sheetViews>
  <sheetFormatPr defaultRowHeight="18" outlineLevelRow="1" x14ac:dyDescent="0.3"/>
  <cols>
    <col min="1" max="1" width="6.109375" customWidth="1"/>
    <col min="2" max="2" width="105.88671875" style="106" customWidth="1"/>
    <col min="3" max="3" width="9.109375" style="106" customWidth="1"/>
    <col min="4" max="4" width="13.88671875" customWidth="1"/>
    <col min="5" max="5" width="15.33203125" style="271" customWidth="1"/>
    <col min="6" max="6" width="19.6640625" style="198" customWidth="1"/>
    <col min="7" max="7" width="15.5546875" style="295" customWidth="1"/>
    <col min="8" max="8" width="19.33203125" style="209" customWidth="1"/>
    <col min="9" max="9" width="15.5546875" style="271" customWidth="1"/>
    <col min="10" max="10" width="20.109375" style="211" customWidth="1"/>
    <col min="11" max="11" width="25.5546875" style="518" customWidth="1"/>
  </cols>
  <sheetData>
    <row r="1" spans="1:11" ht="93" customHeight="1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1" ht="23.25" customHeight="1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1375</v>
      </c>
      <c r="H2" s="877"/>
      <c r="I2" s="880" t="s">
        <v>1376</v>
      </c>
      <c r="J2" s="881"/>
    </row>
    <row r="3" spans="1:11" ht="9.75" customHeight="1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1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1" s="483" customFormat="1" ht="30" customHeight="1" x14ac:dyDescent="0.35">
      <c r="A5" s="485"/>
      <c r="B5" s="905" t="s">
        <v>1388</v>
      </c>
      <c r="C5" s="906"/>
      <c r="D5" s="906"/>
      <c r="E5" s="906"/>
      <c r="F5" s="906"/>
      <c r="G5" s="906"/>
      <c r="H5" s="906"/>
      <c r="I5" s="906"/>
      <c r="J5" s="906"/>
      <c r="K5" s="498"/>
    </row>
    <row r="6" spans="1:11" s="484" customFormat="1" ht="21.75" customHeight="1" x14ac:dyDescent="0.3">
      <c r="A6" s="486"/>
      <c r="B6" s="902" t="s">
        <v>1392</v>
      </c>
      <c r="C6" s="903"/>
      <c r="D6" s="903"/>
      <c r="E6" s="903"/>
      <c r="F6" s="903"/>
      <c r="G6" s="903"/>
      <c r="H6" s="903"/>
      <c r="I6" s="903"/>
      <c r="J6" s="904"/>
      <c r="K6" s="491"/>
    </row>
    <row r="7" spans="1:11" ht="21.75" customHeight="1" outlineLevel="1" x14ac:dyDescent="0.3">
      <c r="A7" s="443">
        <f>1</f>
        <v>1</v>
      </c>
      <c r="B7" s="428" t="s">
        <v>1429</v>
      </c>
      <c r="C7" s="422" t="s">
        <v>17</v>
      </c>
      <c r="D7" s="548">
        <v>6928.3998000000001</v>
      </c>
      <c r="E7" s="480">
        <f>ROUND(F7/D7,2)</f>
        <v>475.62</v>
      </c>
      <c r="F7" s="479">
        <v>3295260.57</v>
      </c>
      <c r="G7" s="552">
        <v>1200</v>
      </c>
      <c r="H7" s="619">
        <f>G7*D7</f>
        <v>8314079.7599999998</v>
      </c>
      <c r="I7" s="482">
        <f t="shared" ref="I7" si="0">E7-G7</f>
        <v>-724.38</v>
      </c>
      <c r="J7" s="481">
        <f t="shared" ref="J7" si="1">F7-H7</f>
        <v>-5018819.1899999995</v>
      </c>
      <c r="K7" s="519"/>
    </row>
    <row r="8" spans="1:11" s="514" customFormat="1" ht="32.25" customHeight="1" outlineLevel="1" x14ac:dyDescent="0.3">
      <c r="A8" s="443">
        <f>A7+1</f>
        <v>2</v>
      </c>
      <c r="B8" s="507" t="s">
        <v>1393</v>
      </c>
      <c r="C8" s="508" t="s">
        <v>20</v>
      </c>
      <c r="D8" s="509">
        <v>27584</v>
      </c>
      <c r="E8" s="510">
        <f t="shared" ref="E8:E37" si="2">ROUND(F8/D8,2)</f>
        <v>647.87</v>
      </c>
      <c r="F8" s="511">
        <v>17870887.460000001</v>
      </c>
      <c r="G8" s="798">
        <f>E8</f>
        <v>647.87</v>
      </c>
      <c r="H8" s="620">
        <f>D8*G8</f>
        <v>17870846.080000002</v>
      </c>
      <c r="I8" s="512">
        <f t="shared" ref="I8:I90" si="3">E8-G8</f>
        <v>0</v>
      </c>
      <c r="J8" s="513">
        <f t="shared" ref="J8:J90" si="4">F8-H8</f>
        <v>41.379999998956919</v>
      </c>
      <c r="K8" s="521"/>
    </row>
    <row r="9" spans="1:11" s="514" customFormat="1" ht="22.5" customHeight="1" outlineLevel="1" x14ac:dyDescent="0.3">
      <c r="A9" s="443">
        <f t="shared" ref="A9:A72" si="5">A8+1</f>
        <v>3</v>
      </c>
      <c r="B9" s="618" t="s">
        <v>1431</v>
      </c>
      <c r="C9" s="508" t="s">
        <v>20</v>
      </c>
      <c r="D9" s="509">
        <v>16740.59</v>
      </c>
      <c r="E9" s="510">
        <f t="shared" si="2"/>
        <v>5280.34</v>
      </c>
      <c r="F9" s="511">
        <v>88396020.390000001</v>
      </c>
      <c r="G9" s="622">
        <v>5280.34</v>
      </c>
      <c r="H9" s="620">
        <f t="shared" ref="H9:H72" si="6">D9*G9</f>
        <v>88396007.00060001</v>
      </c>
      <c r="I9" s="512">
        <f t="shared" si="3"/>
        <v>0</v>
      </c>
      <c r="J9" s="513">
        <f t="shared" si="4"/>
        <v>13.389399990439415</v>
      </c>
      <c r="K9" s="522" t="s">
        <v>1556</v>
      </c>
    </row>
    <row r="10" spans="1:11" ht="26.25" customHeight="1" outlineLevel="1" x14ac:dyDescent="0.3">
      <c r="A10" s="443">
        <f t="shared" si="5"/>
        <v>4</v>
      </c>
      <c r="B10" s="428" t="s">
        <v>1430</v>
      </c>
      <c r="C10" s="442" t="s">
        <v>17</v>
      </c>
      <c r="D10" s="500">
        <v>10454.570100000001</v>
      </c>
      <c r="E10" s="480">
        <f t="shared" ref="E10:E11" si="7">ROUND(F10/D10,2)</f>
        <v>1063.42</v>
      </c>
      <c r="F10" s="479">
        <v>11117610.439999999</v>
      </c>
      <c r="G10" s="552">
        <v>5000</v>
      </c>
      <c r="H10" s="620">
        <f t="shared" si="6"/>
        <v>52272850.500000007</v>
      </c>
      <c r="I10" s="482">
        <f t="shared" ref="I10:I11" si="8">E10-G10</f>
        <v>-3936.58</v>
      </c>
      <c r="J10" s="481">
        <f t="shared" ref="J10:J11" si="9">F10-H10</f>
        <v>-41155240.06000001</v>
      </c>
      <c r="K10" s="519"/>
    </row>
    <row r="11" spans="1:11" s="517" customFormat="1" ht="52.5" customHeight="1" outlineLevel="1" x14ac:dyDescent="0.3">
      <c r="A11" s="443">
        <f t="shared" si="5"/>
        <v>5</v>
      </c>
      <c r="B11" s="428" t="s">
        <v>1757</v>
      </c>
      <c r="C11" s="624" t="s">
        <v>1385</v>
      </c>
      <c r="D11" s="623">
        <v>1</v>
      </c>
      <c r="E11" s="480">
        <f t="shared" si="7"/>
        <v>792142.76</v>
      </c>
      <c r="F11" s="479">
        <f>26366785.27-25574642.51</f>
        <v>792142.75999999791</v>
      </c>
      <c r="G11" s="552">
        <v>792142.76</v>
      </c>
      <c r="H11" s="620">
        <f t="shared" si="6"/>
        <v>792142.76</v>
      </c>
      <c r="I11" s="482">
        <f t="shared" si="8"/>
        <v>0</v>
      </c>
      <c r="J11" s="481">
        <f t="shared" si="9"/>
        <v>-2.0954757928848267E-9</v>
      </c>
      <c r="K11" s="522" t="s">
        <v>1448</v>
      </c>
    </row>
    <row r="12" spans="1:11" s="514" customFormat="1" ht="22.5" customHeight="1" outlineLevel="1" x14ac:dyDescent="0.3">
      <c r="A12" s="443">
        <f t="shared" si="5"/>
        <v>6</v>
      </c>
      <c r="B12" s="507" t="s">
        <v>1755</v>
      </c>
      <c r="C12" s="508" t="s">
        <v>1391</v>
      </c>
      <c r="D12" s="509">
        <f>1232</f>
        <v>1232</v>
      </c>
      <c r="E12" s="510">
        <f>ROUND(F12/D12,2)</f>
        <v>2142</v>
      </c>
      <c r="F12" s="511">
        <f>2638944</f>
        <v>2638944</v>
      </c>
      <c r="G12" s="622">
        <v>2142</v>
      </c>
      <c r="H12" s="620">
        <f t="shared" si="6"/>
        <v>2638944</v>
      </c>
      <c r="I12" s="512">
        <f>E12-G12</f>
        <v>0</v>
      </c>
      <c r="J12" s="513">
        <f>F12-H12</f>
        <v>0</v>
      </c>
      <c r="K12" s="521"/>
    </row>
    <row r="13" spans="1:11" s="514" customFormat="1" ht="22.5" customHeight="1" outlineLevel="1" x14ac:dyDescent="0.3">
      <c r="A13" s="443">
        <f t="shared" si="5"/>
        <v>7</v>
      </c>
      <c r="B13" s="507" t="s">
        <v>1389</v>
      </c>
      <c r="C13" s="508" t="s">
        <v>1390</v>
      </c>
      <c r="D13" s="516">
        <f>14134.66</f>
        <v>14134.66</v>
      </c>
      <c r="E13" s="510">
        <f>ROUND(F13/D13,2)</f>
        <v>9294.7099999999991</v>
      </c>
      <c r="F13" s="511">
        <f>131377565.65</f>
        <v>131377565.65000001</v>
      </c>
      <c r="G13" s="799">
        <v>9083.33</v>
      </c>
      <c r="H13" s="620">
        <f t="shared" si="6"/>
        <v>128389781.21779999</v>
      </c>
      <c r="I13" s="512">
        <f t="shared" ref="I13" si="10">E13-G13</f>
        <v>211.3799999999992</v>
      </c>
      <c r="J13" s="513">
        <f t="shared" ref="J13" si="11">F13-H13</f>
        <v>2987784.4322000146</v>
      </c>
      <c r="K13" s="521"/>
    </row>
    <row r="14" spans="1:11" s="514" customFormat="1" ht="22.5" customHeight="1" outlineLevel="1" x14ac:dyDescent="0.3">
      <c r="A14" s="443">
        <f t="shared" si="5"/>
        <v>8</v>
      </c>
      <c r="B14" s="507" t="s">
        <v>1395</v>
      </c>
      <c r="C14" s="508" t="s">
        <v>364</v>
      </c>
      <c r="D14" s="509">
        <f>11873</f>
        <v>11873</v>
      </c>
      <c r="E14" s="510">
        <f t="shared" si="2"/>
        <v>11220</v>
      </c>
      <c r="F14" s="511">
        <f>133215060</f>
        <v>133215060</v>
      </c>
      <c r="G14" s="799">
        <v>6583.33</v>
      </c>
      <c r="H14" s="620">
        <f t="shared" si="6"/>
        <v>78163877.090000004</v>
      </c>
      <c r="I14" s="512">
        <f t="shared" si="3"/>
        <v>4636.67</v>
      </c>
      <c r="J14" s="513">
        <f t="shared" si="4"/>
        <v>55051182.909999996</v>
      </c>
      <c r="K14" s="521"/>
    </row>
    <row r="15" spans="1:11" s="517" customFormat="1" ht="52.5" customHeight="1" outlineLevel="1" x14ac:dyDescent="0.3">
      <c r="A15" s="443">
        <f t="shared" si="5"/>
        <v>9</v>
      </c>
      <c r="B15" s="428" t="s">
        <v>1758</v>
      </c>
      <c r="C15" s="624" t="s">
        <v>1385</v>
      </c>
      <c r="D15" s="500">
        <v>1</v>
      </c>
      <c r="E15" s="480">
        <f t="shared" ref="E15" si="12">ROUND(F15/D15,2)</f>
        <v>14202.31</v>
      </c>
      <c r="F15" s="479">
        <f>472729.51-458527.2</f>
        <v>14202.309999999998</v>
      </c>
      <c r="G15" s="552">
        <v>14202.31</v>
      </c>
      <c r="H15" s="620">
        <f t="shared" si="6"/>
        <v>14202.31</v>
      </c>
      <c r="I15" s="482">
        <f>E15-G15</f>
        <v>0</v>
      </c>
      <c r="J15" s="481">
        <f>F15-H15</f>
        <v>0</v>
      </c>
      <c r="K15" s="522" t="s">
        <v>1448</v>
      </c>
    </row>
    <row r="16" spans="1:11" s="514" customFormat="1" ht="22.5" customHeight="1" outlineLevel="1" x14ac:dyDescent="0.3">
      <c r="A16" s="443">
        <f t="shared" si="5"/>
        <v>10</v>
      </c>
      <c r="B16" s="507" t="s">
        <v>1395</v>
      </c>
      <c r="C16" s="508" t="s">
        <v>364</v>
      </c>
      <c r="D16" s="509">
        <f>213</f>
        <v>213</v>
      </c>
      <c r="E16" s="510">
        <f t="shared" ref="E16" si="13">ROUND(F16/D16,2)</f>
        <v>11220</v>
      </c>
      <c r="F16" s="511">
        <f>2389860</f>
        <v>2389860</v>
      </c>
      <c r="G16" s="622">
        <v>6583.33</v>
      </c>
      <c r="H16" s="620">
        <f t="shared" si="6"/>
        <v>1402249.29</v>
      </c>
      <c r="I16" s="512">
        <f t="shared" ref="I16" si="14">E16-G16</f>
        <v>4636.67</v>
      </c>
      <c r="J16" s="513">
        <f t="shared" ref="J16" si="15">F16-H16</f>
        <v>987610.71</v>
      </c>
      <c r="K16" s="521"/>
    </row>
    <row r="17" spans="1:11" s="514" customFormat="1" ht="22.5" customHeight="1" outlineLevel="1" x14ac:dyDescent="0.3">
      <c r="A17" s="443">
        <f t="shared" si="5"/>
        <v>11</v>
      </c>
      <c r="B17" s="507" t="s">
        <v>1389</v>
      </c>
      <c r="C17" s="508" t="s">
        <v>1390</v>
      </c>
      <c r="D17" s="516">
        <f>253.42</f>
        <v>253.42</v>
      </c>
      <c r="E17" s="510">
        <f>ROUND(F17/D17,2)</f>
        <v>9294.7099999999991</v>
      </c>
      <c r="F17" s="511">
        <f>2355465.41</f>
        <v>2355465.41</v>
      </c>
      <c r="G17" s="622">
        <v>9083.33</v>
      </c>
      <c r="H17" s="620">
        <f t="shared" si="6"/>
        <v>2301897.4885999998</v>
      </c>
      <c r="I17" s="512">
        <f t="shared" ref="I17:J17" si="16">E17-G17</f>
        <v>211.3799999999992</v>
      </c>
      <c r="J17" s="513">
        <f t="shared" si="16"/>
        <v>53567.921400000341</v>
      </c>
      <c r="K17" s="521"/>
    </row>
    <row r="18" spans="1:11" s="517" customFormat="1" ht="54.75" customHeight="1" outlineLevel="1" x14ac:dyDescent="0.3">
      <c r="A18" s="443">
        <f t="shared" si="5"/>
        <v>12</v>
      </c>
      <c r="B18" s="428" t="s">
        <v>1761</v>
      </c>
      <c r="C18" s="624" t="s">
        <v>1385</v>
      </c>
      <c r="D18" s="623">
        <v>1</v>
      </c>
      <c r="E18" s="480">
        <f>ROUND(F18/D18,2)</f>
        <v>30968.01</v>
      </c>
      <c r="F18" s="479">
        <f>1030782.35-999814.34</f>
        <v>30968.010000000009</v>
      </c>
      <c r="G18" s="552">
        <v>30968.01</v>
      </c>
      <c r="H18" s="620">
        <f t="shared" si="6"/>
        <v>30968.01</v>
      </c>
      <c r="I18" s="482">
        <f>E18-G18</f>
        <v>0</v>
      </c>
      <c r="J18" s="481">
        <f>F18-H18</f>
        <v>0</v>
      </c>
      <c r="K18" s="522" t="s">
        <v>1448</v>
      </c>
    </row>
    <row r="19" spans="1:11" s="514" customFormat="1" ht="22.5" customHeight="1" outlineLevel="1" x14ac:dyDescent="0.3">
      <c r="A19" s="443">
        <f t="shared" si="5"/>
        <v>13</v>
      </c>
      <c r="B19" s="507" t="s">
        <v>1756</v>
      </c>
      <c r="C19" s="508" t="s">
        <v>1391</v>
      </c>
      <c r="D19" s="509">
        <v>208</v>
      </c>
      <c r="E19" s="510">
        <f t="shared" ref="E19" si="17">ROUND(F19/D19,2)</f>
        <v>1652.4</v>
      </c>
      <c r="F19" s="511">
        <f>343699.2</f>
        <v>343699.20000000001</v>
      </c>
      <c r="G19" s="622">
        <v>16666.669999999998</v>
      </c>
      <c r="H19" s="620">
        <f t="shared" si="6"/>
        <v>3466667.3599999994</v>
      </c>
      <c r="I19" s="512">
        <f t="shared" ref="I19:I20" si="18">E19-G19</f>
        <v>-15014.269999999999</v>
      </c>
      <c r="J19" s="513">
        <f t="shared" ref="J19:J20" si="19">F19-H19</f>
        <v>-3122968.1599999992</v>
      </c>
      <c r="K19" s="521"/>
    </row>
    <row r="20" spans="1:11" s="514" customFormat="1" ht="27" customHeight="1" outlineLevel="1" x14ac:dyDescent="0.3">
      <c r="A20" s="443">
        <f t="shared" si="5"/>
        <v>14</v>
      </c>
      <c r="B20" s="507" t="s">
        <v>1432</v>
      </c>
      <c r="C20" s="508" t="s">
        <v>1390</v>
      </c>
      <c r="D20" s="516">
        <f>552.58</f>
        <v>552.58000000000004</v>
      </c>
      <c r="E20" s="510">
        <f>ROUND(F20/D20,2)</f>
        <v>9226.7199999999993</v>
      </c>
      <c r="F20" s="511">
        <f>5098500.94</f>
        <v>5098500.9400000004</v>
      </c>
      <c r="G20" s="622">
        <v>9041.67</v>
      </c>
      <c r="H20" s="620">
        <f t="shared" si="6"/>
        <v>4996246.0086000003</v>
      </c>
      <c r="I20" s="512">
        <f t="shared" si="18"/>
        <v>185.04999999999927</v>
      </c>
      <c r="J20" s="513">
        <f t="shared" si="19"/>
        <v>102254.93140000012</v>
      </c>
      <c r="K20" s="521"/>
    </row>
    <row r="21" spans="1:11" s="514" customFormat="1" ht="27" customHeight="1" outlineLevel="1" x14ac:dyDescent="0.3">
      <c r="A21" s="443">
        <f t="shared" si="5"/>
        <v>15</v>
      </c>
      <c r="B21" s="507" t="s">
        <v>1433</v>
      </c>
      <c r="C21" s="508" t="s">
        <v>364</v>
      </c>
      <c r="D21" s="509">
        <f>464</f>
        <v>464</v>
      </c>
      <c r="E21" s="510">
        <f>ROUND(F21/D21,2)</f>
        <v>9718.0499999999993</v>
      </c>
      <c r="F21" s="511">
        <f>4509175.2</f>
        <v>4509175.2</v>
      </c>
      <c r="G21" s="622">
        <v>6833.33</v>
      </c>
      <c r="H21" s="620">
        <f t="shared" si="6"/>
        <v>3170665.12</v>
      </c>
      <c r="I21" s="512">
        <f t="shared" ref="I21" si="20">E21-G21</f>
        <v>2884.7199999999993</v>
      </c>
      <c r="J21" s="513">
        <f t="shared" ref="J21" si="21">F21-H21</f>
        <v>1338510.08</v>
      </c>
      <c r="K21" s="521"/>
    </row>
    <row r="22" spans="1:11" s="517" customFormat="1" ht="56.25" customHeight="1" outlineLevel="1" x14ac:dyDescent="0.3">
      <c r="A22" s="443">
        <f t="shared" si="5"/>
        <v>16</v>
      </c>
      <c r="B22" s="428" t="s">
        <v>1578</v>
      </c>
      <c r="C22" s="624" t="s">
        <v>1385</v>
      </c>
      <c r="D22" s="623">
        <v>1</v>
      </c>
      <c r="E22" s="480">
        <f t="shared" ref="E22" si="22">ROUND(F22/D22,2)</f>
        <v>63338.2</v>
      </c>
      <c r="F22" s="479">
        <f>2108237.01-2044898.81</f>
        <v>63338.199999999721</v>
      </c>
      <c r="G22" s="552">
        <v>63338.2</v>
      </c>
      <c r="H22" s="620">
        <f t="shared" si="6"/>
        <v>63338.2</v>
      </c>
      <c r="I22" s="482">
        <f>E22-G22</f>
        <v>0</v>
      </c>
      <c r="J22" s="481">
        <f>F22-H22</f>
        <v>-2.7648638933897018E-10</v>
      </c>
      <c r="K22" s="522" t="s">
        <v>1448</v>
      </c>
    </row>
    <row r="23" spans="1:11" s="514" customFormat="1" ht="26.25" customHeight="1" outlineLevel="1" x14ac:dyDescent="0.3">
      <c r="A23" s="443">
        <f t="shared" si="5"/>
        <v>17</v>
      </c>
      <c r="B23" s="507" t="s">
        <v>1589</v>
      </c>
      <c r="C23" s="508" t="s">
        <v>1391</v>
      </c>
      <c r="D23" s="509">
        <v>48</v>
      </c>
      <c r="E23" s="510">
        <f t="shared" ref="E23" si="23">ROUND(F23/D23,2)</f>
        <v>4143.75</v>
      </c>
      <c r="F23" s="511">
        <f>198900</f>
        <v>198900</v>
      </c>
      <c r="G23" s="622">
        <v>73333.33</v>
      </c>
      <c r="H23" s="620">
        <f t="shared" si="6"/>
        <v>3519999.84</v>
      </c>
      <c r="I23" s="512">
        <f t="shared" ref="I23" si="24">E23-G23</f>
        <v>-69189.58</v>
      </c>
      <c r="J23" s="513">
        <f t="shared" ref="J23" si="25">F23-H23</f>
        <v>-3321099.84</v>
      </c>
      <c r="K23" s="521"/>
    </row>
    <row r="24" spans="1:11" s="514" customFormat="1" ht="27" customHeight="1" outlineLevel="1" x14ac:dyDescent="0.3">
      <c r="A24" s="443">
        <f t="shared" si="5"/>
        <v>18</v>
      </c>
      <c r="B24" s="507" t="s">
        <v>1432</v>
      </c>
      <c r="C24" s="508" t="s">
        <v>1390</v>
      </c>
      <c r="D24" s="516">
        <f>1130.18</f>
        <v>1130.18</v>
      </c>
      <c r="E24" s="510">
        <f>ROUND(F24/D24,2)</f>
        <v>9226.7199999999993</v>
      </c>
      <c r="F24" s="511">
        <f>10427854.41</f>
        <v>10427854.41</v>
      </c>
      <c r="G24" s="622">
        <v>9041.67</v>
      </c>
      <c r="H24" s="620">
        <f t="shared" si="6"/>
        <v>10218714.6006</v>
      </c>
      <c r="I24" s="512">
        <f t="shared" ref="I24:J25" si="26">E24-G24</f>
        <v>185.04999999999927</v>
      </c>
      <c r="J24" s="513">
        <f t="shared" si="26"/>
        <v>209139.80939999968</v>
      </c>
      <c r="K24" s="521"/>
    </row>
    <row r="25" spans="1:11" s="514" customFormat="1" ht="27" customHeight="1" outlineLevel="1" x14ac:dyDescent="0.3">
      <c r="A25" s="443">
        <f t="shared" si="5"/>
        <v>19</v>
      </c>
      <c r="B25" s="507" t="s">
        <v>1433</v>
      </c>
      <c r="C25" s="508" t="s">
        <v>364</v>
      </c>
      <c r="D25" s="509">
        <f>949</f>
        <v>949</v>
      </c>
      <c r="E25" s="510">
        <f>ROUND(F25/D25,2)</f>
        <v>9718.0499999999993</v>
      </c>
      <c r="F25" s="511">
        <f>9222429.45</f>
        <v>9222429.4499999993</v>
      </c>
      <c r="G25" s="622">
        <v>6833.33</v>
      </c>
      <c r="H25" s="620">
        <f t="shared" si="6"/>
        <v>6484830.1699999999</v>
      </c>
      <c r="I25" s="512">
        <f t="shared" si="26"/>
        <v>2884.7199999999993</v>
      </c>
      <c r="J25" s="513">
        <f t="shared" si="26"/>
        <v>2737599.2799999993</v>
      </c>
      <c r="K25" s="521"/>
    </row>
    <row r="26" spans="1:11" s="517" customFormat="1" ht="34.5" customHeight="1" outlineLevel="1" x14ac:dyDescent="0.3">
      <c r="A26" s="443">
        <f t="shared" si="5"/>
        <v>20</v>
      </c>
      <c r="B26" s="428" t="s">
        <v>1579</v>
      </c>
      <c r="C26" s="624" t="s">
        <v>1385</v>
      </c>
      <c r="D26" s="623">
        <v>1</v>
      </c>
      <c r="E26" s="480">
        <f>ROUND(F26/D26,2)</f>
        <v>9220.27</v>
      </c>
      <c r="F26" s="479">
        <f>(216153.8-206933.53)</f>
        <v>9220.2699999999895</v>
      </c>
      <c r="G26" s="552">
        <v>9220.27</v>
      </c>
      <c r="H26" s="620">
        <f t="shared" si="6"/>
        <v>9220.27</v>
      </c>
      <c r="I26" s="482">
        <f>E26-G26</f>
        <v>0</v>
      </c>
      <c r="J26" s="481">
        <f>F26-H26</f>
        <v>0</v>
      </c>
      <c r="K26" s="522" t="s">
        <v>1467</v>
      </c>
    </row>
    <row r="27" spans="1:11" s="514" customFormat="1" ht="33.75" customHeight="1" outlineLevel="1" x14ac:dyDescent="0.3">
      <c r="A27" s="443">
        <f t="shared" si="5"/>
        <v>21</v>
      </c>
      <c r="B27" s="507" t="s">
        <v>1434</v>
      </c>
      <c r="C27" s="508" t="s">
        <v>1391</v>
      </c>
      <c r="D27" s="509">
        <v>1</v>
      </c>
      <c r="E27" s="510">
        <f t="shared" ref="E27" si="27">ROUND(F27/D27,2)</f>
        <v>6282350</v>
      </c>
      <c r="F27" s="511">
        <f>6282350</f>
        <v>6282350</v>
      </c>
      <c r="G27" s="622">
        <v>4208333.33</v>
      </c>
      <c r="H27" s="620">
        <f t="shared" si="6"/>
        <v>4208333.33</v>
      </c>
      <c r="I27" s="512">
        <f t="shared" ref="I27" si="28">E27-G27</f>
        <v>2074016.67</v>
      </c>
      <c r="J27" s="513">
        <f t="shared" ref="J27" si="29">F27-H27</f>
        <v>2074016.67</v>
      </c>
      <c r="K27" s="521"/>
    </row>
    <row r="28" spans="1:11" s="514" customFormat="1" ht="26.25" customHeight="1" outlineLevel="1" x14ac:dyDescent="0.3">
      <c r="A28" s="443">
        <f t="shared" si="5"/>
        <v>22</v>
      </c>
      <c r="B28" s="507" t="s">
        <v>1435</v>
      </c>
      <c r="C28" s="508" t="s">
        <v>1385</v>
      </c>
      <c r="D28" s="509">
        <v>1</v>
      </c>
      <c r="E28" s="510">
        <f t="shared" si="2"/>
        <v>420489.9</v>
      </c>
      <c r="F28" s="511">
        <f>420489.9</f>
        <v>420489.9</v>
      </c>
      <c r="G28" s="622">
        <v>420489.9</v>
      </c>
      <c r="H28" s="620">
        <f t="shared" si="6"/>
        <v>420489.9</v>
      </c>
      <c r="I28" s="512">
        <f t="shared" si="3"/>
        <v>0</v>
      </c>
      <c r="J28" s="513">
        <f t="shared" si="4"/>
        <v>0</v>
      </c>
      <c r="K28" s="521"/>
    </row>
    <row r="29" spans="1:11" s="517" customFormat="1" ht="33" customHeight="1" outlineLevel="1" x14ac:dyDescent="0.3">
      <c r="A29" s="443">
        <f t="shared" si="5"/>
        <v>23</v>
      </c>
      <c r="B29" s="428" t="s">
        <v>1580</v>
      </c>
      <c r="C29" s="624" t="s">
        <v>1385</v>
      </c>
      <c r="D29" s="623">
        <v>1</v>
      </c>
      <c r="E29" s="480">
        <f>ROUND(F29/D29,2)</f>
        <v>17425.349999999999</v>
      </c>
      <c r="F29" s="479">
        <f>(428419.97-410994.62)</f>
        <v>17425.349999999977</v>
      </c>
      <c r="G29" s="552">
        <v>17425.349999999999</v>
      </c>
      <c r="H29" s="620">
        <f t="shared" si="6"/>
        <v>17425.349999999999</v>
      </c>
      <c r="I29" s="482">
        <f>E29-G29</f>
        <v>0</v>
      </c>
      <c r="J29" s="481">
        <f>F29-H29</f>
        <v>0</v>
      </c>
      <c r="K29" s="522" t="s">
        <v>1467</v>
      </c>
    </row>
    <row r="30" spans="1:11" s="514" customFormat="1" ht="33.75" customHeight="1" outlineLevel="1" x14ac:dyDescent="0.3">
      <c r="A30" s="443">
        <f t="shared" si="5"/>
        <v>24</v>
      </c>
      <c r="B30" s="507" t="s">
        <v>1437</v>
      </c>
      <c r="C30" s="508" t="s">
        <v>1391</v>
      </c>
      <c r="D30" s="509">
        <v>1</v>
      </c>
      <c r="E30" s="510">
        <f t="shared" ref="E30:E31" si="30">ROUND(F30/D30,2)</f>
        <v>9775072.25</v>
      </c>
      <c r="F30" s="511">
        <f>9775072.25</f>
        <v>9775072.25</v>
      </c>
      <c r="G30" s="622">
        <v>7083333.3300000001</v>
      </c>
      <c r="H30" s="620">
        <f t="shared" si="6"/>
        <v>7083333.3300000001</v>
      </c>
      <c r="I30" s="512">
        <f t="shared" ref="I30:I31" si="31">E30-G30</f>
        <v>2691738.92</v>
      </c>
      <c r="J30" s="513">
        <f t="shared" ref="J30:J31" si="32">F30-H30</f>
        <v>2691738.92</v>
      </c>
      <c r="K30" s="521"/>
    </row>
    <row r="31" spans="1:11" s="514" customFormat="1" ht="26.25" customHeight="1" outlineLevel="1" x14ac:dyDescent="0.3">
      <c r="A31" s="443">
        <f t="shared" si="5"/>
        <v>25</v>
      </c>
      <c r="B31" s="507" t="s">
        <v>1438</v>
      </c>
      <c r="C31" s="508" t="s">
        <v>1385</v>
      </c>
      <c r="D31" s="509">
        <v>1</v>
      </c>
      <c r="E31" s="510">
        <f t="shared" si="30"/>
        <v>721876.89</v>
      </c>
      <c r="F31" s="511">
        <f>721876.89</f>
        <v>721876.89</v>
      </c>
      <c r="G31" s="622">
        <v>721876.89</v>
      </c>
      <c r="H31" s="620">
        <f t="shared" si="6"/>
        <v>721876.89</v>
      </c>
      <c r="I31" s="512">
        <f t="shared" si="31"/>
        <v>0</v>
      </c>
      <c r="J31" s="513">
        <f t="shared" si="32"/>
        <v>0</v>
      </c>
      <c r="K31" s="521"/>
    </row>
    <row r="32" spans="1:11" s="517" customFormat="1" ht="31.5" customHeight="1" outlineLevel="1" x14ac:dyDescent="0.3">
      <c r="A32" s="443">
        <f t="shared" si="5"/>
        <v>26</v>
      </c>
      <c r="B32" s="428" t="s">
        <v>1581</v>
      </c>
      <c r="C32" s="624" t="s">
        <v>1385</v>
      </c>
      <c r="D32" s="623">
        <v>1</v>
      </c>
      <c r="E32" s="480">
        <f>ROUND(F32/D32,2)</f>
        <v>24593</v>
      </c>
      <c r="F32" s="479">
        <f>593912.14-569319.14</f>
        <v>24593</v>
      </c>
      <c r="G32" s="552">
        <v>24593</v>
      </c>
      <c r="H32" s="620">
        <f t="shared" si="6"/>
        <v>24593</v>
      </c>
      <c r="I32" s="482">
        <f>E32-G32</f>
        <v>0</v>
      </c>
      <c r="J32" s="481">
        <f>F32-H32</f>
        <v>0</v>
      </c>
      <c r="K32" s="522" t="s">
        <v>1467</v>
      </c>
    </row>
    <row r="33" spans="1:11" s="514" customFormat="1" ht="33.75" customHeight="1" outlineLevel="1" x14ac:dyDescent="0.3">
      <c r="A33" s="443">
        <f t="shared" si="5"/>
        <v>27</v>
      </c>
      <c r="B33" s="618" t="s">
        <v>1439</v>
      </c>
      <c r="C33" s="508" t="s">
        <v>1391</v>
      </c>
      <c r="D33" s="509">
        <v>1</v>
      </c>
      <c r="E33" s="510">
        <f t="shared" ref="E33:E34" si="33">ROUND(F33/D33,2)</f>
        <v>3657414.43</v>
      </c>
      <c r="F33" s="511">
        <f>3657414.43</f>
        <v>3657414.43</v>
      </c>
      <c r="G33" s="622">
        <v>3657414.43</v>
      </c>
      <c r="H33" s="620">
        <f t="shared" si="6"/>
        <v>3657414.43</v>
      </c>
      <c r="I33" s="512">
        <f t="shared" ref="I33:I34" si="34">E33-G33</f>
        <v>0</v>
      </c>
      <c r="J33" s="513">
        <f t="shared" ref="J33:J34" si="35">F33-H33</f>
        <v>0</v>
      </c>
      <c r="K33" s="523" t="s">
        <v>1440</v>
      </c>
    </row>
    <row r="34" spans="1:11" s="514" customFormat="1" ht="31.5" customHeight="1" outlineLevel="1" x14ac:dyDescent="0.3">
      <c r="A34" s="443">
        <f t="shared" si="5"/>
        <v>28</v>
      </c>
      <c r="B34" s="618" t="s">
        <v>1441</v>
      </c>
      <c r="C34" s="508" t="s">
        <v>1385</v>
      </c>
      <c r="D34" s="509">
        <v>1</v>
      </c>
      <c r="E34" s="510">
        <f t="shared" si="33"/>
        <v>204145.14</v>
      </c>
      <c r="F34" s="511">
        <v>204145.14</v>
      </c>
      <c r="G34" s="622">
        <v>204145.14</v>
      </c>
      <c r="H34" s="620">
        <f t="shared" si="6"/>
        <v>204145.14</v>
      </c>
      <c r="I34" s="512">
        <f t="shared" si="34"/>
        <v>0</v>
      </c>
      <c r="J34" s="513">
        <f t="shared" si="35"/>
        <v>0</v>
      </c>
      <c r="K34" s="523" t="s">
        <v>1440</v>
      </c>
    </row>
    <row r="35" spans="1:11" s="514" customFormat="1" ht="19.5" customHeight="1" outlineLevel="1" x14ac:dyDescent="0.3">
      <c r="A35" s="443">
        <f t="shared" si="5"/>
        <v>29</v>
      </c>
      <c r="B35" s="507" t="s">
        <v>1442</v>
      </c>
      <c r="C35" s="508" t="s">
        <v>1385</v>
      </c>
      <c r="D35" s="509">
        <f>514*2</f>
        <v>1028</v>
      </c>
      <c r="E35" s="510">
        <f t="shared" ref="E35" si="36">ROUND(F35/D35,2)</f>
        <v>6732</v>
      </c>
      <c r="F35" s="511">
        <v>6920496</v>
      </c>
      <c r="G35" s="622">
        <v>4291.67</v>
      </c>
      <c r="H35" s="620">
        <f t="shared" si="6"/>
        <v>4411836.76</v>
      </c>
      <c r="I35" s="512">
        <f t="shared" ref="I35" si="37">E35-G35</f>
        <v>2440.33</v>
      </c>
      <c r="J35" s="513">
        <f t="shared" ref="J35" si="38">F35-H35</f>
        <v>2508659.2400000002</v>
      </c>
      <c r="K35" s="521"/>
    </row>
    <row r="36" spans="1:11" s="517" customFormat="1" ht="36" customHeight="1" outlineLevel="1" x14ac:dyDescent="0.3">
      <c r="A36" s="443">
        <f t="shared" si="5"/>
        <v>30</v>
      </c>
      <c r="B36" s="428" t="s">
        <v>1465</v>
      </c>
      <c r="C36" s="624" t="s">
        <v>1385</v>
      </c>
      <c r="D36" s="623">
        <v>1</v>
      </c>
      <c r="E36" s="480">
        <f>ROUND(F36/D36,2)</f>
        <v>23246.74</v>
      </c>
      <c r="F36" s="479">
        <f>114410.71-91163.97</f>
        <v>23246.740000000005</v>
      </c>
      <c r="G36" s="552">
        <v>23246.74</v>
      </c>
      <c r="H36" s="620">
        <f t="shared" si="6"/>
        <v>23246.74</v>
      </c>
      <c r="I36" s="482">
        <f>E36-G36</f>
        <v>0</v>
      </c>
      <c r="J36" s="481">
        <f>F36-H36</f>
        <v>0</v>
      </c>
      <c r="K36" s="522" t="s">
        <v>1466</v>
      </c>
    </row>
    <row r="37" spans="1:11" s="514" customFormat="1" ht="30" customHeight="1" outlineLevel="1" x14ac:dyDescent="0.3">
      <c r="A37" s="443">
        <f t="shared" si="5"/>
        <v>31</v>
      </c>
      <c r="B37" s="507" t="s">
        <v>1394</v>
      </c>
      <c r="C37" s="508" t="s">
        <v>1391</v>
      </c>
      <c r="D37" s="509">
        <f>52+F465</f>
        <v>52</v>
      </c>
      <c r="E37" s="510">
        <f t="shared" si="2"/>
        <v>1652.4</v>
      </c>
      <c r="F37" s="511">
        <v>85924.800000000003</v>
      </c>
      <c r="G37" s="622">
        <v>16666.669999999998</v>
      </c>
      <c r="H37" s="620">
        <f t="shared" si="6"/>
        <v>866666.83999999985</v>
      </c>
      <c r="I37" s="512">
        <f t="shared" si="3"/>
        <v>-15014.269999999999</v>
      </c>
      <c r="J37" s="513">
        <f t="shared" si="4"/>
        <v>-780742.0399999998</v>
      </c>
      <c r="K37" s="521"/>
    </row>
    <row r="38" spans="1:11" ht="46.5" customHeight="1" outlineLevel="1" x14ac:dyDescent="0.3">
      <c r="A38" s="443">
        <f t="shared" si="5"/>
        <v>32</v>
      </c>
      <c r="B38" s="428" t="s">
        <v>1402</v>
      </c>
      <c r="C38" s="443" t="s">
        <v>28</v>
      </c>
      <c r="D38" s="536">
        <f>(1232*10.2+208*12+48*12.5+816+288)/1000</f>
        <v>16.766400000000001</v>
      </c>
      <c r="E38" s="480">
        <f t="shared" ref="E38" si="39">F38/11</f>
        <v>1888650.3045454544</v>
      </c>
      <c r="F38" s="479">
        <f>15570956.62+3092779.77+743456.68+1011101.08+356859.2</f>
        <v>20775153.349999998</v>
      </c>
      <c r="G38" s="552">
        <v>1888650.3045454544</v>
      </c>
      <c r="H38" s="620">
        <f t="shared" si="6"/>
        <v>31665866.466130909</v>
      </c>
      <c r="I38" s="427">
        <f t="shared" si="3"/>
        <v>0</v>
      </c>
      <c r="J38" s="481">
        <f t="shared" si="4"/>
        <v>-10890713.116130911</v>
      </c>
      <c r="K38" s="519" t="s">
        <v>1401</v>
      </c>
    </row>
    <row r="39" spans="1:11" s="525" customFormat="1" ht="23.25" customHeight="1" outlineLevel="1" x14ac:dyDescent="0.3">
      <c r="A39" s="443">
        <f t="shared" si="5"/>
        <v>33</v>
      </c>
      <c r="B39" s="428" t="s">
        <v>1473</v>
      </c>
      <c r="C39" s="443" t="s">
        <v>16</v>
      </c>
      <c r="D39" s="580">
        <f>36.96+6.24+1.44+2.4+0.72</f>
        <v>47.76</v>
      </c>
      <c r="E39" s="480">
        <f>76.87*8.61</f>
        <v>661.85069999999996</v>
      </c>
      <c r="F39" s="892">
        <f>(6832561.82-4388235.98)+(1153549.4-740871.01)+(266203.7-170970.23)+(443672.83-284950.38)+(133101.87-85485.13)</f>
        <v>3158576.8899999997</v>
      </c>
      <c r="G39" s="647">
        <f>76.87*8.61</f>
        <v>661.85069999999996</v>
      </c>
      <c r="H39" s="620">
        <f t="shared" si="6"/>
        <v>31609.989431999998</v>
      </c>
      <c r="I39" s="907">
        <f>(E39+E40+E41+E42+E43+E44+E45)-(G39+G40+G41+G42+G43+G44+G45)</f>
        <v>0</v>
      </c>
      <c r="J39" s="850">
        <v>0</v>
      </c>
      <c r="K39" s="522" t="s">
        <v>1476</v>
      </c>
    </row>
    <row r="40" spans="1:11" s="525" customFormat="1" ht="23.25" customHeight="1" outlineLevel="1" x14ac:dyDescent="0.3">
      <c r="A40" s="443">
        <f t="shared" si="5"/>
        <v>34</v>
      </c>
      <c r="B40" s="428" t="s">
        <v>1474</v>
      </c>
      <c r="C40" s="443" t="s">
        <v>364</v>
      </c>
      <c r="D40" s="526">
        <f>1232+208+48+80+24</f>
        <v>1592</v>
      </c>
      <c r="E40" s="480">
        <f>44.84*8.61</f>
        <v>386.07240000000002</v>
      </c>
      <c r="F40" s="893"/>
      <c r="G40" s="647">
        <f>44.84*8.61</f>
        <v>386.07240000000002</v>
      </c>
      <c r="H40" s="620">
        <f t="shared" si="6"/>
        <v>614627.26080000005</v>
      </c>
      <c r="I40" s="908"/>
      <c r="J40" s="891"/>
      <c r="K40" s="522" t="s">
        <v>1476</v>
      </c>
    </row>
    <row r="41" spans="1:11" s="525" customFormat="1" ht="23.25" customHeight="1" outlineLevel="1" x14ac:dyDescent="0.3">
      <c r="A41" s="443">
        <f t="shared" si="5"/>
        <v>35</v>
      </c>
      <c r="B41" s="428" t="s">
        <v>1399</v>
      </c>
      <c r="C41" s="443" t="s">
        <v>364</v>
      </c>
      <c r="D41" s="526">
        <f>1232+208+48+80+24</f>
        <v>1592</v>
      </c>
      <c r="E41" s="480">
        <f>11.9*8.61</f>
        <v>102.459</v>
      </c>
      <c r="F41" s="893"/>
      <c r="G41" s="647">
        <f>11.9*8.61</f>
        <v>102.459</v>
      </c>
      <c r="H41" s="620">
        <f t="shared" si="6"/>
        <v>163114.728</v>
      </c>
      <c r="I41" s="908"/>
      <c r="J41" s="891"/>
      <c r="K41" s="522" t="s">
        <v>1476</v>
      </c>
    </row>
    <row r="42" spans="1:11" s="525" customFormat="1" ht="23.25" customHeight="1" outlineLevel="1" x14ac:dyDescent="0.3">
      <c r="A42" s="443">
        <f t="shared" si="5"/>
        <v>36</v>
      </c>
      <c r="B42" s="428" t="s">
        <v>1397</v>
      </c>
      <c r="C42" s="443" t="s">
        <v>16</v>
      </c>
      <c r="D42" s="526">
        <f>3696+624+144+240+72</f>
        <v>4776</v>
      </c>
      <c r="E42" s="480">
        <f>4.8*8.61</f>
        <v>41.327999999999996</v>
      </c>
      <c r="F42" s="893"/>
      <c r="G42" s="647">
        <f>4.8*8.61</f>
        <v>41.327999999999996</v>
      </c>
      <c r="H42" s="620">
        <f t="shared" si="6"/>
        <v>197382.52799999999</v>
      </c>
      <c r="I42" s="908"/>
      <c r="J42" s="891"/>
      <c r="K42" s="522" t="s">
        <v>1476</v>
      </c>
    </row>
    <row r="43" spans="1:11" s="525" customFormat="1" ht="23.25" customHeight="1" outlineLevel="1" x14ac:dyDescent="0.3">
      <c r="A43" s="443">
        <f t="shared" si="5"/>
        <v>37</v>
      </c>
      <c r="B43" s="428" t="s">
        <v>1396</v>
      </c>
      <c r="C43" s="443" t="s">
        <v>364</v>
      </c>
      <c r="D43" s="580">
        <f>12.32+2.08+0.48+0.8+0.24</f>
        <v>15.920000000000002</v>
      </c>
      <c r="E43" s="480">
        <f>1482*8.61</f>
        <v>12760.019999999999</v>
      </c>
      <c r="F43" s="893"/>
      <c r="G43" s="647">
        <f>1482*8.61</f>
        <v>12760.019999999999</v>
      </c>
      <c r="H43" s="620">
        <f t="shared" si="6"/>
        <v>203139.5184</v>
      </c>
      <c r="I43" s="908"/>
      <c r="J43" s="891"/>
      <c r="K43" s="522" t="s">
        <v>1476</v>
      </c>
    </row>
    <row r="44" spans="1:11" s="525" customFormat="1" ht="23.25" customHeight="1" outlineLevel="1" x14ac:dyDescent="0.3">
      <c r="A44" s="443">
        <f t="shared" si="5"/>
        <v>38</v>
      </c>
      <c r="B44" s="428" t="s">
        <v>1475</v>
      </c>
      <c r="C44" s="443" t="s">
        <v>364</v>
      </c>
      <c r="D44" s="580">
        <f>49.28+8.32+1.92+3.2+0.96</f>
        <v>63.680000000000007</v>
      </c>
      <c r="E44" s="480">
        <f>529.18*8.61</f>
        <v>4556.2397999999994</v>
      </c>
      <c r="F44" s="893"/>
      <c r="G44" s="647">
        <f>529.18*8.61</f>
        <v>4556.2397999999994</v>
      </c>
      <c r="H44" s="620">
        <f t="shared" si="6"/>
        <v>290141.35046400002</v>
      </c>
      <c r="I44" s="908"/>
      <c r="J44" s="891"/>
      <c r="K44" s="522" t="s">
        <v>1476</v>
      </c>
    </row>
    <row r="45" spans="1:11" s="525" customFormat="1" ht="31.5" customHeight="1" outlineLevel="1" x14ac:dyDescent="0.3">
      <c r="A45" s="443">
        <f t="shared" si="5"/>
        <v>39</v>
      </c>
      <c r="B45" s="428" t="s">
        <v>1400</v>
      </c>
      <c r="C45" s="443" t="s">
        <v>1398</v>
      </c>
      <c r="D45" s="526">
        <f>1232+208+48+80+24</f>
        <v>1592</v>
      </c>
      <c r="E45" s="480">
        <f>121*8.61</f>
        <v>1041.81</v>
      </c>
      <c r="F45" s="894"/>
      <c r="G45" s="647">
        <f>121*8.61</f>
        <v>1041.81</v>
      </c>
      <c r="H45" s="620">
        <f t="shared" si="6"/>
        <v>1658561.52</v>
      </c>
      <c r="I45" s="909"/>
      <c r="J45" s="851"/>
      <c r="K45" s="522" t="s">
        <v>1476</v>
      </c>
    </row>
    <row r="46" spans="1:11" s="514" customFormat="1" ht="30" customHeight="1" outlineLevel="1" x14ac:dyDescent="0.3">
      <c r="A46" s="443">
        <f t="shared" si="5"/>
        <v>40</v>
      </c>
      <c r="B46" s="507" t="s">
        <v>1482</v>
      </c>
      <c r="C46" s="508" t="s">
        <v>1391</v>
      </c>
      <c r="D46" s="509">
        <v>20</v>
      </c>
      <c r="E46" s="510">
        <f t="shared" ref="E46:E70" si="40">ROUND(F46/D46,2)</f>
        <v>1293275</v>
      </c>
      <c r="F46" s="511">
        <f>25865500</f>
        <v>25865500</v>
      </c>
      <c r="G46" s="622">
        <v>763333.33</v>
      </c>
      <c r="H46" s="620">
        <f t="shared" si="6"/>
        <v>15266666.6</v>
      </c>
      <c r="I46" s="512">
        <f t="shared" si="3"/>
        <v>529941.67000000004</v>
      </c>
      <c r="J46" s="513">
        <f t="shared" si="4"/>
        <v>10598833.4</v>
      </c>
      <c r="K46" s="521"/>
    </row>
    <row r="47" spans="1:11" s="514" customFormat="1" ht="30" customHeight="1" outlineLevel="1" x14ac:dyDescent="0.3">
      <c r="A47" s="443">
        <f t="shared" si="5"/>
        <v>41</v>
      </c>
      <c r="B47" s="618" t="s">
        <v>1481</v>
      </c>
      <c r="C47" s="508" t="s">
        <v>1391</v>
      </c>
      <c r="D47" s="509">
        <v>6</v>
      </c>
      <c r="E47" s="510">
        <f t="shared" ref="E47" si="41">ROUND(F47/D47,2)</f>
        <v>32748.82</v>
      </c>
      <c r="F47" s="511">
        <f>196492.94</f>
        <v>196492.94</v>
      </c>
      <c r="G47" s="622">
        <v>32748.82</v>
      </c>
      <c r="H47" s="620">
        <f t="shared" si="6"/>
        <v>196492.91999999998</v>
      </c>
      <c r="I47" s="512">
        <f t="shared" ref="I47" si="42">E47-G47</f>
        <v>0</v>
      </c>
      <c r="J47" s="513">
        <f t="shared" ref="J47" si="43">F47-H47</f>
        <v>2.0000000018626451E-2</v>
      </c>
      <c r="K47" s="523" t="s">
        <v>1440</v>
      </c>
    </row>
    <row r="48" spans="1:11" s="514" customFormat="1" ht="24" customHeight="1" outlineLevel="1" x14ac:dyDescent="0.3">
      <c r="A48" s="443">
        <f t="shared" si="5"/>
        <v>42</v>
      </c>
      <c r="B48" s="507" t="s">
        <v>1483</v>
      </c>
      <c r="C48" s="508" t="s">
        <v>40</v>
      </c>
      <c r="D48" s="509">
        <v>182</v>
      </c>
      <c r="E48" s="510">
        <f t="shared" ref="E48" si="44">ROUND(F48/D48,2)</f>
        <v>20564.900000000001</v>
      </c>
      <c r="F48" s="511">
        <f>3742811.8</f>
        <v>3742811.8</v>
      </c>
      <c r="G48" s="622">
        <v>21833.33</v>
      </c>
      <c r="H48" s="620">
        <f t="shared" si="6"/>
        <v>3973666.0600000005</v>
      </c>
      <c r="I48" s="512">
        <f t="shared" ref="I48:I51" si="45">E48-G48</f>
        <v>-1268.4300000000003</v>
      </c>
      <c r="J48" s="513">
        <f t="shared" ref="J48:J51" si="46">F48-H48</f>
        <v>-230854.26000000071</v>
      </c>
      <c r="K48" s="523"/>
    </row>
    <row r="49" spans="1:11" s="525" customFormat="1" ht="21.75" customHeight="1" outlineLevel="1" x14ac:dyDescent="0.3">
      <c r="A49" s="443">
        <f t="shared" si="5"/>
        <v>43</v>
      </c>
      <c r="B49" s="428" t="s">
        <v>1487</v>
      </c>
      <c r="C49" s="524" t="s">
        <v>28</v>
      </c>
      <c r="D49" s="623">
        <f>0.26</f>
        <v>0.26</v>
      </c>
      <c r="E49" s="480">
        <f>9249.85*8.61</f>
        <v>79641.208499999993</v>
      </c>
      <c r="F49" s="479">
        <f>D49*E49</f>
        <v>20706.714209999998</v>
      </c>
      <c r="G49" s="552">
        <v>79641.208499999993</v>
      </c>
      <c r="H49" s="620">
        <f t="shared" si="6"/>
        <v>20706.714209999998</v>
      </c>
      <c r="I49" s="482">
        <f t="shared" ref="I49:I50" si="47">E49-G49</f>
        <v>0</v>
      </c>
      <c r="J49" s="481">
        <f t="shared" ref="J49:J50" si="48">F49-H49</f>
        <v>0</v>
      </c>
      <c r="K49" s="522" t="s">
        <v>1486</v>
      </c>
    </row>
    <row r="50" spans="1:11" s="525" customFormat="1" ht="24.75" customHeight="1" outlineLevel="1" x14ac:dyDescent="0.3">
      <c r="A50" s="443">
        <f t="shared" si="5"/>
        <v>44</v>
      </c>
      <c r="B50" s="428" t="s">
        <v>1488</v>
      </c>
      <c r="C50" s="524" t="s">
        <v>28</v>
      </c>
      <c r="D50" s="623">
        <f>0.52</f>
        <v>0.52</v>
      </c>
      <c r="E50" s="480">
        <f>11856*8.61</f>
        <v>102080.15999999999</v>
      </c>
      <c r="F50" s="479">
        <f>D50*E50</f>
        <v>53081.683199999999</v>
      </c>
      <c r="G50" s="552">
        <v>102080.15999999999</v>
      </c>
      <c r="H50" s="620">
        <f t="shared" si="6"/>
        <v>53081.683199999999</v>
      </c>
      <c r="I50" s="482">
        <f t="shared" si="47"/>
        <v>0</v>
      </c>
      <c r="J50" s="481">
        <f t="shared" si="48"/>
        <v>0</v>
      </c>
      <c r="K50" s="522" t="s">
        <v>1486</v>
      </c>
    </row>
    <row r="51" spans="1:11" s="514" customFormat="1" ht="23.25" customHeight="1" outlineLevel="1" x14ac:dyDescent="0.3">
      <c r="A51" s="443">
        <f t="shared" si="5"/>
        <v>45</v>
      </c>
      <c r="B51" s="618" t="s">
        <v>1484</v>
      </c>
      <c r="C51" s="508" t="s">
        <v>40</v>
      </c>
      <c r="D51" s="509">
        <v>260</v>
      </c>
      <c r="E51" s="510">
        <f t="shared" ref="E51" si="49">F51/11</f>
        <v>1830.2363636363634</v>
      </c>
      <c r="F51" s="511">
        <f>20132.6</f>
        <v>20132.599999999999</v>
      </c>
      <c r="G51" s="622">
        <v>1830.2363636363634</v>
      </c>
      <c r="H51" s="620">
        <f t="shared" si="6"/>
        <v>475861.45454545447</v>
      </c>
      <c r="I51" s="512">
        <f t="shared" si="45"/>
        <v>0</v>
      </c>
      <c r="J51" s="513">
        <f t="shared" si="46"/>
        <v>-455728.85454545449</v>
      </c>
      <c r="K51" s="523" t="s">
        <v>1440</v>
      </c>
    </row>
    <row r="52" spans="1:11" s="514" customFormat="1" ht="23.25" customHeight="1" outlineLevel="1" x14ac:dyDescent="0.3">
      <c r="A52" s="443">
        <f t="shared" si="5"/>
        <v>46</v>
      </c>
      <c r="B52" s="618" t="s">
        <v>1485</v>
      </c>
      <c r="C52" s="508" t="s">
        <v>40</v>
      </c>
      <c r="D52" s="509">
        <v>104</v>
      </c>
      <c r="E52" s="510">
        <f t="shared" ref="E52" si="50">F52/11</f>
        <v>14677.075454545453</v>
      </c>
      <c r="F52" s="511">
        <v>161447.82999999999</v>
      </c>
      <c r="G52" s="622">
        <v>14677.075454545453</v>
      </c>
      <c r="H52" s="620">
        <f t="shared" si="6"/>
        <v>1526415.8472727272</v>
      </c>
      <c r="I52" s="512">
        <f t="shared" ref="I52" si="51">E52-G52</f>
        <v>0</v>
      </c>
      <c r="J52" s="513">
        <f t="shared" ref="J52" si="52">F52-H52</f>
        <v>-1364968.0172727271</v>
      </c>
      <c r="K52" s="523" t="s">
        <v>1440</v>
      </c>
    </row>
    <row r="53" spans="1:11" s="514" customFormat="1" ht="30" customHeight="1" outlineLevel="1" x14ac:dyDescent="0.3">
      <c r="A53" s="443">
        <f t="shared" si="5"/>
        <v>47</v>
      </c>
      <c r="B53" s="507" t="s">
        <v>1492</v>
      </c>
      <c r="C53" s="508" t="s">
        <v>40</v>
      </c>
      <c r="D53" s="509">
        <v>2330</v>
      </c>
      <c r="E53" s="510">
        <f t="shared" si="40"/>
        <v>41446.5</v>
      </c>
      <c r="F53" s="511">
        <v>96570348.5</v>
      </c>
      <c r="G53" s="622">
        <v>32167.75</v>
      </c>
      <c r="H53" s="620">
        <f t="shared" si="6"/>
        <v>74950857.5</v>
      </c>
      <c r="I53" s="512">
        <f t="shared" si="3"/>
        <v>9278.75</v>
      </c>
      <c r="J53" s="513">
        <f t="shared" si="4"/>
        <v>21619491</v>
      </c>
      <c r="K53" s="521"/>
    </row>
    <row r="54" spans="1:11" s="514" customFormat="1" ht="32.25" customHeight="1" outlineLevel="1" x14ac:dyDescent="0.3">
      <c r="A54" s="443">
        <f t="shared" si="5"/>
        <v>48</v>
      </c>
      <c r="B54" s="507" t="s">
        <v>1491</v>
      </c>
      <c r="C54" s="508" t="s">
        <v>40</v>
      </c>
      <c r="D54" s="509">
        <v>2198</v>
      </c>
      <c r="E54" s="510">
        <f t="shared" si="40"/>
        <v>22287</v>
      </c>
      <c r="F54" s="511">
        <v>48986826</v>
      </c>
      <c r="G54" s="622">
        <v>16549</v>
      </c>
      <c r="H54" s="620">
        <f t="shared" si="6"/>
        <v>36374702</v>
      </c>
      <c r="I54" s="512">
        <f t="shared" si="3"/>
        <v>5738</v>
      </c>
      <c r="J54" s="513">
        <f t="shared" si="4"/>
        <v>12612124</v>
      </c>
      <c r="K54" s="521"/>
    </row>
    <row r="55" spans="1:11" s="514" customFormat="1" ht="32.25" customHeight="1" outlineLevel="1" x14ac:dyDescent="0.3">
      <c r="A55" s="443">
        <f t="shared" si="5"/>
        <v>49</v>
      </c>
      <c r="B55" s="507" t="s">
        <v>1490</v>
      </c>
      <c r="C55" s="508" t="s">
        <v>40</v>
      </c>
      <c r="D55" s="509">
        <v>332</v>
      </c>
      <c r="E55" s="510">
        <f t="shared" si="40"/>
        <v>49254.1</v>
      </c>
      <c r="F55" s="511">
        <v>16352360.07</v>
      </c>
      <c r="G55" s="622">
        <v>34760</v>
      </c>
      <c r="H55" s="620">
        <f t="shared" si="6"/>
        <v>11540320</v>
      </c>
      <c r="I55" s="512">
        <f t="shared" si="3"/>
        <v>14494.099999999999</v>
      </c>
      <c r="J55" s="513">
        <f t="shared" si="4"/>
        <v>4812040.07</v>
      </c>
      <c r="K55" s="521"/>
    </row>
    <row r="56" spans="1:11" s="514" customFormat="1" ht="25.5" customHeight="1" outlineLevel="1" x14ac:dyDescent="0.3">
      <c r="A56" s="443">
        <f t="shared" si="5"/>
        <v>50</v>
      </c>
      <c r="B56" s="507" t="s">
        <v>1493</v>
      </c>
      <c r="C56" s="508" t="s">
        <v>40</v>
      </c>
      <c r="D56" s="509">
        <v>711</v>
      </c>
      <c r="E56" s="510">
        <f t="shared" ref="E56" si="53">ROUND(F56/D56,2)</f>
        <v>57537.39</v>
      </c>
      <c r="F56" s="511">
        <v>40909087.280000001</v>
      </c>
      <c r="G56" s="622">
        <v>43436.25</v>
      </c>
      <c r="H56" s="620">
        <f t="shared" si="6"/>
        <v>30883173.75</v>
      </c>
      <c r="I56" s="512">
        <f t="shared" ref="I56" si="54">E56-G56</f>
        <v>14101.14</v>
      </c>
      <c r="J56" s="513">
        <f t="shared" ref="J56" si="55">F56-H56</f>
        <v>10025913.530000001</v>
      </c>
      <c r="K56" s="521"/>
    </row>
    <row r="57" spans="1:11" s="514" customFormat="1" ht="25.5" customHeight="1" outlineLevel="1" x14ac:dyDescent="0.3">
      <c r="A57" s="443">
        <f t="shared" si="5"/>
        <v>51</v>
      </c>
      <c r="B57" s="507" t="s">
        <v>1410</v>
      </c>
      <c r="C57" s="508" t="s">
        <v>40</v>
      </c>
      <c r="D57" s="509">
        <v>4396</v>
      </c>
      <c r="E57" s="510">
        <f t="shared" si="40"/>
        <v>161.5</v>
      </c>
      <c r="F57" s="511">
        <v>709954</v>
      </c>
      <c r="G57" s="622">
        <v>83.33</v>
      </c>
      <c r="H57" s="620">
        <f t="shared" si="6"/>
        <v>366318.68</v>
      </c>
      <c r="I57" s="512">
        <f t="shared" si="3"/>
        <v>78.17</v>
      </c>
      <c r="J57" s="513">
        <f t="shared" si="4"/>
        <v>343635.32</v>
      </c>
      <c r="K57" s="521"/>
    </row>
    <row r="58" spans="1:11" s="514" customFormat="1" ht="25.5" customHeight="1" outlineLevel="1" x14ac:dyDescent="0.3">
      <c r="A58" s="443">
        <f t="shared" si="5"/>
        <v>52</v>
      </c>
      <c r="B58" s="507" t="s">
        <v>1409</v>
      </c>
      <c r="C58" s="508" t="s">
        <v>40</v>
      </c>
      <c r="D58" s="509">
        <v>4660</v>
      </c>
      <c r="E58" s="510">
        <f t="shared" si="40"/>
        <v>161.5</v>
      </c>
      <c r="F58" s="511">
        <v>752590</v>
      </c>
      <c r="G58" s="622">
        <v>83.33</v>
      </c>
      <c r="H58" s="620">
        <f t="shared" si="6"/>
        <v>388317.8</v>
      </c>
      <c r="I58" s="512">
        <f t="shared" si="3"/>
        <v>78.17</v>
      </c>
      <c r="J58" s="513">
        <f t="shared" si="4"/>
        <v>364272.2</v>
      </c>
      <c r="K58" s="521"/>
    </row>
    <row r="59" spans="1:11" s="514" customFormat="1" ht="25.5" customHeight="1" outlineLevel="1" x14ac:dyDescent="0.3">
      <c r="A59" s="443">
        <f t="shared" si="5"/>
        <v>53</v>
      </c>
      <c r="B59" s="507" t="s">
        <v>1408</v>
      </c>
      <c r="C59" s="508" t="s">
        <v>40</v>
      </c>
      <c r="D59" s="509">
        <v>2085</v>
      </c>
      <c r="E59" s="510">
        <f t="shared" si="40"/>
        <v>161.5</v>
      </c>
      <c r="F59" s="511">
        <v>336727.5</v>
      </c>
      <c r="G59" s="622">
        <v>83.33</v>
      </c>
      <c r="H59" s="620">
        <f t="shared" si="6"/>
        <v>173743.05</v>
      </c>
      <c r="I59" s="512">
        <f t="shared" si="3"/>
        <v>78.17</v>
      </c>
      <c r="J59" s="513">
        <f t="shared" si="4"/>
        <v>162984.45000000001</v>
      </c>
      <c r="K59" s="521"/>
    </row>
    <row r="60" spans="1:11" s="514" customFormat="1" ht="25.5" customHeight="1" outlineLevel="1" x14ac:dyDescent="0.3">
      <c r="A60" s="443">
        <f t="shared" si="5"/>
        <v>54</v>
      </c>
      <c r="B60" s="507" t="s">
        <v>1403</v>
      </c>
      <c r="C60" s="508" t="s">
        <v>40</v>
      </c>
      <c r="D60" s="509">
        <v>23300</v>
      </c>
      <c r="E60" s="510">
        <f t="shared" si="40"/>
        <v>997.05</v>
      </c>
      <c r="F60" s="511">
        <v>23231265</v>
      </c>
      <c r="G60" s="622">
        <v>333.33</v>
      </c>
      <c r="H60" s="620">
        <f t="shared" si="6"/>
        <v>7766589</v>
      </c>
      <c r="I60" s="512">
        <f t="shared" si="3"/>
        <v>663.72</v>
      </c>
      <c r="J60" s="513">
        <f t="shared" si="4"/>
        <v>15464676</v>
      </c>
      <c r="K60" s="521"/>
    </row>
    <row r="61" spans="1:11" s="514" customFormat="1" ht="25.5" customHeight="1" outlineLevel="1" x14ac:dyDescent="0.3">
      <c r="A61" s="443">
        <f t="shared" si="5"/>
        <v>55</v>
      </c>
      <c r="B61" s="507" t="s">
        <v>1404</v>
      </c>
      <c r="C61" s="508" t="s">
        <v>40</v>
      </c>
      <c r="D61" s="509">
        <v>10430</v>
      </c>
      <c r="E61" s="510">
        <f t="shared" si="40"/>
        <v>997.05</v>
      </c>
      <c r="F61" s="511">
        <v>10399231.5</v>
      </c>
      <c r="G61" s="622">
        <v>333.33</v>
      </c>
      <c r="H61" s="620">
        <f t="shared" si="6"/>
        <v>3476631.9</v>
      </c>
      <c r="I61" s="512">
        <f t="shared" si="3"/>
        <v>663.72</v>
      </c>
      <c r="J61" s="513">
        <f t="shared" si="4"/>
        <v>6922599.5999999996</v>
      </c>
      <c r="K61" s="521"/>
    </row>
    <row r="62" spans="1:11" s="514" customFormat="1" ht="31.5" customHeight="1" outlineLevel="1" x14ac:dyDescent="0.3">
      <c r="A62" s="443">
        <f t="shared" si="5"/>
        <v>56</v>
      </c>
      <c r="B62" s="507" t="s">
        <v>1407</v>
      </c>
      <c r="C62" s="508" t="s">
        <v>40</v>
      </c>
      <c r="D62" s="509">
        <v>10990</v>
      </c>
      <c r="E62" s="510">
        <f t="shared" si="40"/>
        <v>300.89999999999998</v>
      </c>
      <c r="F62" s="511">
        <v>3306891</v>
      </c>
      <c r="G62" s="622">
        <v>300.89999999999998</v>
      </c>
      <c r="H62" s="620">
        <f t="shared" si="6"/>
        <v>3306890.9999999995</v>
      </c>
      <c r="I62" s="512">
        <f t="shared" si="3"/>
        <v>0</v>
      </c>
      <c r="J62" s="513">
        <f t="shared" si="4"/>
        <v>0</v>
      </c>
      <c r="K62" s="521"/>
    </row>
    <row r="63" spans="1:11" s="514" customFormat="1" ht="21.75" customHeight="1" outlineLevel="1" x14ac:dyDescent="0.3">
      <c r="A63" s="443">
        <f t="shared" si="5"/>
        <v>57</v>
      </c>
      <c r="B63" s="507" t="s">
        <v>1411</v>
      </c>
      <c r="C63" s="508" t="s">
        <v>5</v>
      </c>
      <c r="D63" s="509">
        <v>6594</v>
      </c>
      <c r="E63" s="510">
        <f t="shared" si="40"/>
        <v>9305.7999999999993</v>
      </c>
      <c r="F63" s="511">
        <v>61362445.200000003</v>
      </c>
      <c r="G63" s="622">
        <v>3291.67</v>
      </c>
      <c r="H63" s="620">
        <f t="shared" si="6"/>
        <v>21705271.98</v>
      </c>
      <c r="I63" s="512">
        <f t="shared" si="3"/>
        <v>6014.1299999999992</v>
      </c>
      <c r="J63" s="513">
        <f t="shared" si="4"/>
        <v>39657173.219999999</v>
      </c>
      <c r="K63" s="521"/>
    </row>
    <row r="64" spans="1:11" s="514" customFormat="1" ht="21.75" customHeight="1" outlineLevel="1" x14ac:dyDescent="0.3">
      <c r="A64" s="443">
        <f t="shared" si="5"/>
        <v>58</v>
      </c>
      <c r="B64" s="507" t="s">
        <v>1412</v>
      </c>
      <c r="C64" s="508" t="s">
        <v>5</v>
      </c>
      <c r="D64" s="509">
        <v>13980</v>
      </c>
      <c r="E64" s="510">
        <f t="shared" si="40"/>
        <v>9305.7999999999993</v>
      </c>
      <c r="F64" s="511">
        <v>130095084</v>
      </c>
      <c r="G64" s="622">
        <v>3291.67</v>
      </c>
      <c r="H64" s="620">
        <f t="shared" si="6"/>
        <v>46017546.600000001</v>
      </c>
      <c r="I64" s="512">
        <f t="shared" si="3"/>
        <v>6014.1299999999992</v>
      </c>
      <c r="J64" s="513">
        <f t="shared" si="4"/>
        <v>84077537.400000006</v>
      </c>
      <c r="K64" s="521"/>
    </row>
    <row r="65" spans="1:11" s="514" customFormat="1" ht="21.75" customHeight="1" outlineLevel="1" x14ac:dyDescent="0.3">
      <c r="A65" s="443">
        <f t="shared" si="5"/>
        <v>59</v>
      </c>
      <c r="B65" s="507" t="s">
        <v>1413</v>
      </c>
      <c r="C65" s="508" t="s">
        <v>5</v>
      </c>
      <c r="D65" s="509">
        <v>6258</v>
      </c>
      <c r="E65" s="510">
        <f t="shared" si="40"/>
        <v>9305.7999999999993</v>
      </c>
      <c r="F65" s="511">
        <v>58235696.399999999</v>
      </c>
      <c r="G65" s="622">
        <v>3291.67</v>
      </c>
      <c r="H65" s="620">
        <f t="shared" si="6"/>
        <v>20599270.859999999</v>
      </c>
      <c r="I65" s="512">
        <f t="shared" si="3"/>
        <v>6014.1299999999992</v>
      </c>
      <c r="J65" s="513">
        <f t="shared" si="4"/>
        <v>37636425.539999999</v>
      </c>
      <c r="K65" s="521"/>
    </row>
    <row r="66" spans="1:11" ht="23.25" customHeight="1" outlineLevel="1" x14ac:dyDescent="0.3">
      <c r="A66" s="443">
        <f t="shared" si="5"/>
        <v>60</v>
      </c>
      <c r="B66" s="428" t="s">
        <v>1501</v>
      </c>
      <c r="C66" s="442" t="s">
        <v>16</v>
      </c>
      <c r="D66" s="492">
        <v>9760.57</v>
      </c>
      <c r="E66" s="480">
        <f t="shared" si="40"/>
        <v>776.02</v>
      </c>
      <c r="F66" s="479">
        <f>7574390.7</f>
        <v>7574390.7000000002</v>
      </c>
      <c r="G66" s="552">
        <v>2520</v>
      </c>
      <c r="H66" s="620">
        <f t="shared" si="6"/>
        <v>24596636.399999999</v>
      </c>
      <c r="I66" s="482">
        <f t="shared" si="3"/>
        <v>-1743.98</v>
      </c>
      <c r="J66" s="481">
        <f t="shared" si="4"/>
        <v>-17022245.699999999</v>
      </c>
    </row>
    <row r="67" spans="1:11" s="514" customFormat="1" ht="21.75" customHeight="1" outlineLevel="1" x14ac:dyDescent="0.3">
      <c r="A67" s="443">
        <f t="shared" si="5"/>
        <v>61</v>
      </c>
      <c r="B67" s="507" t="s">
        <v>1507</v>
      </c>
      <c r="C67" s="508" t="s">
        <v>5</v>
      </c>
      <c r="D67" s="509">
        <v>3681</v>
      </c>
      <c r="E67" s="510">
        <f t="shared" ref="E67" si="56">ROUND(F67/D67,2)</f>
        <v>4887.5</v>
      </c>
      <c r="F67" s="511">
        <v>17990887.5</v>
      </c>
      <c r="G67" s="622">
        <v>2666.67</v>
      </c>
      <c r="H67" s="620">
        <f t="shared" si="6"/>
        <v>9816012.2699999996</v>
      </c>
      <c r="I67" s="512">
        <f t="shared" ref="I67" si="57">E67-G67</f>
        <v>2220.83</v>
      </c>
      <c r="J67" s="513">
        <f t="shared" ref="J67" si="58">F67-H67</f>
        <v>8174875.2300000004</v>
      </c>
      <c r="K67" s="521"/>
    </row>
    <row r="68" spans="1:11" s="514" customFormat="1" ht="21.75" customHeight="1" outlineLevel="1" x14ac:dyDescent="0.3">
      <c r="A68" s="443">
        <f t="shared" si="5"/>
        <v>62</v>
      </c>
      <c r="B68" s="507" t="s">
        <v>1508</v>
      </c>
      <c r="C68" s="508" t="s">
        <v>5</v>
      </c>
      <c r="D68" s="509">
        <v>3681</v>
      </c>
      <c r="E68" s="510">
        <f t="shared" si="40"/>
        <v>4887.5</v>
      </c>
      <c r="F68" s="511">
        <v>17990887.5</v>
      </c>
      <c r="G68" s="622">
        <v>2666.67</v>
      </c>
      <c r="H68" s="620">
        <f t="shared" si="6"/>
        <v>9816012.2699999996</v>
      </c>
      <c r="I68" s="512">
        <f t="shared" si="3"/>
        <v>2220.83</v>
      </c>
      <c r="J68" s="513">
        <f t="shared" si="4"/>
        <v>8174875.2300000004</v>
      </c>
      <c r="K68" s="521"/>
    </row>
    <row r="69" spans="1:11" s="514" customFormat="1" ht="21.75" customHeight="1" outlineLevel="1" x14ac:dyDescent="0.3">
      <c r="A69" s="443">
        <f t="shared" si="5"/>
        <v>63</v>
      </c>
      <c r="B69" s="507" t="s">
        <v>1509</v>
      </c>
      <c r="C69" s="508" t="s">
        <v>5</v>
      </c>
      <c r="D69" s="509">
        <v>1131</v>
      </c>
      <c r="E69" s="510">
        <f t="shared" si="40"/>
        <v>4930</v>
      </c>
      <c r="F69" s="511">
        <v>5575830</v>
      </c>
      <c r="G69" s="622">
        <v>2666.67</v>
      </c>
      <c r="H69" s="620">
        <f t="shared" si="6"/>
        <v>3016003.77</v>
      </c>
      <c r="I69" s="512">
        <f t="shared" si="3"/>
        <v>2263.33</v>
      </c>
      <c r="J69" s="513">
        <f t="shared" si="4"/>
        <v>2559826.23</v>
      </c>
      <c r="K69" s="521"/>
    </row>
    <row r="70" spans="1:11" ht="23.25" customHeight="1" outlineLevel="1" x14ac:dyDescent="0.3">
      <c r="A70" s="443">
        <f t="shared" si="5"/>
        <v>64</v>
      </c>
      <c r="B70" s="428" t="s">
        <v>1514</v>
      </c>
      <c r="C70" s="422" t="s">
        <v>40</v>
      </c>
      <c r="D70" s="493">
        <v>18572</v>
      </c>
      <c r="E70" s="480">
        <f t="shared" si="40"/>
        <v>433.25</v>
      </c>
      <c r="F70" s="479">
        <v>8046394.7199999997</v>
      </c>
      <c r="G70" s="552">
        <v>650</v>
      </c>
      <c r="H70" s="620">
        <f t="shared" si="6"/>
        <v>12071800</v>
      </c>
      <c r="I70" s="427">
        <f t="shared" si="3"/>
        <v>-216.75</v>
      </c>
      <c r="J70" s="481">
        <f t="shared" si="4"/>
        <v>-4025405.2800000003</v>
      </c>
    </row>
    <row r="71" spans="1:11" ht="23.25" customHeight="1" outlineLevel="1" x14ac:dyDescent="0.3">
      <c r="A71" s="443">
        <f t="shared" si="5"/>
        <v>65</v>
      </c>
      <c r="B71" s="428" t="s">
        <v>1515</v>
      </c>
      <c r="C71" s="442" t="s">
        <v>17</v>
      </c>
      <c r="D71" s="529">
        <f>583.21*1.26+6.16*1.26</f>
        <v>742.60620000000006</v>
      </c>
      <c r="E71" s="480">
        <f t="shared" ref="E71:E73" si="59">ROUND(F71/D71,2)</f>
        <v>1182.67</v>
      </c>
      <c r="F71" s="479">
        <f>869078.37+9179.41</f>
        <v>878257.78</v>
      </c>
      <c r="G71" s="552">
        <v>5000</v>
      </c>
      <c r="H71" s="620">
        <f t="shared" si="6"/>
        <v>3713031.0000000005</v>
      </c>
      <c r="I71" s="482">
        <f t="shared" ref="I71:I73" si="60">E71-G71</f>
        <v>-3817.33</v>
      </c>
      <c r="J71" s="481">
        <f t="shared" ref="J71:J73" si="61">F71-H71</f>
        <v>-2834773.2200000007</v>
      </c>
    </row>
    <row r="72" spans="1:11" s="514" customFormat="1" ht="21.75" customHeight="1" outlineLevel="1" x14ac:dyDescent="0.3">
      <c r="A72" s="443">
        <f t="shared" si="5"/>
        <v>66</v>
      </c>
      <c r="B72" s="507" t="s">
        <v>1516</v>
      </c>
      <c r="C72" s="508" t="s">
        <v>40</v>
      </c>
      <c r="D72" s="509">
        <v>55</v>
      </c>
      <c r="E72" s="510">
        <f t="shared" si="59"/>
        <v>4624</v>
      </c>
      <c r="F72" s="511">
        <v>254320</v>
      </c>
      <c r="G72" s="622">
        <v>4624</v>
      </c>
      <c r="H72" s="620">
        <f t="shared" si="6"/>
        <v>254320</v>
      </c>
      <c r="I72" s="512">
        <f t="shared" si="60"/>
        <v>0</v>
      </c>
      <c r="J72" s="513">
        <f t="shared" si="61"/>
        <v>0</v>
      </c>
      <c r="K72" s="521"/>
    </row>
    <row r="73" spans="1:11" s="514" customFormat="1" ht="21.75" customHeight="1" outlineLevel="1" x14ac:dyDescent="0.3">
      <c r="A73" s="443">
        <f t="shared" ref="A73:A81" si="62">A72+1</f>
        <v>67</v>
      </c>
      <c r="B73" s="507" t="s">
        <v>1517</v>
      </c>
      <c r="C73" s="508" t="s">
        <v>40</v>
      </c>
      <c r="D73" s="509">
        <v>14</v>
      </c>
      <c r="E73" s="510">
        <f t="shared" si="59"/>
        <v>5737.5</v>
      </c>
      <c r="F73" s="511">
        <v>80325</v>
      </c>
      <c r="G73" s="622">
        <v>5737.5</v>
      </c>
      <c r="H73" s="620">
        <f t="shared" ref="H73:H81" si="63">D73*G73</f>
        <v>80325</v>
      </c>
      <c r="I73" s="512">
        <f t="shared" si="60"/>
        <v>0</v>
      </c>
      <c r="J73" s="513">
        <f t="shared" si="61"/>
        <v>0</v>
      </c>
      <c r="K73" s="521"/>
    </row>
    <row r="74" spans="1:11" ht="23.25" customHeight="1" outlineLevel="1" x14ac:dyDescent="0.3">
      <c r="A74" s="443">
        <f t="shared" si="62"/>
        <v>68</v>
      </c>
      <c r="B74" s="428" t="s">
        <v>1526</v>
      </c>
      <c r="C74" s="442" t="s">
        <v>17</v>
      </c>
      <c r="D74" s="496">
        <f>189.9*1.26+204.39</f>
        <v>443.66399999999999</v>
      </c>
      <c r="E74" s="480">
        <f t="shared" ref="E74" si="64">ROUND(F74/D74,2)</f>
        <v>1063.42</v>
      </c>
      <c r="F74" s="479">
        <f>254449.02+217352.64</f>
        <v>471801.66000000003</v>
      </c>
      <c r="G74" s="552">
        <v>5000</v>
      </c>
      <c r="H74" s="620">
        <f t="shared" si="63"/>
        <v>2218320</v>
      </c>
      <c r="I74" s="482">
        <f t="shared" ref="I74" si="65">E74-G74</f>
        <v>-3936.58</v>
      </c>
      <c r="J74" s="481">
        <f t="shared" ref="J74" si="66">F74-H74</f>
        <v>-1746518.3399999999</v>
      </c>
    </row>
    <row r="75" spans="1:11" ht="23.25" customHeight="1" outlineLevel="1" x14ac:dyDescent="0.3">
      <c r="A75" s="443">
        <f t="shared" si="62"/>
        <v>69</v>
      </c>
      <c r="B75" s="428" t="s">
        <v>1405</v>
      </c>
      <c r="C75" s="442" t="s">
        <v>40</v>
      </c>
      <c r="D75" s="493">
        <v>6782</v>
      </c>
      <c r="E75" s="480">
        <f>ROUND(F75/D75,2)</f>
        <v>657.29</v>
      </c>
      <c r="F75" s="479">
        <v>4457723.1500000004</v>
      </c>
      <c r="G75" s="552">
        <v>750</v>
      </c>
      <c r="H75" s="620">
        <f t="shared" si="63"/>
        <v>5086500</v>
      </c>
      <c r="I75" s="482">
        <f>E75-G75</f>
        <v>-92.710000000000036</v>
      </c>
      <c r="J75" s="481">
        <f>F75-H75</f>
        <v>-628776.84999999963</v>
      </c>
      <c r="K75" s="519"/>
    </row>
    <row r="76" spans="1:11" ht="23.25" customHeight="1" outlineLevel="1" x14ac:dyDescent="0.3">
      <c r="A76" s="443">
        <f t="shared" si="62"/>
        <v>70</v>
      </c>
      <c r="B76" s="428" t="s">
        <v>1524</v>
      </c>
      <c r="C76" s="442" t="s">
        <v>17</v>
      </c>
      <c r="D76" s="496">
        <v>400.13799999999998</v>
      </c>
      <c r="E76" s="480">
        <f>ROUND(592.76*8.61,2)</f>
        <v>5103.66</v>
      </c>
      <c r="F76" s="479">
        <f>ROUND(E76*D76,2)</f>
        <v>2042168.31</v>
      </c>
      <c r="G76" s="552">
        <v>6800</v>
      </c>
      <c r="H76" s="620">
        <f t="shared" si="63"/>
        <v>2720938.4</v>
      </c>
      <c r="I76" s="482">
        <f>E76-G76</f>
        <v>-1696.3400000000001</v>
      </c>
      <c r="J76" s="481">
        <f>F76-H76</f>
        <v>-678770.08999999985</v>
      </c>
      <c r="K76" s="519"/>
    </row>
    <row r="77" spans="1:11" ht="23.25" customHeight="1" outlineLevel="1" x14ac:dyDescent="0.3">
      <c r="A77" s="443">
        <f t="shared" si="62"/>
        <v>71</v>
      </c>
      <c r="B77" s="428" t="s">
        <v>1525</v>
      </c>
      <c r="C77" s="442" t="s">
        <v>17</v>
      </c>
      <c r="D77" s="496">
        <v>4.0692000000000004</v>
      </c>
      <c r="E77" s="480">
        <f>ROUND(519.8*8.61,2)</f>
        <v>4475.4799999999996</v>
      </c>
      <c r="F77" s="479">
        <f>ROUND(E77*D77,2)</f>
        <v>18211.62</v>
      </c>
      <c r="G77" s="552">
        <v>4000</v>
      </c>
      <c r="H77" s="620">
        <f t="shared" si="63"/>
        <v>16276.800000000001</v>
      </c>
      <c r="I77" s="482">
        <f t="shared" ref="I77" si="67">E77-G77</f>
        <v>475.47999999999956</v>
      </c>
      <c r="J77" s="481">
        <f t="shared" ref="J77" si="68">F77-H77</f>
        <v>1934.8199999999979</v>
      </c>
    </row>
    <row r="78" spans="1:11" s="514" customFormat="1" ht="21.75" customHeight="1" outlineLevel="1" x14ac:dyDescent="0.3">
      <c r="A78" s="443">
        <f t="shared" si="62"/>
        <v>72</v>
      </c>
      <c r="B78" s="507" t="s">
        <v>1406</v>
      </c>
      <c r="C78" s="508" t="s">
        <v>28</v>
      </c>
      <c r="D78" s="532">
        <f>5764.7*0.05*2.584</f>
        <v>744.79924000000005</v>
      </c>
      <c r="E78" s="510">
        <f>ROUND(F78/D78,2)</f>
        <v>8797.5</v>
      </c>
      <c r="F78" s="511">
        <v>6552371.3099999996</v>
      </c>
      <c r="G78" s="622">
        <v>8797.5</v>
      </c>
      <c r="H78" s="620">
        <f t="shared" si="63"/>
        <v>6552371.3139000004</v>
      </c>
      <c r="I78" s="512">
        <f t="shared" ref="I78:J80" si="69">E78-G78</f>
        <v>0</v>
      </c>
      <c r="J78" s="513">
        <f t="shared" si="69"/>
        <v>-3.9000008255243301E-3</v>
      </c>
      <c r="K78" s="521"/>
    </row>
    <row r="79" spans="1:11" s="514" customFormat="1" ht="21.75" customHeight="1" outlineLevel="1" x14ac:dyDescent="0.3">
      <c r="A79" s="443">
        <f t="shared" si="62"/>
        <v>73</v>
      </c>
      <c r="B79" s="507" t="s">
        <v>1541</v>
      </c>
      <c r="C79" s="508" t="s">
        <v>28</v>
      </c>
      <c r="D79" s="532">
        <f>5764.7*0.07*2.57</f>
        <v>1037.06953</v>
      </c>
      <c r="E79" s="510">
        <f>ROUND(F79/D79,2)</f>
        <v>7480</v>
      </c>
      <c r="F79" s="511">
        <v>7757280.0800000001</v>
      </c>
      <c r="G79" s="622">
        <v>7480</v>
      </c>
      <c r="H79" s="620">
        <f t="shared" si="63"/>
        <v>7757280.0844000001</v>
      </c>
      <c r="I79" s="512">
        <f t="shared" si="69"/>
        <v>0</v>
      </c>
      <c r="J79" s="513">
        <f t="shared" si="69"/>
        <v>-4.3999999761581421E-3</v>
      </c>
      <c r="K79" s="521"/>
    </row>
    <row r="80" spans="1:11" s="514" customFormat="1" ht="33" customHeight="1" outlineLevel="1" x14ac:dyDescent="0.3">
      <c r="A80" s="443">
        <f t="shared" si="62"/>
        <v>74</v>
      </c>
      <c r="B80" s="507" t="s">
        <v>1550</v>
      </c>
      <c r="C80" s="508" t="s">
        <v>1385</v>
      </c>
      <c r="D80" s="509">
        <v>10</v>
      </c>
      <c r="E80" s="510">
        <f>ROUND(F80/D80,2)</f>
        <v>1232500</v>
      </c>
      <c r="F80" s="511">
        <v>12325000</v>
      </c>
      <c r="G80" s="622">
        <v>1208333.33</v>
      </c>
      <c r="H80" s="620">
        <f t="shared" si="63"/>
        <v>12083333.300000001</v>
      </c>
      <c r="I80" s="512">
        <f t="shared" si="69"/>
        <v>24166.669999999925</v>
      </c>
      <c r="J80" s="513">
        <f t="shared" si="69"/>
        <v>241666.69999999925</v>
      </c>
      <c r="K80" s="521"/>
    </row>
    <row r="81" spans="1:12" s="514" customFormat="1" ht="19.5" customHeight="1" outlineLevel="1" x14ac:dyDescent="0.3">
      <c r="A81" s="443">
        <f t="shared" si="62"/>
        <v>75</v>
      </c>
      <c r="B81" s="507" t="s">
        <v>1891</v>
      </c>
      <c r="C81" s="508" t="s">
        <v>1385</v>
      </c>
      <c r="D81" s="509">
        <v>1</v>
      </c>
      <c r="E81" s="510">
        <f>ROUND(F81/D81,2)</f>
        <v>36966.89</v>
      </c>
      <c r="F81" s="511">
        <f>66391.9/2165156015.91*1205554916.39</f>
        <v>36966.888697779767</v>
      </c>
      <c r="G81" s="622">
        <v>36966.89</v>
      </c>
      <c r="H81" s="620">
        <f t="shared" si="63"/>
        <v>36966.89</v>
      </c>
      <c r="I81" s="512">
        <f t="shared" ref="I81" si="70">E81-G81</f>
        <v>0</v>
      </c>
      <c r="J81" s="513">
        <f t="shared" ref="J81" si="71">F81-H81</f>
        <v>-1.3022202329011634E-3</v>
      </c>
      <c r="K81" s="521"/>
    </row>
    <row r="82" spans="1:12" s="484" customFormat="1" ht="21.75" customHeight="1" x14ac:dyDescent="0.3">
      <c r="A82" s="555"/>
      <c r="B82" s="612" t="s">
        <v>1888</v>
      </c>
      <c r="C82" s="613"/>
      <c r="D82" s="614"/>
      <c r="E82" s="615"/>
      <c r="F82" s="616">
        <f>SUM(F7:F81)</f>
        <v>1088795365.6461077</v>
      </c>
      <c r="G82" s="617"/>
      <c r="H82" s="621">
        <f>SUM(H7:H81)</f>
        <v>847879985.04495478</v>
      </c>
      <c r="I82" s="617"/>
      <c r="J82" s="616">
        <f>SUM(J7:J81)</f>
        <v>240915380.60624865</v>
      </c>
      <c r="K82" s="550"/>
      <c r="L82" s="549"/>
    </row>
    <row r="83" spans="1:12" s="484" customFormat="1" ht="21.75" customHeight="1" x14ac:dyDescent="0.3">
      <c r="A83" s="542"/>
      <c r="B83" s="902" t="s">
        <v>1551</v>
      </c>
      <c r="C83" s="903"/>
      <c r="D83" s="903"/>
      <c r="E83" s="903"/>
      <c r="F83" s="903"/>
      <c r="G83" s="903"/>
      <c r="H83" s="903"/>
      <c r="I83" s="903"/>
      <c r="J83" s="904"/>
      <c r="K83" s="491"/>
    </row>
    <row r="84" spans="1:12" ht="23.25" customHeight="1" outlineLevel="1" x14ac:dyDescent="0.3">
      <c r="A84" s="443">
        <f>A81+1</f>
        <v>76</v>
      </c>
      <c r="B84" s="428" t="s">
        <v>1567</v>
      </c>
      <c r="C84" s="442" t="s">
        <v>17</v>
      </c>
      <c r="D84" s="492">
        <f>696.21*0.158</f>
        <v>110.00118000000001</v>
      </c>
      <c r="E84" s="480">
        <f t="shared" ref="E84:E89" si="72">ROUND(F84/D84,2)</f>
        <v>1167.52</v>
      </c>
      <c r="F84" s="479">
        <v>128428.14</v>
      </c>
      <c r="G84" s="767">
        <v>2300</v>
      </c>
      <c r="H84" s="768">
        <f>D84*G84</f>
        <v>253002.71400000001</v>
      </c>
      <c r="I84" s="427">
        <f t="shared" si="3"/>
        <v>-1132.48</v>
      </c>
      <c r="J84" s="481">
        <f t="shared" si="4"/>
        <v>-124574.57400000001</v>
      </c>
      <c r="K84" s="519"/>
    </row>
    <row r="85" spans="1:12" ht="23.25" customHeight="1" outlineLevel="1" x14ac:dyDescent="0.3">
      <c r="A85" s="443">
        <f t="shared" ref="A85:A148" si="73">A84+1</f>
        <v>77</v>
      </c>
      <c r="B85" s="428" t="s">
        <v>1568</v>
      </c>
      <c r="C85" s="442" t="s">
        <v>16</v>
      </c>
      <c r="D85" s="492">
        <f>696.21*0.027</f>
        <v>18.79767</v>
      </c>
      <c r="E85" s="480">
        <f t="shared" si="72"/>
        <v>1259.21</v>
      </c>
      <c r="F85" s="479">
        <v>23670.26</v>
      </c>
      <c r="G85" s="767">
        <v>700</v>
      </c>
      <c r="H85" s="768">
        <f t="shared" ref="H85:H121" si="74">D85*G85</f>
        <v>13158.369000000001</v>
      </c>
      <c r="I85" s="427">
        <f t="shared" si="3"/>
        <v>559.21</v>
      </c>
      <c r="J85" s="481">
        <f t="shared" si="4"/>
        <v>10511.890999999998</v>
      </c>
      <c r="K85" s="519"/>
    </row>
    <row r="86" spans="1:12" ht="23.25" customHeight="1" outlineLevel="1" x14ac:dyDescent="0.3">
      <c r="A86" s="443">
        <f t="shared" si="73"/>
        <v>78</v>
      </c>
      <c r="B86" s="428" t="s">
        <v>1569</v>
      </c>
      <c r="C86" s="442" t="s">
        <v>17</v>
      </c>
      <c r="D86" s="492">
        <f>154.73*1.2+60.95*1.26</f>
        <v>262.47299999999996</v>
      </c>
      <c r="E86" s="480">
        <f t="shared" si="72"/>
        <v>504.56</v>
      </c>
      <c r="F86" s="479">
        <f>95906.3+36525.91</f>
        <v>132432.21000000002</v>
      </c>
      <c r="G86" s="767">
        <v>1200</v>
      </c>
      <c r="H86" s="768">
        <f t="shared" si="74"/>
        <v>314967.59999999998</v>
      </c>
      <c r="I86" s="427">
        <f t="shared" si="3"/>
        <v>-695.44</v>
      </c>
      <c r="J86" s="481">
        <f t="shared" si="4"/>
        <v>-182535.38999999996</v>
      </c>
      <c r="K86" s="519"/>
    </row>
    <row r="87" spans="1:12" s="514" customFormat="1" ht="22.5" customHeight="1" outlineLevel="1" x14ac:dyDescent="0.3">
      <c r="A87" s="443">
        <f t="shared" si="73"/>
        <v>79</v>
      </c>
      <c r="B87" s="507" t="s">
        <v>1571</v>
      </c>
      <c r="C87" s="508" t="s">
        <v>17</v>
      </c>
      <c r="D87" s="531">
        <f>874.78*0.05</f>
        <v>43.739000000000004</v>
      </c>
      <c r="E87" s="510">
        <f t="shared" si="72"/>
        <v>12957.43</v>
      </c>
      <c r="F87" s="511">
        <v>566745.03</v>
      </c>
      <c r="G87" s="769">
        <v>10208.33</v>
      </c>
      <c r="H87" s="768">
        <f t="shared" si="74"/>
        <v>446502.14587000007</v>
      </c>
      <c r="I87" s="512">
        <f t="shared" ref="I87" si="75">E87-G87</f>
        <v>2749.1000000000004</v>
      </c>
      <c r="J87" s="513">
        <f t="shared" ref="J87" si="76">F87-H87</f>
        <v>120242.88412999996</v>
      </c>
      <c r="K87" s="521"/>
    </row>
    <row r="88" spans="1:12" ht="23.25" customHeight="1" outlineLevel="1" x14ac:dyDescent="0.3">
      <c r="A88" s="443">
        <f t="shared" si="73"/>
        <v>80</v>
      </c>
      <c r="B88" s="428" t="s">
        <v>1526</v>
      </c>
      <c r="C88" s="442" t="s">
        <v>17</v>
      </c>
      <c r="D88" s="529">
        <f>195.48*1.17</f>
        <v>228.71159999999998</v>
      </c>
      <c r="E88" s="480">
        <f t="shared" si="72"/>
        <v>1063.42</v>
      </c>
      <c r="F88" s="479">
        <f>243216.74</f>
        <v>243216.74</v>
      </c>
      <c r="G88" s="767">
        <v>5000</v>
      </c>
      <c r="H88" s="768">
        <f t="shared" si="74"/>
        <v>1143557.9999999998</v>
      </c>
      <c r="I88" s="427">
        <f t="shared" si="3"/>
        <v>-3936.58</v>
      </c>
      <c r="J88" s="481">
        <f t="shared" si="4"/>
        <v>-900341.25999999978</v>
      </c>
      <c r="K88" s="519"/>
    </row>
    <row r="89" spans="1:12" ht="49.5" customHeight="1" outlineLevel="1" x14ac:dyDescent="0.3">
      <c r="A89" s="443">
        <f t="shared" si="73"/>
        <v>81</v>
      </c>
      <c r="B89" s="428" t="s">
        <v>1759</v>
      </c>
      <c r="C89" s="624" t="s">
        <v>1385</v>
      </c>
      <c r="D89" s="623">
        <v>1</v>
      </c>
      <c r="E89" s="480">
        <f t="shared" si="72"/>
        <v>4864.5</v>
      </c>
      <c r="F89" s="479">
        <f>161916.66-157052.16</f>
        <v>4864.5</v>
      </c>
      <c r="G89" s="767">
        <v>4864.5</v>
      </c>
      <c r="H89" s="768">
        <f t="shared" si="74"/>
        <v>4864.5</v>
      </c>
      <c r="I89" s="482">
        <f t="shared" si="3"/>
        <v>0</v>
      </c>
      <c r="J89" s="481">
        <f t="shared" si="4"/>
        <v>0</v>
      </c>
      <c r="K89" s="522" t="s">
        <v>1448</v>
      </c>
    </row>
    <row r="90" spans="1:12" s="514" customFormat="1" ht="22.5" customHeight="1" outlineLevel="1" x14ac:dyDescent="0.3">
      <c r="A90" s="443">
        <f t="shared" si="73"/>
        <v>82</v>
      </c>
      <c r="B90" s="507" t="s">
        <v>1582</v>
      </c>
      <c r="C90" s="508" t="s">
        <v>1385</v>
      </c>
      <c r="D90" s="509">
        <v>6</v>
      </c>
      <c r="E90" s="510">
        <f t="shared" ref="E90" si="77">ROUND(F90/D90,2)</f>
        <v>2142</v>
      </c>
      <c r="F90" s="511">
        <v>12852</v>
      </c>
      <c r="G90" s="769">
        <v>2142</v>
      </c>
      <c r="H90" s="768">
        <f t="shared" si="74"/>
        <v>12852</v>
      </c>
      <c r="I90" s="512">
        <f t="shared" si="3"/>
        <v>0</v>
      </c>
      <c r="J90" s="513">
        <f t="shared" si="4"/>
        <v>0</v>
      </c>
      <c r="K90" s="521"/>
    </row>
    <row r="91" spans="1:12" s="514" customFormat="1" ht="22.5" customHeight="1" outlineLevel="1" x14ac:dyDescent="0.3">
      <c r="A91" s="443">
        <f t="shared" si="73"/>
        <v>83</v>
      </c>
      <c r="B91" s="507" t="s">
        <v>1583</v>
      </c>
      <c r="C91" s="508" t="s">
        <v>40</v>
      </c>
      <c r="D91" s="509">
        <v>73</v>
      </c>
      <c r="E91" s="510">
        <f t="shared" ref="E91" si="78">ROUND(F91/D91,2)</f>
        <v>11220</v>
      </c>
      <c r="F91" s="511">
        <v>819060</v>
      </c>
      <c r="G91" s="769">
        <v>6583.33</v>
      </c>
      <c r="H91" s="768">
        <f t="shared" si="74"/>
        <v>480583.08999999997</v>
      </c>
      <c r="I91" s="512">
        <f t="shared" ref="I91" si="79">E91-G91</f>
        <v>4636.67</v>
      </c>
      <c r="J91" s="513">
        <f t="shared" ref="J91" si="80">F91-H91</f>
        <v>338476.91000000003</v>
      </c>
      <c r="K91" s="521"/>
    </row>
    <row r="92" spans="1:12" s="514" customFormat="1" ht="22.5" customHeight="1" outlineLevel="1" x14ac:dyDescent="0.3">
      <c r="A92" s="443">
        <f t="shared" si="73"/>
        <v>84</v>
      </c>
      <c r="B92" s="507" t="s">
        <v>1584</v>
      </c>
      <c r="C92" s="508" t="s">
        <v>5</v>
      </c>
      <c r="D92" s="530">
        <v>86.8</v>
      </c>
      <c r="E92" s="510">
        <f t="shared" ref="E92:E95" si="81">ROUND(F92/D92,2)</f>
        <v>9294.7099999999991</v>
      </c>
      <c r="F92" s="511">
        <v>806780.83</v>
      </c>
      <c r="G92" s="769">
        <v>9083.33</v>
      </c>
      <c r="H92" s="768">
        <f t="shared" si="74"/>
        <v>788433.04399999999</v>
      </c>
      <c r="I92" s="512">
        <f t="shared" ref="I92:I95" si="82">E92-G92</f>
        <v>211.3799999999992</v>
      </c>
      <c r="J92" s="513">
        <f t="shared" ref="J92:J94" si="83">F92-H92</f>
        <v>18347.785999999964</v>
      </c>
      <c r="K92" s="521"/>
    </row>
    <row r="93" spans="1:12" ht="49.5" customHeight="1" outlineLevel="1" x14ac:dyDescent="0.3">
      <c r="A93" s="443">
        <f t="shared" si="73"/>
        <v>85</v>
      </c>
      <c r="B93" s="428" t="s">
        <v>1760</v>
      </c>
      <c r="C93" s="624" t="s">
        <v>1385</v>
      </c>
      <c r="D93" s="623">
        <v>1</v>
      </c>
      <c r="E93" s="480">
        <f t="shared" si="81"/>
        <v>2461.39</v>
      </c>
      <c r="F93" s="479">
        <f>81928.36-79466.97</f>
        <v>2461.3899999999994</v>
      </c>
      <c r="G93" s="767">
        <v>2461.39</v>
      </c>
      <c r="H93" s="768">
        <f t="shared" si="74"/>
        <v>2461.39</v>
      </c>
      <c r="I93" s="482">
        <f t="shared" si="82"/>
        <v>0</v>
      </c>
      <c r="J93" s="481">
        <f t="shared" si="83"/>
        <v>0</v>
      </c>
      <c r="K93" s="522" t="s">
        <v>1448</v>
      </c>
    </row>
    <row r="94" spans="1:12" s="514" customFormat="1" ht="22.5" customHeight="1" outlineLevel="1" x14ac:dyDescent="0.3">
      <c r="A94" s="443">
        <f t="shared" si="73"/>
        <v>86</v>
      </c>
      <c r="B94" s="507" t="s">
        <v>1586</v>
      </c>
      <c r="C94" s="508" t="s">
        <v>1385</v>
      </c>
      <c r="D94" s="509">
        <v>22</v>
      </c>
      <c r="E94" s="510">
        <f t="shared" si="81"/>
        <v>1652.4</v>
      </c>
      <c r="F94" s="511">
        <v>36352.800000000003</v>
      </c>
      <c r="G94" s="769">
        <v>16666.669999999998</v>
      </c>
      <c r="H94" s="768">
        <f t="shared" si="74"/>
        <v>366666.74</v>
      </c>
      <c r="I94" s="512">
        <f t="shared" si="82"/>
        <v>-15014.269999999999</v>
      </c>
      <c r="J94" s="513">
        <f t="shared" si="83"/>
        <v>-330313.94</v>
      </c>
      <c r="K94" s="521"/>
    </row>
    <row r="95" spans="1:12" s="514" customFormat="1" ht="33.75" customHeight="1" outlineLevel="1" x14ac:dyDescent="0.3">
      <c r="A95" s="443">
        <f t="shared" si="73"/>
        <v>87</v>
      </c>
      <c r="B95" s="507" t="s">
        <v>1587</v>
      </c>
      <c r="C95" s="508" t="s">
        <v>40</v>
      </c>
      <c r="D95" s="509">
        <v>37</v>
      </c>
      <c r="E95" s="510">
        <f t="shared" si="81"/>
        <v>9718.0499999999993</v>
      </c>
      <c r="F95" s="511">
        <v>359567.85</v>
      </c>
      <c r="G95" s="769">
        <v>6833.33</v>
      </c>
      <c r="H95" s="768">
        <f t="shared" si="74"/>
        <v>252833.21</v>
      </c>
      <c r="I95" s="512">
        <f t="shared" si="82"/>
        <v>2884.7199999999993</v>
      </c>
      <c r="J95" s="513">
        <f>F95-H95</f>
        <v>106734.63999999998</v>
      </c>
      <c r="K95" s="521"/>
    </row>
    <row r="96" spans="1:12" s="514" customFormat="1" ht="22.5" customHeight="1" outlineLevel="1" x14ac:dyDescent="0.3">
      <c r="A96" s="443">
        <f t="shared" si="73"/>
        <v>88</v>
      </c>
      <c r="B96" s="507" t="s">
        <v>1588</v>
      </c>
      <c r="C96" s="508" t="s">
        <v>5</v>
      </c>
      <c r="D96" s="516">
        <v>43.92</v>
      </c>
      <c r="E96" s="510">
        <f t="shared" ref="E96:E99" si="84">ROUND(F96/D96,2)</f>
        <v>9226.7199999999993</v>
      </c>
      <c r="F96" s="511">
        <v>405237.54</v>
      </c>
      <c r="G96" s="769">
        <v>9041.67</v>
      </c>
      <c r="H96" s="768">
        <f t="shared" si="74"/>
        <v>397110.14640000003</v>
      </c>
      <c r="I96" s="512">
        <f t="shared" ref="I96:I99" si="85">E96-G96</f>
        <v>185.04999999999927</v>
      </c>
      <c r="J96" s="513">
        <f t="shared" ref="J96:J98" si="86">F96-H96</f>
        <v>8127.3935999999521</v>
      </c>
      <c r="K96" s="521"/>
    </row>
    <row r="97" spans="1:11" ht="49.5" customHeight="1" outlineLevel="1" x14ac:dyDescent="0.3">
      <c r="A97" s="443">
        <f t="shared" si="73"/>
        <v>89</v>
      </c>
      <c r="B97" s="428" t="s">
        <v>1762</v>
      </c>
      <c r="C97" s="624" t="s">
        <v>1385</v>
      </c>
      <c r="D97" s="623">
        <v>1</v>
      </c>
      <c r="E97" s="480">
        <f t="shared" si="84"/>
        <v>11911.29</v>
      </c>
      <c r="F97" s="479">
        <f>396471.96-384560.67</f>
        <v>11911.290000000037</v>
      </c>
      <c r="G97" s="767">
        <v>11911.29</v>
      </c>
      <c r="H97" s="768">
        <f t="shared" si="74"/>
        <v>11911.29</v>
      </c>
      <c r="I97" s="482">
        <f t="shared" si="85"/>
        <v>0</v>
      </c>
      <c r="J97" s="481">
        <f t="shared" si="86"/>
        <v>3.637978807091713E-11</v>
      </c>
      <c r="K97" s="522" t="s">
        <v>1448</v>
      </c>
    </row>
    <row r="98" spans="1:11" s="514" customFormat="1" ht="22.5" customHeight="1" outlineLevel="1" x14ac:dyDescent="0.3">
      <c r="A98" s="443">
        <f t="shared" si="73"/>
        <v>90</v>
      </c>
      <c r="B98" s="507" t="s">
        <v>1589</v>
      </c>
      <c r="C98" s="508" t="s">
        <v>1385</v>
      </c>
      <c r="D98" s="509">
        <v>6</v>
      </c>
      <c r="E98" s="510">
        <f t="shared" si="84"/>
        <v>4143.75</v>
      </c>
      <c r="F98" s="511">
        <v>24862.5</v>
      </c>
      <c r="G98" s="769">
        <v>73333.33</v>
      </c>
      <c r="H98" s="768">
        <f t="shared" si="74"/>
        <v>439999.98</v>
      </c>
      <c r="I98" s="512">
        <f t="shared" si="85"/>
        <v>-69189.58</v>
      </c>
      <c r="J98" s="513">
        <f t="shared" si="86"/>
        <v>-415137.48</v>
      </c>
      <c r="K98" s="521"/>
    </row>
    <row r="99" spans="1:11" s="514" customFormat="1" ht="33.75" customHeight="1" outlineLevel="1" x14ac:dyDescent="0.3">
      <c r="A99" s="443">
        <f t="shared" si="73"/>
        <v>91</v>
      </c>
      <c r="B99" s="507" t="s">
        <v>1587</v>
      </c>
      <c r="C99" s="508" t="s">
        <v>40</v>
      </c>
      <c r="D99" s="509">
        <v>179</v>
      </c>
      <c r="E99" s="510">
        <f t="shared" si="84"/>
        <v>9718.0499999999993</v>
      </c>
      <c r="F99" s="511">
        <v>1739530.95</v>
      </c>
      <c r="G99" s="769">
        <v>6833.33</v>
      </c>
      <c r="H99" s="768">
        <f t="shared" si="74"/>
        <v>1223166.07</v>
      </c>
      <c r="I99" s="512">
        <f t="shared" si="85"/>
        <v>2884.7199999999993</v>
      </c>
      <c r="J99" s="513">
        <f>F99-H99</f>
        <v>516364.87999999989</v>
      </c>
      <c r="K99" s="521"/>
    </row>
    <row r="100" spans="1:11" s="514" customFormat="1" ht="22.5" customHeight="1" outlineLevel="1" x14ac:dyDescent="0.3">
      <c r="A100" s="443">
        <f t="shared" si="73"/>
        <v>92</v>
      </c>
      <c r="B100" s="507" t="s">
        <v>1588</v>
      </c>
      <c r="C100" s="508" t="s">
        <v>5</v>
      </c>
      <c r="D100" s="516">
        <v>212.54</v>
      </c>
      <c r="E100" s="510">
        <f t="shared" ref="E100" si="87">ROUND(F100/D100,2)</f>
        <v>9226.7199999999993</v>
      </c>
      <c r="F100" s="511">
        <v>1961047.07</v>
      </c>
      <c r="G100" s="769">
        <v>9041.67</v>
      </c>
      <c r="H100" s="768">
        <f t="shared" si="74"/>
        <v>1921716.5418</v>
      </c>
      <c r="I100" s="512">
        <f t="shared" ref="I100:I101" si="88">E100-G100</f>
        <v>185.04999999999927</v>
      </c>
      <c r="J100" s="513">
        <f t="shared" ref="J100:J101" si="89">F100-H100</f>
        <v>39330.528200000059</v>
      </c>
      <c r="K100" s="521"/>
    </row>
    <row r="101" spans="1:11" ht="46.5" customHeight="1" outlineLevel="1" x14ac:dyDescent="0.3">
      <c r="A101" s="443">
        <f t="shared" si="73"/>
        <v>93</v>
      </c>
      <c r="B101" s="428" t="s">
        <v>1592</v>
      </c>
      <c r="C101" s="443" t="s">
        <v>28</v>
      </c>
      <c r="D101" s="534">
        <f>(6*10.2+22*12+6*12.5)/1000</f>
        <v>0.4002</v>
      </c>
      <c r="E101" s="480">
        <f t="shared" ref="E101" si="90">F101/11</f>
        <v>45080.509090909094</v>
      </c>
      <c r="F101" s="479">
        <f>75832.58+327120.94+92932.08</f>
        <v>495885.60000000003</v>
      </c>
      <c r="G101" s="767">
        <v>45080.509090909094</v>
      </c>
      <c r="H101" s="768">
        <f t="shared" si="74"/>
        <v>18041.219738181819</v>
      </c>
      <c r="I101" s="427">
        <f t="shared" si="88"/>
        <v>0</v>
      </c>
      <c r="J101" s="481">
        <f t="shared" si="89"/>
        <v>477844.38026181824</v>
      </c>
      <c r="K101" s="519" t="s">
        <v>1401</v>
      </c>
    </row>
    <row r="102" spans="1:11" s="525" customFormat="1" ht="23.25" customHeight="1" outlineLevel="1" x14ac:dyDescent="0.3">
      <c r="A102" s="443">
        <f t="shared" si="73"/>
        <v>94</v>
      </c>
      <c r="B102" s="428" t="s">
        <v>1473</v>
      </c>
      <c r="C102" s="443" t="s">
        <v>16</v>
      </c>
      <c r="D102" s="580">
        <f>0.18+0.66+0.18</f>
        <v>1.02</v>
      </c>
      <c r="E102" s="480">
        <f>76.87*8.61</f>
        <v>661.85069999999996</v>
      </c>
      <c r="F102" s="892">
        <f>(33275.47-21371.28)+(122010.03-78361.35)+(33275.47-21371.28)-0.02</f>
        <v>67457.039999999994</v>
      </c>
      <c r="G102" s="770">
        <f>76.87*8.61</f>
        <v>661.85069999999996</v>
      </c>
      <c r="H102" s="768">
        <f t="shared" si="74"/>
        <v>675.08771400000001</v>
      </c>
      <c r="I102" s="907">
        <f>(E102+E103+E104+E105+E106+E107+E108)-(G102+G103+G104+G105+G106+G107+G108)</f>
        <v>0</v>
      </c>
      <c r="J102" s="850">
        <v>0</v>
      </c>
      <c r="K102" s="522" t="s">
        <v>1476</v>
      </c>
    </row>
    <row r="103" spans="1:11" s="525" customFormat="1" ht="23.25" customHeight="1" outlineLevel="1" x14ac:dyDescent="0.3">
      <c r="A103" s="443">
        <f t="shared" si="73"/>
        <v>95</v>
      </c>
      <c r="B103" s="428" t="s">
        <v>1474</v>
      </c>
      <c r="C103" s="443" t="s">
        <v>364</v>
      </c>
      <c r="D103" s="526">
        <f>6+22+6</f>
        <v>34</v>
      </c>
      <c r="E103" s="480">
        <f>44.84*8.61</f>
        <v>386.07240000000002</v>
      </c>
      <c r="F103" s="893"/>
      <c r="G103" s="770">
        <f>44.84*8.61</f>
        <v>386.07240000000002</v>
      </c>
      <c r="H103" s="768">
        <f t="shared" si="74"/>
        <v>13126.461600000001</v>
      </c>
      <c r="I103" s="908"/>
      <c r="J103" s="891"/>
      <c r="K103" s="522" t="s">
        <v>1476</v>
      </c>
    </row>
    <row r="104" spans="1:11" s="525" customFormat="1" ht="23.25" customHeight="1" outlineLevel="1" x14ac:dyDescent="0.3">
      <c r="A104" s="443">
        <f t="shared" si="73"/>
        <v>96</v>
      </c>
      <c r="B104" s="428" t="s">
        <v>1399</v>
      </c>
      <c r="C104" s="443" t="s">
        <v>364</v>
      </c>
      <c r="D104" s="526">
        <f>6+22+6</f>
        <v>34</v>
      </c>
      <c r="E104" s="480">
        <f>11.9*8.61</f>
        <v>102.459</v>
      </c>
      <c r="F104" s="893"/>
      <c r="G104" s="770">
        <f>11.9*8.61</f>
        <v>102.459</v>
      </c>
      <c r="H104" s="768">
        <f t="shared" si="74"/>
        <v>3483.6060000000002</v>
      </c>
      <c r="I104" s="908"/>
      <c r="J104" s="891"/>
      <c r="K104" s="522" t="s">
        <v>1476</v>
      </c>
    </row>
    <row r="105" spans="1:11" s="525" customFormat="1" ht="23.25" customHeight="1" outlineLevel="1" x14ac:dyDescent="0.3">
      <c r="A105" s="443">
        <f t="shared" si="73"/>
        <v>97</v>
      </c>
      <c r="B105" s="428" t="s">
        <v>1397</v>
      </c>
      <c r="C105" s="443" t="s">
        <v>16</v>
      </c>
      <c r="D105" s="526">
        <f>18+66+18</f>
        <v>102</v>
      </c>
      <c r="E105" s="480">
        <f>4.8*8.61</f>
        <v>41.327999999999996</v>
      </c>
      <c r="F105" s="893"/>
      <c r="G105" s="770">
        <f>4.8*8.61</f>
        <v>41.327999999999996</v>
      </c>
      <c r="H105" s="768">
        <f t="shared" si="74"/>
        <v>4215.4559999999992</v>
      </c>
      <c r="I105" s="908"/>
      <c r="J105" s="891"/>
      <c r="K105" s="522" t="s">
        <v>1476</v>
      </c>
    </row>
    <row r="106" spans="1:11" s="525" customFormat="1" ht="23.25" customHeight="1" outlineLevel="1" x14ac:dyDescent="0.3">
      <c r="A106" s="443">
        <f t="shared" si="73"/>
        <v>98</v>
      </c>
      <c r="B106" s="428" t="s">
        <v>1396</v>
      </c>
      <c r="C106" s="443" t="s">
        <v>364</v>
      </c>
      <c r="D106" s="580">
        <f>0.06+0.22+0.06</f>
        <v>0.34</v>
      </c>
      <c r="E106" s="480">
        <f>1482*8.61</f>
        <v>12760.019999999999</v>
      </c>
      <c r="F106" s="893"/>
      <c r="G106" s="770">
        <f>1482*8.61</f>
        <v>12760.019999999999</v>
      </c>
      <c r="H106" s="768">
        <f t="shared" si="74"/>
        <v>4338.4067999999997</v>
      </c>
      <c r="I106" s="908"/>
      <c r="J106" s="891"/>
      <c r="K106" s="522" t="s">
        <v>1476</v>
      </c>
    </row>
    <row r="107" spans="1:11" s="525" customFormat="1" ht="23.25" customHeight="1" outlineLevel="1" x14ac:dyDescent="0.3">
      <c r="A107" s="443">
        <f t="shared" si="73"/>
        <v>99</v>
      </c>
      <c r="B107" s="428" t="s">
        <v>1475</v>
      </c>
      <c r="C107" s="443" t="s">
        <v>364</v>
      </c>
      <c r="D107" s="580">
        <f>0.24+0.88+0.24</f>
        <v>1.36</v>
      </c>
      <c r="E107" s="480">
        <f>529.18*8.61</f>
        <v>4556.2397999999994</v>
      </c>
      <c r="F107" s="893"/>
      <c r="G107" s="770">
        <f>529.18*8.61</f>
        <v>4556.2397999999994</v>
      </c>
      <c r="H107" s="768">
        <f t="shared" si="74"/>
        <v>6196.4861279999996</v>
      </c>
      <c r="I107" s="908"/>
      <c r="J107" s="891"/>
      <c r="K107" s="522" t="s">
        <v>1476</v>
      </c>
    </row>
    <row r="108" spans="1:11" s="525" customFormat="1" ht="31.5" customHeight="1" outlineLevel="1" x14ac:dyDescent="0.3">
      <c r="A108" s="443">
        <f t="shared" si="73"/>
        <v>100</v>
      </c>
      <c r="B108" s="428" t="s">
        <v>1400</v>
      </c>
      <c r="C108" s="443" t="s">
        <v>1398</v>
      </c>
      <c r="D108" s="526">
        <f>6+22+6</f>
        <v>34</v>
      </c>
      <c r="E108" s="480">
        <f>121*8.61</f>
        <v>1041.81</v>
      </c>
      <c r="F108" s="894"/>
      <c r="G108" s="770">
        <f>121*8.61</f>
        <v>1041.81</v>
      </c>
      <c r="H108" s="768">
        <f t="shared" si="74"/>
        <v>35421.54</v>
      </c>
      <c r="I108" s="909"/>
      <c r="J108" s="851"/>
      <c r="K108" s="522" t="s">
        <v>1476</v>
      </c>
    </row>
    <row r="109" spans="1:11" s="514" customFormat="1" ht="30" customHeight="1" outlineLevel="1" x14ac:dyDescent="0.3">
      <c r="A109" s="443">
        <f t="shared" si="73"/>
        <v>101</v>
      </c>
      <c r="B109" s="551" t="s">
        <v>1481</v>
      </c>
      <c r="C109" s="508" t="s">
        <v>1391</v>
      </c>
      <c r="D109" s="509">
        <v>1</v>
      </c>
      <c r="E109" s="510">
        <f t="shared" ref="E109:E110" si="91">ROUND(F109/D109,2)</f>
        <v>32748.82</v>
      </c>
      <c r="F109" s="511">
        <v>32748.82</v>
      </c>
      <c r="G109" s="769">
        <v>32748.82</v>
      </c>
      <c r="H109" s="768">
        <f t="shared" si="74"/>
        <v>32748.82</v>
      </c>
      <c r="I109" s="512">
        <f t="shared" ref="I109:I116" si="92">E109-G109</f>
        <v>0</v>
      </c>
      <c r="J109" s="513">
        <f t="shared" ref="J109:J116" si="93">F109-H109</f>
        <v>0</v>
      </c>
      <c r="K109" s="523" t="s">
        <v>1440</v>
      </c>
    </row>
    <row r="110" spans="1:11" s="514" customFormat="1" ht="24" customHeight="1" outlineLevel="1" x14ac:dyDescent="0.3">
      <c r="A110" s="443">
        <f t="shared" si="73"/>
        <v>102</v>
      </c>
      <c r="B110" s="507" t="s">
        <v>1483</v>
      </c>
      <c r="C110" s="508" t="s">
        <v>40</v>
      </c>
      <c r="D110" s="509">
        <v>7</v>
      </c>
      <c r="E110" s="510">
        <f t="shared" si="91"/>
        <v>20564.900000000001</v>
      </c>
      <c r="F110" s="511">
        <v>143954.29999999999</v>
      </c>
      <c r="G110" s="769">
        <v>21833.33</v>
      </c>
      <c r="H110" s="768">
        <f t="shared" si="74"/>
        <v>152833.31</v>
      </c>
      <c r="I110" s="512">
        <f t="shared" si="92"/>
        <v>-1268.4300000000003</v>
      </c>
      <c r="J110" s="513">
        <f t="shared" si="93"/>
        <v>-8879.0100000000093</v>
      </c>
      <c r="K110" s="523"/>
    </row>
    <row r="111" spans="1:11" s="525" customFormat="1" ht="21.75" customHeight="1" outlineLevel="1" x14ac:dyDescent="0.3">
      <c r="A111" s="443">
        <f t="shared" si="73"/>
        <v>103</v>
      </c>
      <c r="B111" s="428" t="s">
        <v>1487</v>
      </c>
      <c r="C111" s="443" t="s">
        <v>28</v>
      </c>
      <c r="D111" s="500">
        <f>0.01</f>
        <v>0.01</v>
      </c>
      <c r="E111" s="480">
        <f>9249.85*8.61</f>
        <v>79641.208499999993</v>
      </c>
      <c r="F111" s="479">
        <f>D111*E111</f>
        <v>796.41208499999993</v>
      </c>
      <c r="G111" s="767">
        <v>79641.208499999993</v>
      </c>
      <c r="H111" s="768">
        <f t="shared" si="74"/>
        <v>796.41208499999993</v>
      </c>
      <c r="I111" s="482">
        <f t="shared" si="92"/>
        <v>0</v>
      </c>
      <c r="J111" s="481">
        <f t="shared" si="93"/>
        <v>0</v>
      </c>
      <c r="K111" s="522" t="s">
        <v>1486</v>
      </c>
    </row>
    <row r="112" spans="1:11" s="525" customFormat="1" ht="24.75" customHeight="1" outlineLevel="1" x14ac:dyDescent="0.3">
      <c r="A112" s="443">
        <f t="shared" si="73"/>
        <v>104</v>
      </c>
      <c r="B112" s="428" t="s">
        <v>1488</v>
      </c>
      <c r="C112" s="443" t="s">
        <v>28</v>
      </c>
      <c r="D112" s="500">
        <f>0.02</f>
        <v>0.02</v>
      </c>
      <c r="E112" s="480">
        <f>11856*8.61</f>
        <v>102080.15999999999</v>
      </c>
      <c r="F112" s="479">
        <f>D112*E112</f>
        <v>2041.6031999999998</v>
      </c>
      <c r="G112" s="767">
        <v>102080.15999999999</v>
      </c>
      <c r="H112" s="768">
        <f t="shared" si="74"/>
        <v>2041.6031999999998</v>
      </c>
      <c r="I112" s="482">
        <f t="shared" si="92"/>
        <v>0</v>
      </c>
      <c r="J112" s="481">
        <f t="shared" si="93"/>
        <v>0</v>
      </c>
      <c r="K112" s="522" t="s">
        <v>1486</v>
      </c>
    </row>
    <row r="113" spans="1:12" s="514" customFormat="1" ht="21.75" customHeight="1" outlineLevel="1" x14ac:dyDescent="0.3">
      <c r="A113" s="443">
        <f t="shared" si="73"/>
        <v>105</v>
      </c>
      <c r="B113" s="551" t="s">
        <v>1484</v>
      </c>
      <c r="C113" s="508" t="s">
        <v>40</v>
      </c>
      <c r="D113" s="509">
        <v>10</v>
      </c>
      <c r="E113" s="510">
        <f t="shared" ref="E113:E114" si="94">F113/11</f>
        <v>70.393636363636361</v>
      </c>
      <c r="F113" s="511">
        <f>774.33</f>
        <v>774.33</v>
      </c>
      <c r="G113" s="769">
        <v>70.393636363636361</v>
      </c>
      <c r="H113" s="768">
        <f t="shared" si="74"/>
        <v>703.93636363636358</v>
      </c>
      <c r="I113" s="512">
        <f t="shared" si="92"/>
        <v>0</v>
      </c>
      <c r="J113" s="513">
        <f t="shared" si="93"/>
        <v>70.39363636363646</v>
      </c>
      <c r="K113" s="523" t="s">
        <v>1440</v>
      </c>
    </row>
    <row r="114" spans="1:12" s="514" customFormat="1" ht="21.75" customHeight="1" outlineLevel="1" x14ac:dyDescent="0.3">
      <c r="A114" s="443">
        <f t="shared" si="73"/>
        <v>106</v>
      </c>
      <c r="B114" s="551" t="s">
        <v>1485</v>
      </c>
      <c r="C114" s="508" t="s">
        <v>40</v>
      </c>
      <c r="D114" s="509">
        <v>4</v>
      </c>
      <c r="E114" s="510">
        <f t="shared" si="94"/>
        <v>564.50272727272727</v>
      </c>
      <c r="F114" s="511">
        <v>6209.53</v>
      </c>
      <c r="G114" s="769">
        <v>564.50272727272727</v>
      </c>
      <c r="H114" s="768">
        <f t="shared" si="74"/>
        <v>2258.0109090909091</v>
      </c>
      <c r="I114" s="512">
        <f t="shared" si="92"/>
        <v>0</v>
      </c>
      <c r="J114" s="513">
        <f t="shared" si="93"/>
        <v>3951.5190909090907</v>
      </c>
      <c r="K114" s="523" t="s">
        <v>1440</v>
      </c>
    </row>
    <row r="115" spans="1:12" s="514" customFormat="1" ht="21.75" customHeight="1" outlineLevel="1" x14ac:dyDescent="0.3">
      <c r="A115" s="443">
        <f t="shared" si="73"/>
        <v>107</v>
      </c>
      <c r="B115" s="507" t="s">
        <v>1516</v>
      </c>
      <c r="C115" s="508" t="s">
        <v>40</v>
      </c>
      <c r="D115" s="509">
        <v>1</v>
      </c>
      <c r="E115" s="510">
        <f t="shared" ref="E115:E116" si="95">ROUND(F115/D115,2)</f>
        <v>4624</v>
      </c>
      <c r="F115" s="511">
        <v>4624</v>
      </c>
      <c r="G115" s="769">
        <v>4624</v>
      </c>
      <c r="H115" s="768">
        <f t="shared" si="74"/>
        <v>4624</v>
      </c>
      <c r="I115" s="512">
        <f t="shared" si="92"/>
        <v>0</v>
      </c>
      <c r="J115" s="513">
        <f t="shared" si="93"/>
        <v>0</v>
      </c>
      <c r="K115" s="521"/>
    </row>
    <row r="116" spans="1:12" ht="23.25" customHeight="1" outlineLevel="1" x14ac:dyDescent="0.3">
      <c r="A116" s="443">
        <f t="shared" si="73"/>
        <v>108</v>
      </c>
      <c r="B116" s="428" t="s">
        <v>1526</v>
      </c>
      <c r="C116" s="442" t="s">
        <v>17</v>
      </c>
      <c r="D116" s="492">
        <f>1.23*1.26+4.98</f>
        <v>6.5298000000000007</v>
      </c>
      <c r="E116" s="480">
        <f t="shared" si="95"/>
        <v>1063.42</v>
      </c>
      <c r="F116" s="479">
        <f>1648.09+5295.84</f>
        <v>6943.93</v>
      </c>
      <c r="G116" s="767">
        <v>5000</v>
      </c>
      <c r="H116" s="768">
        <f t="shared" si="74"/>
        <v>32649.000000000004</v>
      </c>
      <c r="I116" s="482">
        <f t="shared" si="92"/>
        <v>-3936.58</v>
      </c>
      <c r="J116" s="481">
        <f t="shared" si="93"/>
        <v>-25705.070000000003</v>
      </c>
    </row>
    <row r="117" spans="1:12" ht="23.25" customHeight="1" outlineLevel="1" x14ac:dyDescent="0.3">
      <c r="A117" s="443">
        <f t="shared" si="73"/>
        <v>109</v>
      </c>
      <c r="B117" s="428" t="s">
        <v>1405</v>
      </c>
      <c r="C117" s="442" t="s">
        <v>40</v>
      </c>
      <c r="D117" s="493">
        <v>44</v>
      </c>
      <c r="E117" s="480">
        <f>ROUND(F117/D117,2)</f>
        <v>657.29</v>
      </c>
      <c r="F117" s="479">
        <v>28920.65</v>
      </c>
      <c r="G117" s="767">
        <v>750</v>
      </c>
      <c r="H117" s="768">
        <f t="shared" si="74"/>
        <v>33000</v>
      </c>
      <c r="I117" s="482">
        <f>E117-G117</f>
        <v>-92.710000000000036</v>
      </c>
      <c r="J117" s="481">
        <f>F117-H117</f>
        <v>-4079.3499999999985</v>
      </c>
      <c r="K117" s="519"/>
    </row>
    <row r="118" spans="1:12" ht="23.25" customHeight="1" outlineLevel="1" x14ac:dyDescent="0.3">
      <c r="A118" s="443">
        <f t="shared" si="73"/>
        <v>110</v>
      </c>
      <c r="B118" s="428" t="s">
        <v>1524</v>
      </c>
      <c r="C118" s="442" t="s">
        <v>17</v>
      </c>
      <c r="D118" s="496">
        <v>2.5960000000000001</v>
      </c>
      <c r="E118" s="480">
        <f>ROUND(592.76*8.61,2)</f>
        <v>5103.66</v>
      </c>
      <c r="F118" s="479">
        <f>ROUND(E118*D118,2)</f>
        <v>13249.1</v>
      </c>
      <c r="G118" s="767">
        <v>6800</v>
      </c>
      <c r="H118" s="768">
        <f t="shared" si="74"/>
        <v>17652.8</v>
      </c>
      <c r="I118" s="482">
        <f>E118-G118</f>
        <v>-1696.3400000000001</v>
      </c>
      <c r="J118" s="481">
        <f>F118-H118</f>
        <v>-4403.6999999999989</v>
      </c>
      <c r="K118" s="519"/>
    </row>
    <row r="119" spans="1:12" ht="23.25" customHeight="1" outlineLevel="1" x14ac:dyDescent="0.3">
      <c r="A119" s="443">
        <f t="shared" si="73"/>
        <v>111</v>
      </c>
      <c r="B119" s="428" t="s">
        <v>1525</v>
      </c>
      <c r="C119" s="442" t="s">
        <v>17</v>
      </c>
      <c r="D119" s="529">
        <v>2.64E-2</v>
      </c>
      <c r="E119" s="480">
        <f>ROUND(519.8*8.61,2)</f>
        <v>4475.4799999999996</v>
      </c>
      <c r="F119" s="479">
        <f>ROUND(E119*D119,2)</f>
        <v>118.15</v>
      </c>
      <c r="G119" s="767">
        <v>4000</v>
      </c>
      <c r="H119" s="768">
        <f t="shared" si="74"/>
        <v>105.6</v>
      </c>
      <c r="I119" s="482">
        <f t="shared" ref="I119" si="96">E119-G119</f>
        <v>475.47999999999956</v>
      </c>
      <c r="J119" s="481">
        <f>F119-H119</f>
        <v>12.550000000000011</v>
      </c>
    </row>
    <row r="120" spans="1:12" s="514" customFormat="1" ht="33" customHeight="1" outlineLevel="1" x14ac:dyDescent="0.3">
      <c r="A120" s="443">
        <f t="shared" si="73"/>
        <v>112</v>
      </c>
      <c r="B120" s="507" t="s">
        <v>1550</v>
      </c>
      <c r="C120" s="508" t="s">
        <v>1385</v>
      </c>
      <c r="D120" s="509">
        <v>2</v>
      </c>
      <c r="E120" s="510">
        <f>ROUND(F120/D120,2)</f>
        <v>1232500</v>
      </c>
      <c r="F120" s="511">
        <v>2465000</v>
      </c>
      <c r="G120" s="769">
        <v>1208333.33</v>
      </c>
      <c r="H120" s="768">
        <f t="shared" si="74"/>
        <v>2416666.66</v>
      </c>
      <c r="I120" s="512">
        <f>E120-G120</f>
        <v>24166.669999999925</v>
      </c>
      <c r="J120" s="513">
        <f>F120-H120</f>
        <v>48333.339999999851</v>
      </c>
      <c r="K120" s="521"/>
    </row>
    <row r="121" spans="1:12" s="514" customFormat="1" ht="19.5" customHeight="1" outlineLevel="1" x14ac:dyDescent="0.3">
      <c r="A121" s="443">
        <f t="shared" si="73"/>
        <v>113</v>
      </c>
      <c r="B121" s="507" t="s">
        <v>1891</v>
      </c>
      <c r="C121" s="508" t="s">
        <v>1385</v>
      </c>
      <c r="D121" s="509">
        <v>1</v>
      </c>
      <c r="E121" s="510">
        <f>ROUND(F121/D121,2)</f>
        <v>406.27</v>
      </c>
      <c r="F121" s="511">
        <f>66391.9/2165156015.91*13249299.27</f>
        <v>406.27379539400249</v>
      </c>
      <c r="G121" s="769">
        <v>406.27</v>
      </c>
      <c r="H121" s="768">
        <f t="shared" si="74"/>
        <v>406.27</v>
      </c>
      <c r="I121" s="512">
        <f t="shared" ref="I121" si="97">E121-G121</f>
        <v>0</v>
      </c>
      <c r="J121" s="513">
        <f t="shared" ref="J121" si="98">F121-H121</f>
        <v>3.795394002509056E-3</v>
      </c>
      <c r="K121" s="521"/>
    </row>
    <row r="122" spans="1:12" s="484" customFormat="1" ht="21.75" customHeight="1" x14ac:dyDescent="0.3">
      <c r="A122" s="555"/>
      <c r="B122" s="612" t="s">
        <v>1892</v>
      </c>
      <c r="C122" s="613"/>
      <c r="D122" s="614"/>
      <c r="E122" s="615"/>
      <c r="F122" s="616">
        <f>SUM(F83:F121)</f>
        <v>10548150.839080395</v>
      </c>
      <c r="G122" s="772"/>
      <c r="H122" s="773">
        <f>SUM(H84:H121)</f>
        <v>10855771.517607909</v>
      </c>
      <c r="I122" s="617"/>
      <c r="J122" s="616">
        <f>SUM(J84:J121)</f>
        <v>-307620.67428551498</v>
      </c>
      <c r="K122" s="550"/>
      <c r="L122" s="549"/>
    </row>
    <row r="123" spans="1:12" s="484" customFormat="1" ht="21.75" customHeight="1" x14ac:dyDescent="0.3">
      <c r="A123" s="486"/>
      <c r="B123" s="845" t="s">
        <v>1599</v>
      </c>
      <c r="C123" s="846"/>
      <c r="D123" s="846"/>
      <c r="E123" s="846"/>
      <c r="F123" s="846"/>
      <c r="G123" s="846"/>
      <c r="H123" s="846"/>
      <c r="I123" s="846"/>
      <c r="J123" s="847"/>
      <c r="K123" s="491"/>
    </row>
    <row r="124" spans="1:12" ht="23.25" customHeight="1" outlineLevel="1" x14ac:dyDescent="0.3">
      <c r="A124" s="443">
        <f>A121+1</f>
        <v>114</v>
      </c>
      <c r="B124" s="627" t="s">
        <v>1567</v>
      </c>
      <c r="C124" s="442" t="s">
        <v>17</v>
      </c>
      <c r="D124" s="533">
        <f>1221.998*0.158</f>
        <v>193.075684</v>
      </c>
      <c r="E124" s="628">
        <f t="shared" ref="E124:E149" si="99">ROUND(F124/D124,2)</f>
        <v>1167.52</v>
      </c>
      <c r="F124" s="479">
        <v>225418.95</v>
      </c>
      <c r="G124" s="775">
        <v>2300</v>
      </c>
      <c r="H124" s="768">
        <f>D124*G124</f>
        <v>444074.07319999998</v>
      </c>
      <c r="I124" s="629">
        <f t="shared" ref="I124:I143" si="100">E124-G124</f>
        <v>-1132.48</v>
      </c>
      <c r="J124" s="481">
        <f t="shared" ref="J124:J134" si="101">F124-H124</f>
        <v>-218655.12319999997</v>
      </c>
      <c r="K124" s="519"/>
    </row>
    <row r="125" spans="1:12" ht="23.25" customHeight="1" outlineLevel="1" x14ac:dyDescent="0.3">
      <c r="A125" s="443">
        <f t="shared" si="73"/>
        <v>115</v>
      </c>
      <c r="B125" s="627" t="s">
        <v>1568</v>
      </c>
      <c r="C125" s="442" t="s">
        <v>16</v>
      </c>
      <c r="D125" s="533">
        <f>1221.998*0.027</f>
        <v>32.993946000000001</v>
      </c>
      <c r="E125" s="628">
        <f t="shared" si="99"/>
        <v>1259.21</v>
      </c>
      <c r="F125" s="479">
        <v>41546.39</v>
      </c>
      <c r="G125" s="775">
        <v>700</v>
      </c>
      <c r="H125" s="768">
        <f t="shared" ref="H125:H185" si="102">D125*G125</f>
        <v>23095.762200000001</v>
      </c>
      <c r="I125" s="629">
        <f t="shared" si="100"/>
        <v>559.21</v>
      </c>
      <c r="J125" s="481">
        <f t="shared" si="101"/>
        <v>18450.627799999998</v>
      </c>
      <c r="K125" s="519"/>
    </row>
    <row r="126" spans="1:12" ht="23.25" customHeight="1" outlineLevel="1" x14ac:dyDescent="0.3">
      <c r="A126" s="443">
        <f t="shared" si="73"/>
        <v>116</v>
      </c>
      <c r="B126" s="428" t="s">
        <v>1569</v>
      </c>
      <c r="C126" s="442" t="s">
        <v>17</v>
      </c>
      <c r="D126" s="492">
        <f>731.87*1.2+23.68*1.26</f>
        <v>908.08080000000007</v>
      </c>
      <c r="E126" s="480">
        <f t="shared" si="99"/>
        <v>515.16999999999996</v>
      </c>
      <c r="F126" s="479">
        <f>453623.17+14190.87</f>
        <v>467814.04</v>
      </c>
      <c r="G126" s="767">
        <v>1200</v>
      </c>
      <c r="H126" s="768">
        <f t="shared" si="102"/>
        <v>1089696.9600000002</v>
      </c>
      <c r="I126" s="427">
        <f t="shared" si="100"/>
        <v>-684.83</v>
      </c>
      <c r="J126" s="481">
        <f t="shared" si="101"/>
        <v>-621882.92000000016</v>
      </c>
      <c r="K126" s="519"/>
    </row>
    <row r="127" spans="1:12" s="514" customFormat="1" ht="22.5" customHeight="1" outlineLevel="1" x14ac:dyDescent="0.3">
      <c r="A127" s="443">
        <f t="shared" si="73"/>
        <v>117</v>
      </c>
      <c r="B127" s="507" t="s">
        <v>1607</v>
      </c>
      <c r="C127" s="508" t="s">
        <v>17</v>
      </c>
      <c r="D127" s="531">
        <f>575.84*0.05</f>
        <v>28.792000000000002</v>
      </c>
      <c r="E127" s="510">
        <f t="shared" si="99"/>
        <v>12957.43</v>
      </c>
      <c r="F127" s="511">
        <v>373070.32</v>
      </c>
      <c r="G127" s="769">
        <v>10208.33</v>
      </c>
      <c r="H127" s="768">
        <f t="shared" si="102"/>
        <v>293918.23736000003</v>
      </c>
      <c r="I127" s="512">
        <f t="shared" si="100"/>
        <v>2749.1000000000004</v>
      </c>
      <c r="J127" s="513">
        <f t="shared" si="101"/>
        <v>79152.082639999979</v>
      </c>
      <c r="K127" s="521"/>
    </row>
    <row r="128" spans="1:12" ht="23.25" customHeight="1" outlineLevel="1" x14ac:dyDescent="0.3">
      <c r="A128" s="443">
        <f t="shared" si="73"/>
        <v>118</v>
      </c>
      <c r="B128" s="428" t="s">
        <v>1526</v>
      </c>
      <c r="C128" s="442" t="s">
        <v>17</v>
      </c>
      <c r="D128" s="529">
        <f>908.26*1.17</f>
        <v>1062.6641999999999</v>
      </c>
      <c r="E128" s="480">
        <f t="shared" si="99"/>
        <v>1063.42</v>
      </c>
      <c r="F128" s="479">
        <v>1130059.53</v>
      </c>
      <c r="G128" s="767">
        <v>5000</v>
      </c>
      <c r="H128" s="768">
        <f t="shared" si="102"/>
        <v>5313321</v>
      </c>
      <c r="I128" s="427">
        <f t="shared" si="100"/>
        <v>-3936.58</v>
      </c>
      <c r="J128" s="481">
        <f t="shared" si="101"/>
        <v>-4183261.4699999997</v>
      </c>
      <c r="K128" s="519"/>
    </row>
    <row r="129" spans="1:11" ht="49.5" customHeight="1" outlineLevel="1" x14ac:dyDescent="0.3">
      <c r="A129" s="443">
        <f t="shared" si="73"/>
        <v>119</v>
      </c>
      <c r="B129" s="428" t="s">
        <v>1763</v>
      </c>
      <c r="C129" s="443" t="s">
        <v>1385</v>
      </c>
      <c r="D129" s="500">
        <v>1</v>
      </c>
      <c r="E129" s="480">
        <f t="shared" si="99"/>
        <v>13738.27</v>
      </c>
      <c r="F129" s="479">
        <f>457283.97-443545.7</f>
        <v>13738.26999999996</v>
      </c>
      <c r="G129" s="767">
        <v>13738.27</v>
      </c>
      <c r="H129" s="768">
        <f t="shared" si="102"/>
        <v>13738.27</v>
      </c>
      <c r="I129" s="482">
        <f t="shared" si="100"/>
        <v>0</v>
      </c>
      <c r="J129" s="481">
        <f t="shared" si="101"/>
        <v>-4.0017766878008842E-11</v>
      </c>
      <c r="K129" s="522" t="s">
        <v>1448</v>
      </c>
    </row>
    <row r="130" spans="1:11" s="514" customFormat="1" ht="22.5" customHeight="1" outlineLevel="1" x14ac:dyDescent="0.3">
      <c r="A130" s="443">
        <f t="shared" si="73"/>
        <v>120</v>
      </c>
      <c r="B130" s="507" t="s">
        <v>1582</v>
      </c>
      <c r="C130" s="508" t="s">
        <v>1385</v>
      </c>
      <c r="D130" s="509">
        <v>10</v>
      </c>
      <c r="E130" s="510">
        <f t="shared" si="99"/>
        <v>2142</v>
      </c>
      <c r="F130" s="511">
        <v>21420</v>
      </c>
      <c r="G130" s="769">
        <v>2142</v>
      </c>
      <c r="H130" s="768">
        <f t="shared" si="102"/>
        <v>21420</v>
      </c>
      <c r="I130" s="512">
        <f t="shared" si="100"/>
        <v>0</v>
      </c>
      <c r="J130" s="513">
        <f t="shared" si="101"/>
        <v>0</v>
      </c>
      <c r="K130" s="521"/>
    </row>
    <row r="131" spans="1:11" s="514" customFormat="1" ht="22.5" customHeight="1" outlineLevel="1" x14ac:dyDescent="0.3">
      <c r="A131" s="443">
        <f t="shared" si="73"/>
        <v>121</v>
      </c>
      <c r="B131" s="507" t="s">
        <v>1583</v>
      </c>
      <c r="C131" s="508" t="s">
        <v>40</v>
      </c>
      <c r="D131" s="509">
        <v>206</v>
      </c>
      <c r="E131" s="510">
        <f t="shared" si="99"/>
        <v>11220</v>
      </c>
      <c r="F131" s="511">
        <v>2311320</v>
      </c>
      <c r="G131" s="769">
        <v>6583.33</v>
      </c>
      <c r="H131" s="768">
        <f t="shared" si="102"/>
        <v>1356165.98</v>
      </c>
      <c r="I131" s="512">
        <f t="shared" si="100"/>
        <v>4636.67</v>
      </c>
      <c r="J131" s="513">
        <f t="shared" si="101"/>
        <v>955154.02</v>
      </c>
      <c r="K131" s="521"/>
    </row>
    <row r="132" spans="1:11" s="514" customFormat="1" ht="22.5" customHeight="1" outlineLevel="1" x14ac:dyDescent="0.3">
      <c r="A132" s="443">
        <f t="shared" si="73"/>
        <v>122</v>
      </c>
      <c r="B132" s="507" t="s">
        <v>1584</v>
      </c>
      <c r="C132" s="508" t="s">
        <v>5</v>
      </c>
      <c r="D132" s="516">
        <v>245.14</v>
      </c>
      <c r="E132" s="510">
        <f t="shared" si="99"/>
        <v>9294.7099999999991</v>
      </c>
      <c r="F132" s="511">
        <v>2278505.21</v>
      </c>
      <c r="G132" s="769">
        <v>9083.33</v>
      </c>
      <c r="H132" s="768">
        <f t="shared" si="102"/>
        <v>2226687.5162</v>
      </c>
      <c r="I132" s="512">
        <f t="shared" si="100"/>
        <v>211.3799999999992</v>
      </c>
      <c r="J132" s="513">
        <f t="shared" si="101"/>
        <v>51817.693800000008</v>
      </c>
      <c r="K132" s="521"/>
    </row>
    <row r="133" spans="1:11" ht="49.5" customHeight="1" outlineLevel="1" x14ac:dyDescent="0.3">
      <c r="A133" s="443">
        <f t="shared" si="73"/>
        <v>123</v>
      </c>
      <c r="B133" s="428" t="s">
        <v>1764</v>
      </c>
      <c r="C133" s="443" t="s">
        <v>1385</v>
      </c>
      <c r="D133" s="500">
        <v>1</v>
      </c>
      <c r="E133" s="480">
        <f t="shared" si="99"/>
        <v>3974.54</v>
      </c>
      <c r="F133" s="479">
        <f>132294.13-128319.59</f>
        <v>3974.5400000000081</v>
      </c>
      <c r="G133" s="767">
        <v>3974.54</v>
      </c>
      <c r="H133" s="768">
        <f t="shared" si="102"/>
        <v>3974.54</v>
      </c>
      <c r="I133" s="482">
        <f t="shared" si="100"/>
        <v>0</v>
      </c>
      <c r="J133" s="481">
        <f t="shared" si="101"/>
        <v>8.1854523159563541E-12</v>
      </c>
      <c r="K133" s="522" t="s">
        <v>1448</v>
      </c>
    </row>
    <row r="134" spans="1:11" s="514" customFormat="1" ht="22.5" customHeight="1" outlineLevel="1" x14ac:dyDescent="0.3">
      <c r="A134" s="443">
        <f t="shared" si="73"/>
        <v>124</v>
      </c>
      <c r="B134" s="507" t="s">
        <v>1586</v>
      </c>
      <c r="C134" s="508" t="s">
        <v>1385</v>
      </c>
      <c r="D134" s="509">
        <v>22</v>
      </c>
      <c r="E134" s="510">
        <f t="shared" si="99"/>
        <v>1652.4</v>
      </c>
      <c r="F134" s="511">
        <v>36352.800000000003</v>
      </c>
      <c r="G134" s="769">
        <v>16666.669999999998</v>
      </c>
      <c r="H134" s="768">
        <f t="shared" si="102"/>
        <v>366666.74</v>
      </c>
      <c r="I134" s="512">
        <f t="shared" si="100"/>
        <v>-15014.269999999999</v>
      </c>
      <c r="J134" s="513">
        <f t="shared" si="101"/>
        <v>-330313.94</v>
      </c>
      <c r="K134" s="521"/>
    </row>
    <row r="135" spans="1:11" s="514" customFormat="1" ht="33.75" customHeight="1" outlineLevel="1" x14ac:dyDescent="0.3">
      <c r="A135" s="443">
        <f t="shared" si="73"/>
        <v>125</v>
      </c>
      <c r="B135" s="507" t="s">
        <v>1587</v>
      </c>
      <c r="C135" s="508" t="s">
        <v>40</v>
      </c>
      <c r="D135" s="509">
        <v>60</v>
      </c>
      <c r="E135" s="510">
        <f t="shared" si="99"/>
        <v>9718.0499999999993</v>
      </c>
      <c r="F135" s="511">
        <v>583083</v>
      </c>
      <c r="G135" s="769">
        <v>6833.33</v>
      </c>
      <c r="H135" s="768">
        <f t="shared" si="102"/>
        <v>409999.8</v>
      </c>
      <c r="I135" s="512">
        <f t="shared" si="100"/>
        <v>2884.7199999999993</v>
      </c>
      <c r="J135" s="513">
        <f>F135-H135</f>
        <v>173083.2</v>
      </c>
      <c r="K135" s="521"/>
    </row>
    <row r="136" spans="1:11" s="514" customFormat="1" ht="22.5" customHeight="1" outlineLevel="1" x14ac:dyDescent="0.3">
      <c r="A136" s="443">
        <f t="shared" si="73"/>
        <v>126</v>
      </c>
      <c r="B136" s="507" t="s">
        <v>1588</v>
      </c>
      <c r="C136" s="508" t="s">
        <v>5</v>
      </c>
      <c r="D136" s="516">
        <v>70.92</v>
      </c>
      <c r="E136" s="510">
        <f t="shared" si="99"/>
        <v>9226.7199999999993</v>
      </c>
      <c r="F136" s="511">
        <v>654358.98</v>
      </c>
      <c r="G136" s="769">
        <v>9041.67</v>
      </c>
      <c r="H136" s="768">
        <f t="shared" si="102"/>
        <v>641235.23640000005</v>
      </c>
      <c r="I136" s="512">
        <f t="shared" si="100"/>
        <v>185.04999999999927</v>
      </c>
      <c r="J136" s="513">
        <f t="shared" ref="J136:J138" si="103">F136-H136</f>
        <v>13123.743599999929</v>
      </c>
      <c r="K136" s="521"/>
    </row>
    <row r="137" spans="1:11" ht="49.5" customHeight="1" outlineLevel="1" x14ac:dyDescent="0.3">
      <c r="A137" s="443">
        <f t="shared" si="73"/>
        <v>127</v>
      </c>
      <c r="B137" s="428" t="s">
        <v>1765</v>
      </c>
      <c r="C137" s="443" t="s">
        <v>1385</v>
      </c>
      <c r="D137" s="500">
        <v>1</v>
      </c>
      <c r="E137" s="480">
        <f t="shared" si="99"/>
        <v>27835.22</v>
      </c>
      <c r="F137" s="479">
        <f>926506.53-898671.31</f>
        <v>27835.219999999972</v>
      </c>
      <c r="G137" s="767">
        <v>27835.22</v>
      </c>
      <c r="H137" s="768">
        <f t="shared" si="102"/>
        <v>27835.22</v>
      </c>
      <c r="I137" s="482">
        <f t="shared" si="100"/>
        <v>0</v>
      </c>
      <c r="J137" s="481">
        <f t="shared" si="103"/>
        <v>-2.9103830456733704E-11</v>
      </c>
      <c r="K137" s="522" t="s">
        <v>1448</v>
      </c>
    </row>
    <row r="138" spans="1:11" s="514" customFormat="1" ht="22.5" customHeight="1" outlineLevel="1" x14ac:dyDescent="0.3">
      <c r="A138" s="443">
        <f t="shared" si="73"/>
        <v>128</v>
      </c>
      <c r="B138" s="507" t="s">
        <v>1589</v>
      </c>
      <c r="C138" s="508" t="s">
        <v>1385</v>
      </c>
      <c r="D138" s="509">
        <v>6</v>
      </c>
      <c r="E138" s="510">
        <f t="shared" si="99"/>
        <v>4143.75</v>
      </c>
      <c r="F138" s="511">
        <v>24862.5</v>
      </c>
      <c r="G138" s="769">
        <v>73333.33</v>
      </c>
      <c r="H138" s="768">
        <f t="shared" si="102"/>
        <v>439999.98</v>
      </c>
      <c r="I138" s="512">
        <f t="shared" si="100"/>
        <v>-69189.58</v>
      </c>
      <c r="J138" s="513">
        <f t="shared" si="103"/>
        <v>-415137.48</v>
      </c>
      <c r="K138" s="521"/>
    </row>
    <row r="139" spans="1:11" s="514" customFormat="1" ht="33.75" customHeight="1" outlineLevel="1" x14ac:dyDescent="0.3">
      <c r="A139" s="443">
        <f t="shared" si="73"/>
        <v>129</v>
      </c>
      <c r="B139" s="507" t="s">
        <v>1587</v>
      </c>
      <c r="C139" s="508" t="s">
        <v>40</v>
      </c>
      <c r="D139" s="509">
        <v>417</v>
      </c>
      <c r="E139" s="510">
        <f t="shared" si="99"/>
        <v>9718.0499999999993</v>
      </c>
      <c r="F139" s="511">
        <v>4052426.85</v>
      </c>
      <c r="G139" s="769">
        <v>6833.33</v>
      </c>
      <c r="H139" s="768">
        <f t="shared" si="102"/>
        <v>2849498.61</v>
      </c>
      <c r="I139" s="512">
        <f t="shared" si="100"/>
        <v>2884.7199999999993</v>
      </c>
      <c r="J139" s="513">
        <f>F139-H139</f>
        <v>1202928.2400000002</v>
      </c>
      <c r="K139" s="521"/>
    </row>
    <row r="140" spans="1:11" s="514" customFormat="1" ht="22.5" customHeight="1" outlineLevel="1" x14ac:dyDescent="0.3">
      <c r="A140" s="443">
        <f t="shared" si="73"/>
        <v>130</v>
      </c>
      <c r="B140" s="507" t="s">
        <v>1588</v>
      </c>
      <c r="C140" s="508" t="s">
        <v>5</v>
      </c>
      <c r="D140" s="516">
        <v>496.68</v>
      </c>
      <c r="E140" s="510">
        <f t="shared" si="99"/>
        <v>9226.7199999999993</v>
      </c>
      <c r="F140" s="511">
        <v>4582727.29</v>
      </c>
      <c r="G140" s="769">
        <v>9041.67</v>
      </c>
      <c r="H140" s="768">
        <f t="shared" si="102"/>
        <v>4490816.6556000002</v>
      </c>
      <c r="I140" s="512">
        <f t="shared" si="100"/>
        <v>185.04999999999927</v>
      </c>
      <c r="J140" s="513">
        <f t="shared" ref="J140:J143" si="104">F140-H140</f>
        <v>91910.634399999864</v>
      </c>
      <c r="K140" s="521"/>
    </row>
    <row r="141" spans="1:11" s="517" customFormat="1" ht="34.5" customHeight="1" outlineLevel="1" x14ac:dyDescent="0.3">
      <c r="A141" s="443">
        <f t="shared" si="73"/>
        <v>131</v>
      </c>
      <c r="B141" s="428" t="s">
        <v>1579</v>
      </c>
      <c r="C141" s="443" t="s">
        <v>1385</v>
      </c>
      <c r="D141" s="500">
        <v>1</v>
      </c>
      <c r="E141" s="480">
        <f>ROUND(F141/D141,2)</f>
        <v>9220.27</v>
      </c>
      <c r="F141" s="479">
        <f>(216153.8-206933.53)</f>
        <v>9220.2699999999895</v>
      </c>
      <c r="G141" s="767">
        <v>9220.27</v>
      </c>
      <c r="H141" s="768">
        <f t="shared" si="102"/>
        <v>9220.27</v>
      </c>
      <c r="I141" s="482">
        <f>E141-G141</f>
        <v>0</v>
      </c>
      <c r="J141" s="481">
        <f>F141-H141</f>
        <v>0</v>
      </c>
      <c r="K141" s="522" t="s">
        <v>1467</v>
      </c>
    </row>
    <row r="142" spans="1:11" s="514" customFormat="1" ht="33.75" customHeight="1" outlineLevel="1" x14ac:dyDescent="0.3">
      <c r="A142" s="443">
        <f t="shared" si="73"/>
        <v>132</v>
      </c>
      <c r="B142" s="507" t="s">
        <v>1434</v>
      </c>
      <c r="C142" s="508" t="s">
        <v>1391</v>
      </c>
      <c r="D142" s="509">
        <v>1</v>
      </c>
      <c r="E142" s="510">
        <f t="shared" si="99"/>
        <v>6282350</v>
      </c>
      <c r="F142" s="511">
        <f>6282350</f>
        <v>6282350</v>
      </c>
      <c r="G142" s="769">
        <v>4208333.33</v>
      </c>
      <c r="H142" s="768">
        <f t="shared" si="102"/>
        <v>4208333.33</v>
      </c>
      <c r="I142" s="512">
        <f t="shared" si="100"/>
        <v>2074016.67</v>
      </c>
      <c r="J142" s="513">
        <f t="shared" si="104"/>
        <v>2074016.67</v>
      </c>
      <c r="K142" s="521"/>
    </row>
    <row r="143" spans="1:11" s="514" customFormat="1" ht="26.25" customHeight="1" outlineLevel="1" x14ac:dyDescent="0.3">
      <c r="A143" s="443">
        <f t="shared" si="73"/>
        <v>133</v>
      </c>
      <c r="B143" s="507" t="s">
        <v>1435</v>
      </c>
      <c r="C143" s="508" t="s">
        <v>1385</v>
      </c>
      <c r="D143" s="509">
        <v>1</v>
      </c>
      <c r="E143" s="510">
        <f t="shared" si="99"/>
        <v>420489.9</v>
      </c>
      <c r="F143" s="511">
        <f>420489.9</f>
        <v>420489.9</v>
      </c>
      <c r="G143" s="769">
        <v>420489.9</v>
      </c>
      <c r="H143" s="768">
        <f t="shared" si="102"/>
        <v>420489.9</v>
      </c>
      <c r="I143" s="512">
        <f t="shared" si="100"/>
        <v>0</v>
      </c>
      <c r="J143" s="513">
        <f t="shared" si="104"/>
        <v>0</v>
      </c>
      <c r="K143" s="521"/>
    </row>
    <row r="144" spans="1:11" s="517" customFormat="1" ht="33" customHeight="1" outlineLevel="1" x14ac:dyDescent="0.3">
      <c r="A144" s="443">
        <f t="shared" si="73"/>
        <v>134</v>
      </c>
      <c r="B144" s="428" t="s">
        <v>1617</v>
      </c>
      <c r="C144" s="443" t="s">
        <v>1385</v>
      </c>
      <c r="D144" s="500">
        <v>1</v>
      </c>
      <c r="E144" s="480">
        <f>ROUND(F144/D144,2)</f>
        <v>12282.68</v>
      </c>
      <c r="F144" s="479">
        <f>(251096.37-238813.69)</f>
        <v>12282.679999999993</v>
      </c>
      <c r="G144" s="767">
        <v>12282.68</v>
      </c>
      <c r="H144" s="768">
        <f t="shared" si="102"/>
        <v>12282.68</v>
      </c>
      <c r="I144" s="482">
        <f>E144-G144</f>
        <v>0</v>
      </c>
      <c r="J144" s="481">
        <f>F144-H144</f>
        <v>0</v>
      </c>
      <c r="K144" s="522" t="s">
        <v>1467</v>
      </c>
    </row>
    <row r="145" spans="1:11" s="514" customFormat="1" ht="33.75" customHeight="1" outlineLevel="1" x14ac:dyDescent="0.3">
      <c r="A145" s="443">
        <f t="shared" si="73"/>
        <v>135</v>
      </c>
      <c r="B145" s="507" t="s">
        <v>1618</v>
      </c>
      <c r="C145" s="508" t="s">
        <v>1391</v>
      </c>
      <c r="D145" s="509">
        <v>1</v>
      </c>
      <c r="E145" s="510">
        <f t="shared" si="99"/>
        <v>6359275</v>
      </c>
      <c r="F145" s="511">
        <f>6359275</f>
        <v>6359275</v>
      </c>
      <c r="G145" s="769">
        <v>4416666.67</v>
      </c>
      <c r="H145" s="768">
        <f t="shared" si="102"/>
        <v>4416666.67</v>
      </c>
      <c r="I145" s="512">
        <f t="shared" ref="I145:I146" si="105">E145-G145</f>
        <v>1942608.33</v>
      </c>
      <c r="J145" s="513">
        <f t="shared" ref="J145:J146" si="106">F145-H145</f>
        <v>1942608.33</v>
      </c>
      <c r="K145" s="521"/>
    </row>
    <row r="146" spans="1:11" s="514" customFormat="1" ht="32.25" customHeight="1" outlineLevel="1" x14ac:dyDescent="0.3">
      <c r="A146" s="443">
        <f t="shared" si="73"/>
        <v>136</v>
      </c>
      <c r="B146" s="507" t="s">
        <v>1619</v>
      </c>
      <c r="C146" s="508" t="s">
        <v>1385</v>
      </c>
      <c r="D146" s="509">
        <v>1</v>
      </c>
      <c r="E146" s="510">
        <f t="shared" si="99"/>
        <v>103998.47</v>
      </c>
      <c r="F146" s="511">
        <f>103998.47</f>
        <v>103998.47</v>
      </c>
      <c r="G146" s="769">
        <v>103998.47</v>
      </c>
      <c r="H146" s="768">
        <f t="shared" si="102"/>
        <v>103998.47</v>
      </c>
      <c r="I146" s="512">
        <f t="shared" si="105"/>
        <v>0</v>
      </c>
      <c r="J146" s="513">
        <f t="shared" si="106"/>
        <v>0</v>
      </c>
      <c r="K146" s="521"/>
    </row>
    <row r="147" spans="1:11" s="514" customFormat="1" ht="21" customHeight="1" outlineLevel="1" x14ac:dyDescent="0.3">
      <c r="A147" s="443">
        <f t="shared" si="73"/>
        <v>137</v>
      </c>
      <c r="B147" s="507" t="s">
        <v>1442</v>
      </c>
      <c r="C147" s="508" t="s">
        <v>1385</v>
      </c>
      <c r="D147" s="509">
        <v>54</v>
      </c>
      <c r="E147" s="510">
        <f t="shared" ref="E147" si="107">ROUND(F147/D147,2)</f>
        <v>6732</v>
      </c>
      <c r="F147" s="511">
        <f>363528</f>
        <v>363528</v>
      </c>
      <c r="G147" s="769">
        <v>4291.67</v>
      </c>
      <c r="H147" s="768">
        <f t="shared" si="102"/>
        <v>231750.18</v>
      </c>
      <c r="I147" s="512">
        <f t="shared" ref="I147" si="108">E147-G147</f>
        <v>2440.33</v>
      </c>
      <c r="J147" s="513">
        <f t="shared" ref="J147" si="109">F147-H147</f>
        <v>131777.82</v>
      </c>
      <c r="K147" s="521"/>
    </row>
    <row r="148" spans="1:11" s="517" customFormat="1" ht="36" customHeight="1" outlineLevel="1" x14ac:dyDescent="0.3">
      <c r="A148" s="443">
        <f t="shared" si="73"/>
        <v>138</v>
      </c>
      <c r="B148" s="428" t="s">
        <v>1620</v>
      </c>
      <c r="C148" s="443" t="s">
        <v>1385</v>
      </c>
      <c r="D148" s="500">
        <v>1</v>
      </c>
      <c r="E148" s="480">
        <f>ROUND(F148/D148,2)</f>
        <v>12517.48</v>
      </c>
      <c r="F148" s="479">
        <f>61605.76-49088.28</f>
        <v>12517.480000000003</v>
      </c>
      <c r="G148" s="767">
        <v>12517.48</v>
      </c>
      <c r="H148" s="768">
        <f t="shared" si="102"/>
        <v>12517.48</v>
      </c>
      <c r="I148" s="482">
        <f>E148-G148</f>
        <v>0</v>
      </c>
      <c r="J148" s="481">
        <f>F148-H148</f>
        <v>0</v>
      </c>
      <c r="K148" s="522" t="s">
        <v>1466</v>
      </c>
    </row>
    <row r="149" spans="1:11" s="514" customFormat="1" ht="30" customHeight="1" outlineLevel="1" x14ac:dyDescent="0.3">
      <c r="A149" s="443">
        <f t="shared" ref="A149:A212" si="110">A148+1</f>
        <v>139</v>
      </c>
      <c r="B149" s="507" t="s">
        <v>1394</v>
      </c>
      <c r="C149" s="508" t="s">
        <v>1391</v>
      </c>
      <c r="D149" s="509">
        <v>28</v>
      </c>
      <c r="E149" s="510">
        <f t="shared" si="99"/>
        <v>1652.4</v>
      </c>
      <c r="F149" s="511">
        <v>46267.199999999997</v>
      </c>
      <c r="G149" s="769">
        <v>16666.669999999998</v>
      </c>
      <c r="H149" s="768">
        <f t="shared" si="102"/>
        <v>466666.75999999995</v>
      </c>
      <c r="I149" s="512">
        <f t="shared" ref="I149" si="111">E149-G149</f>
        <v>-15014.269999999999</v>
      </c>
      <c r="J149" s="513">
        <f t="shared" ref="J149" si="112">F149-H149</f>
        <v>-420399.55999999994</v>
      </c>
      <c r="K149" s="521"/>
    </row>
    <row r="150" spans="1:11" ht="46.5" customHeight="1" outlineLevel="1" x14ac:dyDescent="0.3">
      <c r="A150" s="443">
        <f t="shared" si="110"/>
        <v>140</v>
      </c>
      <c r="B150" s="428" t="s">
        <v>1592</v>
      </c>
      <c r="C150" s="443" t="s">
        <v>28</v>
      </c>
      <c r="D150" s="536">
        <f>(6*10.2+22*12+6*12.5+40.8)/1000</f>
        <v>0.441</v>
      </c>
      <c r="E150" s="480">
        <f t="shared" ref="E150" si="113">F150/11</f>
        <v>49698.951818181828</v>
      </c>
      <c r="F150" s="479">
        <f>75832.58+327120.94+92932.08+50802.87</f>
        <v>546688.47000000009</v>
      </c>
      <c r="G150" s="767">
        <v>49698.951818181828</v>
      </c>
      <c r="H150" s="768">
        <f t="shared" si="102"/>
        <v>21917.237751818186</v>
      </c>
      <c r="I150" s="482">
        <f t="shared" ref="I150" si="114">E150-G150</f>
        <v>0</v>
      </c>
      <c r="J150" s="481">
        <f t="shared" ref="J150" si="115">F150-H150</f>
        <v>524771.23224818194</v>
      </c>
      <c r="K150" s="519" t="s">
        <v>1401</v>
      </c>
    </row>
    <row r="151" spans="1:11" s="525" customFormat="1" ht="23.25" customHeight="1" outlineLevel="1" x14ac:dyDescent="0.3">
      <c r="A151" s="443">
        <f t="shared" si="110"/>
        <v>141</v>
      </c>
      <c r="B151" s="428" t="s">
        <v>1473</v>
      </c>
      <c r="C151" s="443" t="s">
        <v>16</v>
      </c>
      <c r="D151" s="580">
        <f>0.18+0.66+0.18+0.12</f>
        <v>1.1400000000000001</v>
      </c>
      <c r="E151" s="480">
        <f>76.87*8.61</f>
        <v>661.85069999999996</v>
      </c>
      <c r="F151" s="892">
        <f>(33275.47-21371.28)+(122010.03-78361.35)+(33275.47-21371.28)+(22183.65-14247.53)-0.01</f>
        <v>75393.17</v>
      </c>
      <c r="G151" s="770">
        <f>76.87*8.61</f>
        <v>661.85069999999996</v>
      </c>
      <c r="H151" s="768">
        <f t="shared" si="102"/>
        <v>754.50979800000005</v>
      </c>
      <c r="I151" s="848">
        <f>(E151+E152+E153+E154+E155+E156+E157)-(G151+G152+G153+G154+G155+G156+G157)</f>
        <v>0</v>
      </c>
      <c r="J151" s="850">
        <v>0</v>
      </c>
      <c r="K151" s="522" t="s">
        <v>1476</v>
      </c>
    </row>
    <row r="152" spans="1:11" s="525" customFormat="1" ht="23.25" customHeight="1" outlineLevel="1" x14ac:dyDescent="0.3">
      <c r="A152" s="443">
        <f t="shared" si="110"/>
        <v>142</v>
      </c>
      <c r="B152" s="428" t="s">
        <v>1474</v>
      </c>
      <c r="C152" s="443" t="s">
        <v>364</v>
      </c>
      <c r="D152" s="526">
        <f>6+22+6+4</f>
        <v>38</v>
      </c>
      <c r="E152" s="480">
        <f>44.84*8.61</f>
        <v>386.07240000000002</v>
      </c>
      <c r="F152" s="893"/>
      <c r="G152" s="770">
        <f>44.84*8.61</f>
        <v>386.07240000000002</v>
      </c>
      <c r="H152" s="768">
        <f t="shared" si="102"/>
        <v>14670.751200000001</v>
      </c>
      <c r="I152" s="895"/>
      <c r="J152" s="891"/>
      <c r="K152" s="522" t="s">
        <v>1476</v>
      </c>
    </row>
    <row r="153" spans="1:11" s="525" customFormat="1" ht="23.25" customHeight="1" outlineLevel="1" x14ac:dyDescent="0.3">
      <c r="A153" s="443">
        <f t="shared" si="110"/>
        <v>143</v>
      </c>
      <c r="B153" s="428" t="s">
        <v>1399</v>
      </c>
      <c r="C153" s="443" t="s">
        <v>364</v>
      </c>
      <c r="D153" s="526">
        <f>6+22+6+4</f>
        <v>38</v>
      </c>
      <c r="E153" s="480">
        <f>11.9*8.61</f>
        <v>102.459</v>
      </c>
      <c r="F153" s="893"/>
      <c r="G153" s="770">
        <f>11.9*8.61</f>
        <v>102.459</v>
      </c>
      <c r="H153" s="768">
        <f t="shared" si="102"/>
        <v>3893.442</v>
      </c>
      <c r="I153" s="895"/>
      <c r="J153" s="891"/>
      <c r="K153" s="522" t="s">
        <v>1476</v>
      </c>
    </row>
    <row r="154" spans="1:11" s="525" customFormat="1" ht="23.25" customHeight="1" outlineLevel="1" x14ac:dyDescent="0.3">
      <c r="A154" s="443">
        <f t="shared" si="110"/>
        <v>144</v>
      </c>
      <c r="B154" s="428" t="s">
        <v>1397</v>
      </c>
      <c r="C154" s="443" t="s">
        <v>16</v>
      </c>
      <c r="D154" s="526">
        <f>18+66+18+12</f>
        <v>114</v>
      </c>
      <c r="E154" s="480">
        <f>4.8*8.61</f>
        <v>41.327999999999996</v>
      </c>
      <c r="F154" s="893"/>
      <c r="G154" s="770">
        <f>4.8*8.61</f>
        <v>41.327999999999996</v>
      </c>
      <c r="H154" s="768">
        <f t="shared" si="102"/>
        <v>4711.3919999999998</v>
      </c>
      <c r="I154" s="895"/>
      <c r="J154" s="891"/>
      <c r="K154" s="522" t="s">
        <v>1476</v>
      </c>
    </row>
    <row r="155" spans="1:11" s="525" customFormat="1" ht="23.25" customHeight="1" outlineLevel="1" x14ac:dyDescent="0.3">
      <c r="A155" s="443">
        <f t="shared" si="110"/>
        <v>145</v>
      </c>
      <c r="B155" s="428" t="s">
        <v>1396</v>
      </c>
      <c r="C155" s="443" t="s">
        <v>364</v>
      </c>
      <c r="D155" s="580">
        <f>0.06+0.22+0.06+0.04</f>
        <v>0.38</v>
      </c>
      <c r="E155" s="480">
        <f>1482*8.61</f>
        <v>12760.019999999999</v>
      </c>
      <c r="F155" s="893"/>
      <c r="G155" s="770">
        <f>1482*8.61</f>
        <v>12760.019999999999</v>
      </c>
      <c r="H155" s="768">
        <f t="shared" si="102"/>
        <v>4848.8075999999992</v>
      </c>
      <c r="I155" s="895"/>
      <c r="J155" s="891"/>
      <c r="K155" s="522" t="s">
        <v>1476</v>
      </c>
    </row>
    <row r="156" spans="1:11" s="525" customFormat="1" ht="23.25" customHeight="1" outlineLevel="1" x14ac:dyDescent="0.3">
      <c r="A156" s="443">
        <f t="shared" si="110"/>
        <v>146</v>
      </c>
      <c r="B156" s="428" t="s">
        <v>1475</v>
      </c>
      <c r="C156" s="443" t="s">
        <v>364</v>
      </c>
      <c r="D156" s="580">
        <f>0.24+0.88+0.24+0.16</f>
        <v>1.52</v>
      </c>
      <c r="E156" s="480">
        <f>529.18*8.61</f>
        <v>4556.2397999999994</v>
      </c>
      <c r="F156" s="893"/>
      <c r="G156" s="770">
        <f>529.18*8.61</f>
        <v>4556.2397999999994</v>
      </c>
      <c r="H156" s="768">
        <f t="shared" si="102"/>
        <v>6925.4844959999991</v>
      </c>
      <c r="I156" s="895"/>
      <c r="J156" s="891"/>
      <c r="K156" s="522" t="s">
        <v>1476</v>
      </c>
    </row>
    <row r="157" spans="1:11" s="525" customFormat="1" ht="31.5" customHeight="1" outlineLevel="1" x14ac:dyDescent="0.3">
      <c r="A157" s="443">
        <f t="shared" si="110"/>
        <v>147</v>
      </c>
      <c r="B157" s="428" t="s">
        <v>1400</v>
      </c>
      <c r="C157" s="443" t="s">
        <v>1398</v>
      </c>
      <c r="D157" s="526">
        <f>6+22+6+4</f>
        <v>38</v>
      </c>
      <c r="E157" s="480">
        <f>121*8.61</f>
        <v>1041.81</v>
      </c>
      <c r="F157" s="894"/>
      <c r="G157" s="770">
        <f>121*8.61</f>
        <v>1041.81</v>
      </c>
      <c r="H157" s="768">
        <f t="shared" si="102"/>
        <v>39588.78</v>
      </c>
      <c r="I157" s="849"/>
      <c r="J157" s="851"/>
      <c r="K157" s="522" t="s">
        <v>1476</v>
      </c>
    </row>
    <row r="158" spans="1:11" s="514" customFormat="1" ht="30" customHeight="1" outlineLevel="1" x14ac:dyDescent="0.3">
      <c r="A158" s="443">
        <f t="shared" si="110"/>
        <v>148</v>
      </c>
      <c r="B158" s="618" t="s">
        <v>1624</v>
      </c>
      <c r="C158" s="508" t="s">
        <v>1391</v>
      </c>
      <c r="D158" s="509">
        <v>1</v>
      </c>
      <c r="E158" s="510">
        <f t="shared" ref="E158:E159" si="116">ROUND(F158/D158,2)</f>
        <v>1293275</v>
      </c>
      <c r="F158" s="511">
        <v>1293275</v>
      </c>
      <c r="G158" s="771">
        <v>1293275</v>
      </c>
      <c r="H158" s="768">
        <f t="shared" si="102"/>
        <v>1293275</v>
      </c>
      <c r="I158" s="512">
        <f t="shared" ref="I158:I180" si="117">E158-G158</f>
        <v>0</v>
      </c>
      <c r="J158" s="513">
        <f t="shared" ref="J158:J180" si="118">F158-H158</f>
        <v>0</v>
      </c>
      <c r="K158" s="523" t="s">
        <v>1440</v>
      </c>
    </row>
    <row r="159" spans="1:11" s="514" customFormat="1" ht="24" customHeight="1" outlineLevel="1" x14ac:dyDescent="0.3">
      <c r="A159" s="443">
        <f t="shared" si="110"/>
        <v>149</v>
      </c>
      <c r="B159" s="507" t="s">
        <v>1483</v>
      </c>
      <c r="C159" s="508" t="s">
        <v>40</v>
      </c>
      <c r="D159" s="509">
        <v>7</v>
      </c>
      <c r="E159" s="510">
        <f t="shared" si="116"/>
        <v>20564.900000000001</v>
      </c>
      <c r="F159" s="511">
        <v>143954.29999999999</v>
      </c>
      <c r="G159" s="771">
        <v>21833.33</v>
      </c>
      <c r="H159" s="768">
        <f t="shared" si="102"/>
        <v>152833.31</v>
      </c>
      <c r="I159" s="512">
        <f t="shared" si="117"/>
        <v>-1268.4300000000003</v>
      </c>
      <c r="J159" s="513">
        <f t="shared" si="118"/>
        <v>-8879.0100000000093</v>
      </c>
      <c r="K159" s="523"/>
    </row>
    <row r="160" spans="1:11" s="525" customFormat="1" ht="21.75" customHeight="1" outlineLevel="1" x14ac:dyDescent="0.3">
      <c r="A160" s="443">
        <f t="shared" si="110"/>
        <v>150</v>
      </c>
      <c r="B160" s="428" t="s">
        <v>1487</v>
      </c>
      <c r="C160" s="443" t="s">
        <v>28</v>
      </c>
      <c r="D160" s="500">
        <f>0.01</f>
        <v>0.01</v>
      </c>
      <c r="E160" s="480">
        <f>9249.85*8.61</f>
        <v>79641.208499999993</v>
      </c>
      <c r="F160" s="479">
        <f>D160*E160</f>
        <v>796.41208499999993</v>
      </c>
      <c r="G160" s="770">
        <f>9249.85*8.61</f>
        <v>79641.208499999993</v>
      </c>
      <c r="H160" s="768">
        <f t="shared" si="102"/>
        <v>796.41208499999993</v>
      </c>
      <c r="I160" s="482">
        <f t="shared" si="117"/>
        <v>0</v>
      </c>
      <c r="J160" s="481">
        <f t="shared" si="118"/>
        <v>0</v>
      </c>
      <c r="K160" s="522" t="s">
        <v>1486</v>
      </c>
    </row>
    <row r="161" spans="1:11" s="525" customFormat="1" ht="24.75" customHeight="1" outlineLevel="1" x14ac:dyDescent="0.3">
      <c r="A161" s="443">
        <f t="shared" si="110"/>
        <v>151</v>
      </c>
      <c r="B161" s="428" t="s">
        <v>1488</v>
      </c>
      <c r="C161" s="443" t="s">
        <v>28</v>
      </c>
      <c r="D161" s="500">
        <f>0.02</f>
        <v>0.02</v>
      </c>
      <c r="E161" s="480">
        <f>11856*8.61</f>
        <v>102080.15999999999</v>
      </c>
      <c r="F161" s="479">
        <f>D161*E161</f>
        <v>2041.6031999999998</v>
      </c>
      <c r="G161" s="770">
        <f>11856*8.61</f>
        <v>102080.15999999999</v>
      </c>
      <c r="H161" s="768">
        <f t="shared" si="102"/>
        <v>2041.6031999999998</v>
      </c>
      <c r="I161" s="482">
        <f t="shared" si="117"/>
        <v>0</v>
      </c>
      <c r="J161" s="481">
        <f t="shared" si="118"/>
        <v>0</v>
      </c>
      <c r="K161" s="522" t="s">
        <v>1486</v>
      </c>
    </row>
    <row r="162" spans="1:11" s="514" customFormat="1" ht="21.75" customHeight="1" outlineLevel="1" x14ac:dyDescent="0.3">
      <c r="A162" s="443">
        <f t="shared" si="110"/>
        <v>152</v>
      </c>
      <c r="B162" s="618" t="s">
        <v>1484</v>
      </c>
      <c r="C162" s="508" t="s">
        <v>40</v>
      </c>
      <c r="D162" s="509">
        <v>10</v>
      </c>
      <c r="E162" s="510">
        <f t="shared" ref="E162:E163" si="119">F162/11</f>
        <v>70.393636363636361</v>
      </c>
      <c r="F162" s="511">
        <f>774.33</f>
        <v>774.33</v>
      </c>
      <c r="G162" s="771">
        <v>70.39</v>
      </c>
      <c r="H162" s="768">
        <f>D162*G162</f>
        <v>703.9</v>
      </c>
      <c r="I162" s="512">
        <f t="shared" si="117"/>
        <v>3.6363636363603291E-3</v>
      </c>
      <c r="J162" s="513">
        <f t="shared" si="118"/>
        <v>70.430000000000064</v>
      </c>
      <c r="K162" s="523" t="s">
        <v>1440</v>
      </c>
    </row>
    <row r="163" spans="1:11" s="514" customFormat="1" ht="21.75" customHeight="1" outlineLevel="1" x14ac:dyDescent="0.3">
      <c r="A163" s="443">
        <f t="shared" si="110"/>
        <v>153</v>
      </c>
      <c r="B163" s="618" t="s">
        <v>1485</v>
      </c>
      <c r="C163" s="508" t="s">
        <v>40</v>
      </c>
      <c r="D163" s="509">
        <v>4</v>
      </c>
      <c r="E163" s="510">
        <f t="shared" si="119"/>
        <v>564.50272727272727</v>
      </c>
      <c r="F163" s="511">
        <v>6209.53</v>
      </c>
      <c r="G163" s="771">
        <v>564.50272727272727</v>
      </c>
      <c r="H163" s="768">
        <f>D163*G163</f>
        <v>2258.0109090909091</v>
      </c>
      <c r="I163" s="512">
        <f t="shared" si="117"/>
        <v>0</v>
      </c>
      <c r="J163" s="513">
        <f t="shared" si="118"/>
        <v>3951.5190909090907</v>
      </c>
      <c r="K163" s="523" t="s">
        <v>1440</v>
      </c>
    </row>
    <row r="164" spans="1:11" s="514" customFormat="1" ht="21.75" customHeight="1" outlineLevel="1" x14ac:dyDescent="0.3">
      <c r="A164" s="443">
        <f t="shared" si="110"/>
        <v>154</v>
      </c>
      <c r="B164" s="507" t="s">
        <v>1516</v>
      </c>
      <c r="C164" s="508" t="s">
        <v>40</v>
      </c>
      <c r="D164" s="509">
        <v>1</v>
      </c>
      <c r="E164" s="510">
        <f t="shared" ref="E164:E180" si="120">ROUND(F164/D164,2)</f>
        <v>4624</v>
      </c>
      <c r="F164" s="511">
        <v>4624</v>
      </c>
      <c r="G164" s="771">
        <v>4624</v>
      </c>
      <c r="H164" s="768">
        <f t="shared" si="102"/>
        <v>4624</v>
      </c>
      <c r="I164" s="512">
        <f t="shared" si="117"/>
        <v>0</v>
      </c>
      <c r="J164" s="513">
        <f t="shared" si="118"/>
        <v>0</v>
      </c>
      <c r="K164" s="521"/>
    </row>
    <row r="165" spans="1:11" s="514" customFormat="1" ht="30" customHeight="1" outlineLevel="1" x14ac:dyDescent="0.3">
      <c r="A165" s="443">
        <f t="shared" si="110"/>
        <v>155</v>
      </c>
      <c r="B165" s="507" t="s">
        <v>1625</v>
      </c>
      <c r="C165" s="508" t="s">
        <v>40</v>
      </c>
      <c r="D165" s="509">
        <v>19</v>
      </c>
      <c r="E165" s="510">
        <f t="shared" si="120"/>
        <v>41446.5</v>
      </c>
      <c r="F165" s="511">
        <v>787483.53</v>
      </c>
      <c r="G165" s="771">
        <v>32175.27</v>
      </c>
      <c r="H165" s="768">
        <f t="shared" si="102"/>
        <v>611330.13</v>
      </c>
      <c r="I165" s="512">
        <f t="shared" si="117"/>
        <v>9271.23</v>
      </c>
      <c r="J165" s="513">
        <f t="shared" si="118"/>
        <v>176153.40000000002</v>
      </c>
      <c r="K165" s="521"/>
    </row>
    <row r="166" spans="1:11" s="514" customFormat="1" ht="32.25" customHeight="1" outlineLevel="1" x14ac:dyDescent="0.3">
      <c r="A166" s="443">
        <f t="shared" si="110"/>
        <v>156</v>
      </c>
      <c r="B166" s="507" t="s">
        <v>1626</v>
      </c>
      <c r="C166" s="508" t="s">
        <v>40</v>
      </c>
      <c r="D166" s="509">
        <v>19</v>
      </c>
      <c r="E166" s="510">
        <f t="shared" si="120"/>
        <v>22287</v>
      </c>
      <c r="F166" s="511">
        <v>423453</v>
      </c>
      <c r="G166" s="771">
        <v>16549</v>
      </c>
      <c r="H166" s="768">
        <f t="shared" si="102"/>
        <v>314431</v>
      </c>
      <c r="I166" s="512">
        <f t="shared" si="117"/>
        <v>5738</v>
      </c>
      <c r="J166" s="513">
        <f t="shared" si="118"/>
        <v>109022</v>
      </c>
      <c r="K166" s="521"/>
    </row>
    <row r="167" spans="1:11" s="514" customFormat="1" ht="32.25" customHeight="1" outlineLevel="1" x14ac:dyDescent="0.3">
      <c r="A167" s="443">
        <f t="shared" si="110"/>
        <v>157</v>
      </c>
      <c r="B167" s="507" t="s">
        <v>1627</v>
      </c>
      <c r="C167" s="508" t="s">
        <v>40</v>
      </c>
      <c r="D167" s="509">
        <v>5</v>
      </c>
      <c r="E167" s="510">
        <f t="shared" si="120"/>
        <v>57537.39</v>
      </c>
      <c r="F167" s="511">
        <v>287686.96999999997</v>
      </c>
      <c r="G167" s="771">
        <v>42411.6</v>
      </c>
      <c r="H167" s="768">
        <f t="shared" si="102"/>
        <v>212058</v>
      </c>
      <c r="I167" s="512">
        <f t="shared" si="117"/>
        <v>15125.79</v>
      </c>
      <c r="J167" s="513">
        <f t="shared" si="118"/>
        <v>75628.969999999972</v>
      </c>
      <c r="K167" s="521"/>
    </row>
    <row r="168" spans="1:11" s="514" customFormat="1" ht="25.5" customHeight="1" outlineLevel="1" x14ac:dyDescent="0.3">
      <c r="A168" s="443">
        <f t="shared" si="110"/>
        <v>158</v>
      </c>
      <c r="B168" s="507" t="s">
        <v>1632</v>
      </c>
      <c r="C168" s="508" t="s">
        <v>40</v>
      </c>
      <c r="D168" s="509">
        <v>38</v>
      </c>
      <c r="E168" s="510">
        <f t="shared" si="120"/>
        <v>161.5</v>
      </c>
      <c r="F168" s="511">
        <v>6137</v>
      </c>
      <c r="G168" s="771">
        <v>83.33</v>
      </c>
      <c r="H168" s="768">
        <f t="shared" si="102"/>
        <v>3166.54</v>
      </c>
      <c r="I168" s="512">
        <f t="shared" si="117"/>
        <v>78.17</v>
      </c>
      <c r="J168" s="513">
        <f t="shared" si="118"/>
        <v>2970.46</v>
      </c>
      <c r="K168" s="521"/>
    </row>
    <row r="169" spans="1:11" s="514" customFormat="1" ht="25.5" customHeight="1" outlineLevel="1" x14ac:dyDescent="0.3">
      <c r="A169" s="443">
        <f t="shared" si="110"/>
        <v>159</v>
      </c>
      <c r="B169" s="507" t="s">
        <v>1409</v>
      </c>
      <c r="C169" s="508" t="s">
        <v>40</v>
      </c>
      <c r="D169" s="509">
        <v>38</v>
      </c>
      <c r="E169" s="510">
        <f t="shared" si="120"/>
        <v>161.5</v>
      </c>
      <c r="F169" s="511">
        <v>6137</v>
      </c>
      <c r="G169" s="771">
        <v>83.33</v>
      </c>
      <c r="H169" s="768">
        <f t="shared" si="102"/>
        <v>3166.54</v>
      </c>
      <c r="I169" s="512">
        <f t="shared" si="117"/>
        <v>78.17</v>
      </c>
      <c r="J169" s="513">
        <f t="shared" si="118"/>
        <v>2970.46</v>
      </c>
      <c r="K169" s="521"/>
    </row>
    <row r="170" spans="1:11" s="514" customFormat="1" ht="25.5" customHeight="1" outlineLevel="1" x14ac:dyDescent="0.3">
      <c r="A170" s="443">
        <f t="shared" si="110"/>
        <v>160</v>
      </c>
      <c r="B170" s="507" t="s">
        <v>1408</v>
      </c>
      <c r="C170" s="508" t="s">
        <v>40</v>
      </c>
      <c r="D170" s="509">
        <v>10</v>
      </c>
      <c r="E170" s="510">
        <f t="shared" si="120"/>
        <v>161.5</v>
      </c>
      <c r="F170" s="511">
        <v>1615</v>
      </c>
      <c r="G170" s="771">
        <v>83.33</v>
      </c>
      <c r="H170" s="768">
        <f t="shared" si="102"/>
        <v>833.3</v>
      </c>
      <c r="I170" s="512">
        <f t="shared" si="117"/>
        <v>78.17</v>
      </c>
      <c r="J170" s="513">
        <f t="shared" si="118"/>
        <v>781.7</v>
      </c>
      <c r="K170" s="521"/>
    </row>
    <row r="171" spans="1:11" s="514" customFormat="1" ht="25.5" customHeight="1" outlineLevel="1" x14ac:dyDescent="0.3">
      <c r="A171" s="443">
        <f t="shared" si="110"/>
        <v>161</v>
      </c>
      <c r="B171" s="507" t="s">
        <v>1403</v>
      </c>
      <c r="C171" s="508" t="s">
        <v>40</v>
      </c>
      <c r="D171" s="509">
        <v>190</v>
      </c>
      <c r="E171" s="510">
        <f t="shared" si="120"/>
        <v>997.05</v>
      </c>
      <c r="F171" s="511">
        <v>189439.5</v>
      </c>
      <c r="G171" s="771">
        <v>333.33</v>
      </c>
      <c r="H171" s="768">
        <f t="shared" si="102"/>
        <v>63332.7</v>
      </c>
      <c r="I171" s="512">
        <f t="shared" si="117"/>
        <v>663.72</v>
      </c>
      <c r="J171" s="513">
        <f t="shared" si="118"/>
        <v>126106.8</v>
      </c>
      <c r="K171" s="521"/>
    </row>
    <row r="172" spans="1:11" s="514" customFormat="1" ht="25.5" customHeight="1" outlineLevel="1" x14ac:dyDescent="0.3">
      <c r="A172" s="443">
        <f t="shared" si="110"/>
        <v>162</v>
      </c>
      <c r="B172" s="507" t="s">
        <v>1404</v>
      </c>
      <c r="C172" s="508" t="s">
        <v>40</v>
      </c>
      <c r="D172" s="509">
        <v>50</v>
      </c>
      <c r="E172" s="510">
        <f t="shared" si="120"/>
        <v>997.05</v>
      </c>
      <c r="F172" s="511">
        <v>49852.5</v>
      </c>
      <c r="G172" s="771">
        <v>333.33</v>
      </c>
      <c r="H172" s="768">
        <f t="shared" si="102"/>
        <v>16666.5</v>
      </c>
      <c r="I172" s="512">
        <f t="shared" si="117"/>
        <v>663.72</v>
      </c>
      <c r="J172" s="513">
        <f t="shared" si="118"/>
        <v>33186</v>
      </c>
      <c r="K172" s="521"/>
    </row>
    <row r="173" spans="1:11" s="514" customFormat="1" ht="31.5" customHeight="1" outlineLevel="1" x14ac:dyDescent="0.3">
      <c r="A173" s="443">
        <f t="shared" si="110"/>
        <v>163</v>
      </c>
      <c r="B173" s="507" t="s">
        <v>1407</v>
      </c>
      <c r="C173" s="508" t="s">
        <v>40</v>
      </c>
      <c r="D173" s="509">
        <v>95</v>
      </c>
      <c r="E173" s="510">
        <f t="shared" si="120"/>
        <v>300.89999999999998</v>
      </c>
      <c r="F173" s="511">
        <v>28585.5</v>
      </c>
      <c r="G173" s="771">
        <v>300.89999999999998</v>
      </c>
      <c r="H173" s="768">
        <f t="shared" si="102"/>
        <v>28585.499999999996</v>
      </c>
      <c r="I173" s="512">
        <f t="shared" si="117"/>
        <v>0</v>
      </c>
      <c r="J173" s="513">
        <f t="shared" si="118"/>
        <v>0</v>
      </c>
      <c r="K173" s="521"/>
    </row>
    <row r="174" spans="1:11" s="514" customFormat="1" ht="21.75" customHeight="1" outlineLevel="1" x14ac:dyDescent="0.3">
      <c r="A174" s="443">
        <f t="shared" si="110"/>
        <v>164</v>
      </c>
      <c r="B174" s="507" t="s">
        <v>1411</v>
      </c>
      <c r="C174" s="508" t="s">
        <v>5</v>
      </c>
      <c r="D174" s="509">
        <v>57</v>
      </c>
      <c r="E174" s="510">
        <f t="shared" si="120"/>
        <v>9305.7999999999993</v>
      </c>
      <c r="F174" s="511">
        <v>530430.6</v>
      </c>
      <c r="G174" s="771">
        <v>3291.67</v>
      </c>
      <c r="H174" s="768">
        <f t="shared" si="102"/>
        <v>187625.19</v>
      </c>
      <c r="I174" s="512">
        <f t="shared" si="117"/>
        <v>6014.1299999999992</v>
      </c>
      <c r="J174" s="513">
        <f t="shared" si="118"/>
        <v>342805.41</v>
      </c>
      <c r="K174" s="521"/>
    </row>
    <row r="175" spans="1:11" s="514" customFormat="1" ht="21.75" customHeight="1" outlineLevel="1" x14ac:dyDescent="0.3">
      <c r="A175" s="443">
        <f t="shared" si="110"/>
        <v>165</v>
      </c>
      <c r="B175" s="507" t="s">
        <v>1412</v>
      </c>
      <c r="C175" s="508" t="s">
        <v>5</v>
      </c>
      <c r="D175" s="509">
        <v>114</v>
      </c>
      <c r="E175" s="510">
        <f t="shared" si="120"/>
        <v>9305.7999999999993</v>
      </c>
      <c r="F175" s="511">
        <v>1060861.2</v>
      </c>
      <c r="G175" s="771">
        <v>3291.67</v>
      </c>
      <c r="H175" s="768">
        <f t="shared" si="102"/>
        <v>375250.38</v>
      </c>
      <c r="I175" s="512">
        <f t="shared" si="117"/>
        <v>6014.1299999999992</v>
      </c>
      <c r="J175" s="513">
        <f t="shared" si="118"/>
        <v>685610.82</v>
      </c>
      <c r="K175" s="521"/>
    </row>
    <row r="176" spans="1:11" s="514" customFormat="1" ht="21.75" customHeight="1" outlineLevel="1" x14ac:dyDescent="0.3">
      <c r="A176" s="443">
        <f t="shared" si="110"/>
        <v>166</v>
      </c>
      <c r="B176" s="507" t="s">
        <v>1413</v>
      </c>
      <c r="C176" s="508" t="s">
        <v>5</v>
      </c>
      <c r="D176" s="509">
        <v>30</v>
      </c>
      <c r="E176" s="510">
        <f t="shared" si="120"/>
        <v>9305.7999999999993</v>
      </c>
      <c r="F176" s="511">
        <v>279174</v>
      </c>
      <c r="G176" s="771">
        <v>3291.67</v>
      </c>
      <c r="H176" s="768">
        <f t="shared" si="102"/>
        <v>98750.1</v>
      </c>
      <c r="I176" s="512">
        <f t="shared" si="117"/>
        <v>6014.1299999999992</v>
      </c>
      <c r="J176" s="513">
        <f t="shared" si="118"/>
        <v>180423.9</v>
      </c>
      <c r="K176" s="521"/>
    </row>
    <row r="177" spans="1:12" ht="23.25" customHeight="1" outlineLevel="1" x14ac:dyDescent="0.3">
      <c r="A177" s="443">
        <f t="shared" si="110"/>
        <v>167</v>
      </c>
      <c r="B177" s="428" t="s">
        <v>1501</v>
      </c>
      <c r="C177" s="442" t="s">
        <v>16</v>
      </c>
      <c r="D177" s="492">
        <v>230.65</v>
      </c>
      <c r="E177" s="480">
        <f t="shared" si="120"/>
        <v>776.02</v>
      </c>
      <c r="F177" s="479">
        <v>178988.85</v>
      </c>
      <c r="G177" s="767">
        <v>2520</v>
      </c>
      <c r="H177" s="768">
        <f t="shared" si="102"/>
        <v>581238</v>
      </c>
      <c r="I177" s="482">
        <f t="shared" si="117"/>
        <v>-1743.98</v>
      </c>
      <c r="J177" s="481">
        <f t="shared" si="118"/>
        <v>-402249.15</v>
      </c>
    </row>
    <row r="178" spans="1:12" s="514" customFormat="1" ht="21.75" customHeight="1" outlineLevel="1" x14ac:dyDescent="0.3">
      <c r="A178" s="443">
        <f t="shared" si="110"/>
        <v>168</v>
      </c>
      <c r="B178" s="507" t="s">
        <v>1509</v>
      </c>
      <c r="C178" s="508" t="s">
        <v>5</v>
      </c>
      <c r="D178" s="509">
        <v>28</v>
      </c>
      <c r="E178" s="510">
        <f t="shared" si="120"/>
        <v>4930</v>
      </c>
      <c r="F178" s="511">
        <v>138040</v>
      </c>
      <c r="G178" s="769">
        <v>4930</v>
      </c>
      <c r="H178" s="768">
        <f t="shared" si="102"/>
        <v>138040</v>
      </c>
      <c r="I178" s="512">
        <f t="shared" si="117"/>
        <v>0</v>
      </c>
      <c r="J178" s="513">
        <f t="shared" si="118"/>
        <v>0</v>
      </c>
      <c r="K178" s="521"/>
    </row>
    <row r="179" spans="1:12" ht="23.25" customHeight="1" outlineLevel="1" x14ac:dyDescent="0.3">
      <c r="A179" s="443">
        <f t="shared" si="110"/>
        <v>169</v>
      </c>
      <c r="B179" s="428" t="s">
        <v>1636</v>
      </c>
      <c r="C179" s="422" t="s">
        <v>20</v>
      </c>
      <c r="D179" s="493">
        <v>18</v>
      </c>
      <c r="E179" s="480">
        <f t="shared" si="120"/>
        <v>1970.22</v>
      </c>
      <c r="F179" s="479">
        <v>35464.03</v>
      </c>
      <c r="G179" s="767">
        <v>650</v>
      </c>
      <c r="H179" s="768">
        <f t="shared" si="102"/>
        <v>11700</v>
      </c>
      <c r="I179" s="427">
        <f t="shared" si="117"/>
        <v>1320.22</v>
      </c>
      <c r="J179" s="481">
        <f t="shared" si="118"/>
        <v>23764.03</v>
      </c>
      <c r="K179" s="537"/>
    </row>
    <row r="180" spans="1:12" ht="23.25" customHeight="1" outlineLevel="1" x14ac:dyDescent="0.3">
      <c r="A180" s="443">
        <f t="shared" si="110"/>
        <v>170</v>
      </c>
      <c r="B180" s="428" t="s">
        <v>1526</v>
      </c>
      <c r="C180" s="442" t="s">
        <v>17</v>
      </c>
      <c r="D180" s="529">
        <f>4.22*1.26+21.5</f>
        <v>26.8172</v>
      </c>
      <c r="E180" s="480">
        <f t="shared" si="120"/>
        <v>1063.42</v>
      </c>
      <c r="F180" s="479">
        <f>5654.42+22863.55</f>
        <v>28517.97</v>
      </c>
      <c r="G180" s="767">
        <v>5000</v>
      </c>
      <c r="H180" s="768">
        <f t="shared" si="102"/>
        <v>134086</v>
      </c>
      <c r="I180" s="482">
        <f t="shared" si="117"/>
        <v>-3936.58</v>
      </c>
      <c r="J180" s="481">
        <f t="shared" si="118"/>
        <v>-105568.03</v>
      </c>
    </row>
    <row r="181" spans="1:12" ht="23.25" customHeight="1" outlineLevel="1" x14ac:dyDescent="0.3">
      <c r="A181" s="443">
        <f t="shared" si="110"/>
        <v>171</v>
      </c>
      <c r="B181" s="428" t="s">
        <v>1405</v>
      </c>
      <c r="C181" s="442" t="s">
        <v>40</v>
      </c>
      <c r="D181" s="493">
        <v>151</v>
      </c>
      <c r="E181" s="480">
        <f>ROUND(F181/D181,2)</f>
        <v>657.29</v>
      </c>
      <c r="F181" s="479">
        <v>99250.4</v>
      </c>
      <c r="G181" s="767">
        <v>750</v>
      </c>
      <c r="H181" s="768">
        <f t="shared" si="102"/>
        <v>113250</v>
      </c>
      <c r="I181" s="482">
        <f>E181-G181</f>
        <v>-92.710000000000036</v>
      </c>
      <c r="J181" s="481">
        <f>F181-H181</f>
        <v>-13999.600000000006</v>
      </c>
      <c r="K181" s="519"/>
    </row>
    <row r="182" spans="1:12" ht="23.25" customHeight="1" outlineLevel="1" x14ac:dyDescent="0.3">
      <c r="A182" s="443">
        <f t="shared" si="110"/>
        <v>172</v>
      </c>
      <c r="B182" s="428" t="s">
        <v>1524</v>
      </c>
      <c r="C182" s="442" t="s">
        <v>17</v>
      </c>
      <c r="D182" s="496">
        <f>8.909</f>
        <v>8.9090000000000007</v>
      </c>
      <c r="E182" s="480">
        <f>ROUND(592.76*8.61,2)</f>
        <v>5103.66</v>
      </c>
      <c r="F182" s="479">
        <f>ROUND(E182*D182,2)</f>
        <v>45468.51</v>
      </c>
      <c r="G182" s="767">
        <v>6800</v>
      </c>
      <c r="H182" s="768">
        <f t="shared" si="102"/>
        <v>60581.200000000004</v>
      </c>
      <c r="I182" s="482">
        <f>E182-G182</f>
        <v>-1696.3400000000001</v>
      </c>
      <c r="J182" s="481">
        <f>F182-H182</f>
        <v>-15112.690000000002</v>
      </c>
      <c r="K182" s="519"/>
    </row>
    <row r="183" spans="1:12" ht="23.25" customHeight="1" outlineLevel="1" x14ac:dyDescent="0.3">
      <c r="A183" s="443">
        <f t="shared" si="110"/>
        <v>173</v>
      </c>
      <c r="B183" s="428" t="s">
        <v>1525</v>
      </c>
      <c r="C183" s="442" t="s">
        <v>17</v>
      </c>
      <c r="D183" s="529">
        <v>9.06E-2</v>
      </c>
      <c r="E183" s="480">
        <f>ROUND(519.8*8.61,2)</f>
        <v>4475.4799999999996</v>
      </c>
      <c r="F183" s="479">
        <f>ROUND(E183*D183,2)</f>
        <v>405.48</v>
      </c>
      <c r="G183" s="767">
        <v>4000</v>
      </c>
      <c r="H183" s="768">
        <f t="shared" si="102"/>
        <v>362.4</v>
      </c>
      <c r="I183" s="482">
        <f t="shared" ref="I183" si="121">E183-G183</f>
        <v>475.47999999999956</v>
      </c>
      <c r="J183" s="481">
        <f t="shared" ref="J183" si="122">F183-H183</f>
        <v>43.080000000000041</v>
      </c>
    </row>
    <row r="184" spans="1:12" s="514" customFormat="1" ht="33" customHeight="1" outlineLevel="1" x14ac:dyDescent="0.3">
      <c r="A184" s="443">
        <f t="shared" si="110"/>
        <v>174</v>
      </c>
      <c r="B184" s="507" t="s">
        <v>1550</v>
      </c>
      <c r="C184" s="508" t="s">
        <v>1385</v>
      </c>
      <c r="D184" s="509">
        <v>2</v>
      </c>
      <c r="E184" s="510">
        <f>ROUND(F184/D184,2)</f>
        <v>1232500</v>
      </c>
      <c r="F184" s="511">
        <v>2465000</v>
      </c>
      <c r="G184" s="769">
        <v>1208333.33</v>
      </c>
      <c r="H184" s="768">
        <f t="shared" si="102"/>
        <v>2416666.66</v>
      </c>
      <c r="I184" s="512">
        <f>E184-G184</f>
        <v>24166.669999999925</v>
      </c>
      <c r="J184" s="513">
        <f>F184-H184</f>
        <v>48333.339999999851</v>
      </c>
      <c r="K184" s="521"/>
    </row>
    <row r="185" spans="1:12" s="514" customFormat="1" ht="19.5" customHeight="1" outlineLevel="1" x14ac:dyDescent="0.3">
      <c r="A185" s="443">
        <f t="shared" si="110"/>
        <v>175</v>
      </c>
      <c r="B185" s="507" t="s">
        <v>1891</v>
      </c>
      <c r="C185" s="508" t="s">
        <v>1385</v>
      </c>
      <c r="D185" s="509">
        <v>1</v>
      </c>
      <c r="E185" s="510">
        <f>ROUND(F185/D185,2)</f>
        <v>1419.78</v>
      </c>
      <c r="F185" s="511">
        <f>66391.9/2165156015.91*46301483.04</f>
        <v>1419.7791795393446</v>
      </c>
      <c r="G185" s="771">
        <v>1419.78</v>
      </c>
      <c r="H185" s="768">
        <f t="shared" si="102"/>
        <v>1419.78</v>
      </c>
      <c r="I185" s="512">
        <f t="shared" ref="I185" si="123">E185-G185</f>
        <v>0</v>
      </c>
      <c r="J185" s="513">
        <f t="shared" ref="J185" si="124">F185-H185</f>
        <v>-8.2046065540453128E-4</v>
      </c>
      <c r="K185" s="521"/>
    </row>
    <row r="186" spans="1:12" s="484" customFormat="1" ht="21.75" customHeight="1" x14ac:dyDescent="0.3">
      <c r="A186" s="555"/>
      <c r="B186" s="612" t="s">
        <v>1890</v>
      </c>
      <c r="C186" s="613"/>
      <c r="D186" s="614"/>
      <c r="E186" s="615"/>
      <c r="F186" s="616">
        <f>SUM(F124:F185)</f>
        <v>39155610.524464533</v>
      </c>
      <c r="G186" s="772"/>
      <c r="H186" s="773">
        <f>SUM(H124:H184)</f>
        <v>36819033.101999924</v>
      </c>
      <c r="I186" s="617"/>
      <c r="J186" s="616">
        <f>SUM(J124:J184)</f>
        <v>2335157.6403790903</v>
      </c>
      <c r="K186" s="550"/>
      <c r="L186" s="549"/>
    </row>
    <row r="187" spans="1:12" s="484" customFormat="1" ht="21.75" customHeight="1" x14ac:dyDescent="0.3">
      <c r="A187" s="443"/>
      <c r="B187" s="845" t="s">
        <v>1700</v>
      </c>
      <c r="C187" s="846"/>
      <c r="D187" s="846"/>
      <c r="E187" s="846"/>
      <c r="F187" s="846"/>
      <c r="G187" s="846"/>
      <c r="H187" s="846"/>
      <c r="I187" s="846"/>
      <c r="J187" s="847"/>
      <c r="K187" s="491">
        <f>F187+'ТП Р'!F262</f>
        <v>21283173.580000009</v>
      </c>
    </row>
    <row r="188" spans="1:12" ht="23.25" customHeight="1" outlineLevel="1" x14ac:dyDescent="0.3">
      <c r="A188" s="443">
        <f>A185+1</f>
        <v>176</v>
      </c>
      <c r="B188" s="428" t="s">
        <v>1569</v>
      </c>
      <c r="C188" s="442" t="s">
        <v>17</v>
      </c>
      <c r="D188" s="492">
        <f>376.07*1.2+1092.37*1.26</f>
        <v>1827.6702</v>
      </c>
      <c r="E188" s="480">
        <f t="shared" ref="E188:E194" si="125">ROUND(F188/D188,2)</f>
        <v>485.71</v>
      </c>
      <c r="F188" s="479">
        <f>233092.39+654631.85</f>
        <v>887724.24</v>
      </c>
      <c r="G188" s="767">
        <v>1200</v>
      </c>
      <c r="H188" s="768">
        <f>D188*G188</f>
        <v>2193204.2400000002</v>
      </c>
      <c r="I188" s="625">
        <f t="shared" ref="I188:I194" si="126">E188-G188</f>
        <v>-714.29</v>
      </c>
      <c r="J188" s="481">
        <f t="shared" ref="J188:J194" si="127">F188-H188</f>
        <v>-1305480.0000000002</v>
      </c>
      <c r="K188" s="519"/>
    </row>
    <row r="189" spans="1:12" s="514" customFormat="1" ht="22.5" customHeight="1" outlineLevel="1" x14ac:dyDescent="0.3">
      <c r="A189" s="443">
        <f t="shared" si="110"/>
        <v>177</v>
      </c>
      <c r="B189" s="507" t="s">
        <v>1704</v>
      </c>
      <c r="C189" s="508" t="s">
        <v>17</v>
      </c>
      <c r="D189" s="530">
        <v>257.60000000000002</v>
      </c>
      <c r="E189" s="510">
        <f t="shared" si="125"/>
        <v>12957.43</v>
      </c>
      <c r="F189" s="511">
        <v>3337833.97</v>
      </c>
      <c r="G189" s="769">
        <v>10208.33</v>
      </c>
      <c r="H189" s="768">
        <f t="shared" ref="H189:H252" si="128">D189*G189</f>
        <v>2629665.8080000002</v>
      </c>
      <c r="I189" s="626">
        <f t="shared" si="126"/>
        <v>2749.1000000000004</v>
      </c>
      <c r="J189" s="513">
        <f t="shared" si="127"/>
        <v>708168.16200000001</v>
      </c>
      <c r="K189" s="521"/>
    </row>
    <row r="190" spans="1:12" ht="23.25" customHeight="1" outlineLevel="1" x14ac:dyDescent="0.3">
      <c r="A190" s="443">
        <f t="shared" si="110"/>
        <v>178</v>
      </c>
      <c r="B190" s="428" t="s">
        <v>1526</v>
      </c>
      <c r="C190" s="442" t="s">
        <v>17</v>
      </c>
      <c r="D190" s="529">
        <f>1641.34*1.17</f>
        <v>1920.3677999999998</v>
      </c>
      <c r="E190" s="480">
        <f t="shared" si="125"/>
        <v>1063.42</v>
      </c>
      <c r="F190" s="479">
        <v>2042159.64</v>
      </c>
      <c r="G190" s="767">
        <v>5000</v>
      </c>
      <c r="H190" s="768">
        <f t="shared" si="128"/>
        <v>9601838.9999999981</v>
      </c>
      <c r="I190" s="625">
        <f t="shared" si="126"/>
        <v>-3936.58</v>
      </c>
      <c r="J190" s="481">
        <f t="shared" si="127"/>
        <v>-7559679.3599999985</v>
      </c>
      <c r="K190" s="519"/>
    </row>
    <row r="191" spans="1:12" ht="48" customHeight="1" outlineLevel="1" x14ac:dyDescent="0.3">
      <c r="A191" s="443">
        <f t="shared" si="110"/>
        <v>179</v>
      </c>
      <c r="B191" s="428" t="s">
        <v>1766</v>
      </c>
      <c r="C191" s="442" t="s">
        <v>1385</v>
      </c>
      <c r="D191" s="529">
        <v>1</v>
      </c>
      <c r="E191" s="480">
        <f t="shared" si="125"/>
        <v>101605.19</v>
      </c>
      <c r="F191" s="479">
        <f>3381969-3280363.81</f>
        <v>101605.18999999994</v>
      </c>
      <c r="G191" s="767">
        <v>101605.19</v>
      </c>
      <c r="H191" s="768">
        <f t="shared" si="128"/>
        <v>101605.19</v>
      </c>
      <c r="I191" s="625">
        <f t="shared" si="126"/>
        <v>0</v>
      </c>
      <c r="J191" s="481">
        <f t="shared" si="127"/>
        <v>0</v>
      </c>
    </row>
    <row r="192" spans="1:12" s="514" customFormat="1" ht="22.5" customHeight="1" outlineLevel="1" x14ac:dyDescent="0.3">
      <c r="A192" s="443">
        <f t="shared" si="110"/>
        <v>180</v>
      </c>
      <c r="B192" s="507" t="s">
        <v>1582</v>
      </c>
      <c r="C192" s="508" t="s">
        <v>1385</v>
      </c>
      <c r="D192" s="509">
        <v>120</v>
      </c>
      <c r="E192" s="510">
        <f t="shared" si="125"/>
        <v>2142</v>
      </c>
      <c r="F192" s="511">
        <v>257040</v>
      </c>
      <c r="G192" s="769">
        <v>2142</v>
      </c>
      <c r="H192" s="768">
        <f t="shared" si="128"/>
        <v>257040</v>
      </c>
      <c r="I192" s="626">
        <f t="shared" si="126"/>
        <v>0</v>
      </c>
      <c r="J192" s="513">
        <f t="shared" si="127"/>
        <v>0</v>
      </c>
      <c r="K192" s="521"/>
    </row>
    <row r="193" spans="1:11" s="514" customFormat="1" ht="22.5" customHeight="1" outlineLevel="1" x14ac:dyDescent="0.3">
      <c r="A193" s="443">
        <f t="shared" si="110"/>
        <v>181</v>
      </c>
      <c r="B193" s="507" t="s">
        <v>1583</v>
      </c>
      <c r="C193" s="508" t="s">
        <v>40</v>
      </c>
      <c r="D193" s="509">
        <v>1523</v>
      </c>
      <c r="E193" s="510">
        <f t="shared" si="125"/>
        <v>11220</v>
      </c>
      <c r="F193" s="511">
        <v>17088060</v>
      </c>
      <c r="G193" s="769">
        <v>6583.33</v>
      </c>
      <c r="H193" s="768">
        <f t="shared" si="128"/>
        <v>10026411.59</v>
      </c>
      <c r="I193" s="626">
        <f t="shared" si="126"/>
        <v>4636.67</v>
      </c>
      <c r="J193" s="513">
        <f t="shared" si="127"/>
        <v>7061648.4100000001</v>
      </c>
      <c r="K193" s="521"/>
    </row>
    <row r="194" spans="1:11" s="514" customFormat="1" ht="22.5" customHeight="1" outlineLevel="1" x14ac:dyDescent="0.3">
      <c r="A194" s="443">
        <f t="shared" si="110"/>
        <v>182</v>
      </c>
      <c r="B194" s="507" t="s">
        <v>1584</v>
      </c>
      <c r="C194" s="508" t="s">
        <v>5</v>
      </c>
      <c r="D194" s="530">
        <v>1813</v>
      </c>
      <c r="E194" s="510">
        <f t="shared" si="125"/>
        <v>9294.7099999999991</v>
      </c>
      <c r="F194" s="511">
        <v>16851309.23</v>
      </c>
      <c r="G194" s="769">
        <v>9083.33</v>
      </c>
      <c r="H194" s="768">
        <f t="shared" si="128"/>
        <v>16468077.289999999</v>
      </c>
      <c r="I194" s="626">
        <f t="shared" si="126"/>
        <v>211.3799999999992</v>
      </c>
      <c r="J194" s="513">
        <f t="shared" si="127"/>
        <v>383231.94000000134</v>
      </c>
      <c r="K194" s="521"/>
    </row>
    <row r="195" spans="1:11" ht="48" customHeight="1" outlineLevel="1" x14ac:dyDescent="0.3">
      <c r="A195" s="443">
        <f t="shared" si="110"/>
        <v>183</v>
      </c>
      <c r="B195" s="428" t="s">
        <v>1767</v>
      </c>
      <c r="C195" s="442" t="s">
        <v>1385</v>
      </c>
      <c r="D195" s="529">
        <v>1</v>
      </c>
      <c r="E195" s="480">
        <f t="shared" ref="E195:E201" si="129">ROUND(F195/D195,2)</f>
        <v>7166.72</v>
      </c>
      <c r="F195" s="479">
        <f>238547.27-231380.55</f>
        <v>7166.7200000000012</v>
      </c>
      <c r="G195" s="767">
        <v>7166.72</v>
      </c>
      <c r="H195" s="768">
        <f t="shared" si="128"/>
        <v>7166.72</v>
      </c>
      <c r="I195" s="625">
        <f t="shared" ref="I195:I201" si="130">E195-G195</f>
        <v>0</v>
      </c>
      <c r="J195" s="481">
        <f t="shared" ref="J195:J199" si="131">F195-H195</f>
        <v>0</v>
      </c>
      <c r="K195" s="520" t="s">
        <v>1448</v>
      </c>
    </row>
    <row r="196" spans="1:11" s="514" customFormat="1" ht="22.5" customHeight="1" outlineLevel="1" x14ac:dyDescent="0.3">
      <c r="A196" s="443">
        <f t="shared" si="110"/>
        <v>184</v>
      </c>
      <c r="B196" s="507" t="s">
        <v>1583</v>
      </c>
      <c r="C196" s="508" t="s">
        <v>40</v>
      </c>
      <c r="D196" s="509">
        <v>107</v>
      </c>
      <c r="E196" s="510">
        <f t="shared" si="129"/>
        <v>11220</v>
      </c>
      <c r="F196" s="511">
        <v>1200540</v>
      </c>
      <c r="G196" s="769">
        <v>6583.33</v>
      </c>
      <c r="H196" s="768">
        <f t="shared" si="128"/>
        <v>704416.30999999994</v>
      </c>
      <c r="I196" s="626">
        <f t="shared" si="130"/>
        <v>4636.67</v>
      </c>
      <c r="J196" s="513">
        <f t="shared" si="131"/>
        <v>496123.69000000006</v>
      </c>
      <c r="K196" s="521"/>
    </row>
    <row r="197" spans="1:11" s="514" customFormat="1" ht="22.5" customHeight="1" outlineLevel="1" x14ac:dyDescent="0.3">
      <c r="A197" s="443">
        <f t="shared" si="110"/>
        <v>185</v>
      </c>
      <c r="B197" s="507" t="s">
        <v>1584</v>
      </c>
      <c r="C197" s="508" t="s">
        <v>5</v>
      </c>
      <c r="D197" s="516">
        <v>127.88</v>
      </c>
      <c r="E197" s="510">
        <f t="shared" si="129"/>
        <v>9294.7099999999991</v>
      </c>
      <c r="F197" s="511">
        <v>1188607.51</v>
      </c>
      <c r="G197" s="769">
        <v>9083.33</v>
      </c>
      <c r="H197" s="768">
        <f t="shared" si="128"/>
        <v>1161576.2404</v>
      </c>
      <c r="I197" s="626">
        <f t="shared" si="130"/>
        <v>211.3799999999992</v>
      </c>
      <c r="J197" s="513">
        <f t="shared" si="131"/>
        <v>27031.2696</v>
      </c>
      <c r="K197" s="521"/>
    </row>
    <row r="198" spans="1:11" ht="48" customHeight="1" outlineLevel="1" x14ac:dyDescent="0.3">
      <c r="A198" s="443">
        <f t="shared" si="110"/>
        <v>186</v>
      </c>
      <c r="B198" s="428" t="s">
        <v>1768</v>
      </c>
      <c r="C198" s="442" t="s">
        <v>1385</v>
      </c>
      <c r="D198" s="529">
        <v>1</v>
      </c>
      <c r="E198" s="480">
        <f t="shared" si="129"/>
        <v>11937.07</v>
      </c>
      <c r="F198" s="479">
        <f>397330.08-385393.01</f>
        <v>11937.070000000007</v>
      </c>
      <c r="G198" s="767">
        <v>11937.07</v>
      </c>
      <c r="H198" s="768">
        <f t="shared" si="128"/>
        <v>11937.07</v>
      </c>
      <c r="I198" s="625">
        <f t="shared" si="130"/>
        <v>0</v>
      </c>
      <c r="J198" s="481">
        <f t="shared" si="131"/>
        <v>0</v>
      </c>
      <c r="K198" s="520" t="s">
        <v>1448</v>
      </c>
    </row>
    <row r="199" spans="1:11" s="514" customFormat="1" ht="22.5" customHeight="1" outlineLevel="1" x14ac:dyDescent="0.3">
      <c r="A199" s="443">
        <f t="shared" si="110"/>
        <v>187</v>
      </c>
      <c r="B199" s="507" t="s">
        <v>1586</v>
      </c>
      <c r="C199" s="508" t="s">
        <v>1385</v>
      </c>
      <c r="D199" s="509">
        <v>17</v>
      </c>
      <c r="E199" s="510">
        <f t="shared" si="129"/>
        <v>1652.4</v>
      </c>
      <c r="F199" s="511">
        <v>28090.799999999999</v>
      </c>
      <c r="G199" s="769">
        <v>16666.669999999998</v>
      </c>
      <c r="H199" s="768">
        <f t="shared" si="128"/>
        <v>283333.38999999996</v>
      </c>
      <c r="I199" s="626">
        <f t="shared" si="130"/>
        <v>-15014.269999999999</v>
      </c>
      <c r="J199" s="513">
        <f t="shared" si="131"/>
        <v>-255242.58999999997</v>
      </c>
      <c r="K199" s="521"/>
    </row>
    <row r="200" spans="1:11" s="514" customFormat="1" ht="33.75" customHeight="1" outlineLevel="1" x14ac:dyDescent="0.3">
      <c r="A200" s="443">
        <f t="shared" si="110"/>
        <v>188</v>
      </c>
      <c r="B200" s="507" t="s">
        <v>1587</v>
      </c>
      <c r="C200" s="508" t="s">
        <v>40</v>
      </c>
      <c r="D200" s="509">
        <v>179</v>
      </c>
      <c r="E200" s="510">
        <f t="shared" si="129"/>
        <v>9718.0499999999993</v>
      </c>
      <c r="F200" s="511">
        <v>1739530.95</v>
      </c>
      <c r="G200" s="769">
        <v>6833.33</v>
      </c>
      <c r="H200" s="768">
        <f t="shared" si="128"/>
        <v>1223166.07</v>
      </c>
      <c r="I200" s="626">
        <f t="shared" si="130"/>
        <v>2884.7199999999993</v>
      </c>
      <c r="J200" s="513">
        <f>F200-H200</f>
        <v>516364.87999999989</v>
      </c>
      <c r="K200" s="521"/>
    </row>
    <row r="201" spans="1:11" s="514" customFormat="1" ht="22.5" customHeight="1" outlineLevel="1" x14ac:dyDescent="0.3">
      <c r="A201" s="443">
        <f t="shared" si="110"/>
        <v>189</v>
      </c>
      <c r="B201" s="507" t="s">
        <v>1588</v>
      </c>
      <c r="C201" s="508" t="s">
        <v>5</v>
      </c>
      <c r="D201" s="530">
        <v>213</v>
      </c>
      <c r="E201" s="510">
        <f t="shared" si="129"/>
        <v>9226.7199999999993</v>
      </c>
      <c r="F201" s="511">
        <v>1965291.36</v>
      </c>
      <c r="G201" s="769">
        <v>9041.67</v>
      </c>
      <c r="H201" s="768">
        <f t="shared" si="128"/>
        <v>1925875.71</v>
      </c>
      <c r="I201" s="626">
        <f t="shared" si="130"/>
        <v>185.04999999999927</v>
      </c>
      <c r="J201" s="513">
        <f t="shared" ref="J201:J203" si="132">F201-H201</f>
        <v>39415.65000000014</v>
      </c>
      <c r="K201" s="521"/>
    </row>
    <row r="202" spans="1:11" ht="48" customHeight="1" outlineLevel="1" x14ac:dyDescent="0.3">
      <c r="A202" s="443">
        <f t="shared" si="110"/>
        <v>190</v>
      </c>
      <c r="B202" s="428" t="s">
        <v>1769</v>
      </c>
      <c r="C202" s="442" t="s">
        <v>1385</v>
      </c>
      <c r="D202" s="529">
        <v>1</v>
      </c>
      <c r="E202" s="480">
        <f t="shared" ref="E202:E205" si="133">ROUND(F202/D202,2)</f>
        <v>4531.6000000000004</v>
      </c>
      <c r="F202" s="479">
        <f>150836.19-146304.59</f>
        <v>4531.6000000000058</v>
      </c>
      <c r="G202" s="767">
        <v>4531.6000000000004</v>
      </c>
      <c r="H202" s="768">
        <f t="shared" si="128"/>
        <v>4531.6000000000004</v>
      </c>
      <c r="I202" s="625">
        <f t="shared" ref="I202:I205" si="134">E202-G202</f>
        <v>0</v>
      </c>
      <c r="J202" s="481">
        <f t="shared" si="132"/>
        <v>0</v>
      </c>
      <c r="K202" s="520" t="s">
        <v>1448</v>
      </c>
    </row>
    <row r="203" spans="1:11" s="514" customFormat="1" ht="22.5" customHeight="1" outlineLevel="1" x14ac:dyDescent="0.3">
      <c r="A203" s="443">
        <f t="shared" si="110"/>
        <v>191</v>
      </c>
      <c r="B203" s="507" t="s">
        <v>1589</v>
      </c>
      <c r="C203" s="508" t="s">
        <v>1385</v>
      </c>
      <c r="D203" s="509">
        <v>12</v>
      </c>
      <c r="E203" s="510">
        <f t="shared" si="133"/>
        <v>4143.75</v>
      </c>
      <c r="F203" s="511">
        <v>49725</v>
      </c>
      <c r="G203" s="769">
        <v>73333.33</v>
      </c>
      <c r="H203" s="768">
        <f t="shared" si="128"/>
        <v>879999.96</v>
      </c>
      <c r="I203" s="626">
        <f t="shared" si="134"/>
        <v>-69189.58</v>
      </c>
      <c r="J203" s="513">
        <f t="shared" si="132"/>
        <v>-830274.96</v>
      </c>
      <c r="K203" s="521"/>
    </row>
    <row r="204" spans="1:11" s="514" customFormat="1" ht="33.75" customHeight="1" outlineLevel="1" x14ac:dyDescent="0.3">
      <c r="A204" s="443">
        <f t="shared" si="110"/>
        <v>192</v>
      </c>
      <c r="B204" s="507" t="s">
        <v>1587</v>
      </c>
      <c r="C204" s="508" t="s">
        <v>40</v>
      </c>
      <c r="D204" s="509">
        <v>68</v>
      </c>
      <c r="E204" s="510">
        <f t="shared" si="133"/>
        <v>9718.0499999999993</v>
      </c>
      <c r="F204" s="511">
        <v>660827.4</v>
      </c>
      <c r="G204" s="769">
        <v>6833.33</v>
      </c>
      <c r="H204" s="768">
        <f t="shared" si="128"/>
        <v>464666.44</v>
      </c>
      <c r="I204" s="626">
        <f t="shared" si="134"/>
        <v>2884.7199999999993</v>
      </c>
      <c r="J204" s="513">
        <f>F204-H204</f>
        <v>196160.96000000002</v>
      </c>
      <c r="K204" s="521"/>
    </row>
    <row r="205" spans="1:11" s="514" customFormat="1" ht="22.5" customHeight="1" outlineLevel="1" x14ac:dyDescent="0.3">
      <c r="A205" s="443">
        <f t="shared" si="110"/>
        <v>193</v>
      </c>
      <c r="B205" s="507" t="s">
        <v>1588</v>
      </c>
      <c r="C205" s="508" t="s">
        <v>5</v>
      </c>
      <c r="D205" s="516">
        <v>80.86</v>
      </c>
      <c r="E205" s="510">
        <f t="shared" si="133"/>
        <v>9226.7199999999993</v>
      </c>
      <c r="F205" s="511">
        <v>746072.58</v>
      </c>
      <c r="G205" s="769">
        <v>9041.67</v>
      </c>
      <c r="H205" s="768">
        <f t="shared" si="128"/>
        <v>731109.4362</v>
      </c>
      <c r="I205" s="626">
        <f t="shared" si="134"/>
        <v>185.04999999999927</v>
      </c>
      <c r="J205" s="513">
        <f t="shared" ref="J205:J207" si="135">F205-H205</f>
        <v>14963.143799999962</v>
      </c>
      <c r="K205" s="521"/>
    </row>
    <row r="206" spans="1:11" ht="48" customHeight="1" outlineLevel="1" x14ac:dyDescent="0.3">
      <c r="A206" s="443">
        <f t="shared" si="110"/>
        <v>194</v>
      </c>
      <c r="B206" s="428" t="s">
        <v>1770</v>
      </c>
      <c r="C206" s="442" t="s">
        <v>1385</v>
      </c>
      <c r="D206" s="529">
        <v>1</v>
      </c>
      <c r="E206" s="480">
        <f t="shared" ref="E206:E209" si="136">ROUND(F206/D206,2)</f>
        <v>34282.370000000003</v>
      </c>
      <c r="F206" s="479">
        <f>1141102.07-1106819.7</f>
        <v>34282.370000000112</v>
      </c>
      <c r="G206" s="767">
        <v>34282.370000000003</v>
      </c>
      <c r="H206" s="768">
        <f t="shared" si="128"/>
        <v>34282.370000000003</v>
      </c>
      <c r="I206" s="625">
        <f t="shared" ref="I206:I209" si="137">E206-G206</f>
        <v>0</v>
      </c>
      <c r="J206" s="481">
        <f t="shared" si="135"/>
        <v>1.0913936421275139E-10</v>
      </c>
      <c r="K206" s="520" t="s">
        <v>1448</v>
      </c>
    </row>
    <row r="207" spans="1:11" s="514" customFormat="1" ht="22.5" customHeight="1" outlineLevel="1" x14ac:dyDescent="0.3">
      <c r="A207" s="443">
        <f t="shared" si="110"/>
        <v>195</v>
      </c>
      <c r="B207" s="507" t="s">
        <v>1442</v>
      </c>
      <c r="C207" s="508" t="s">
        <v>1385</v>
      </c>
      <c r="D207" s="509">
        <v>1028</v>
      </c>
      <c r="E207" s="510">
        <f t="shared" si="136"/>
        <v>6732</v>
      </c>
      <c r="F207" s="511">
        <v>6920496</v>
      </c>
      <c r="G207" s="769">
        <v>4291.67</v>
      </c>
      <c r="H207" s="768">
        <f t="shared" si="128"/>
        <v>4411836.76</v>
      </c>
      <c r="I207" s="626">
        <f t="shared" si="137"/>
        <v>2440.33</v>
      </c>
      <c r="J207" s="513">
        <f t="shared" si="135"/>
        <v>2508659.2400000002</v>
      </c>
      <c r="K207" s="521"/>
    </row>
    <row r="208" spans="1:11" s="514" customFormat="1" ht="22.5" customHeight="1" outlineLevel="1" x14ac:dyDescent="0.3">
      <c r="A208" s="443">
        <f t="shared" si="110"/>
        <v>196</v>
      </c>
      <c r="B208" s="507" t="s">
        <v>1483</v>
      </c>
      <c r="C208" s="508" t="s">
        <v>40</v>
      </c>
      <c r="D208" s="509">
        <v>514</v>
      </c>
      <c r="E208" s="510">
        <f t="shared" si="136"/>
        <v>20564.900000000001</v>
      </c>
      <c r="F208" s="511">
        <v>10570358.6</v>
      </c>
      <c r="G208" s="769">
        <v>21833.33</v>
      </c>
      <c r="H208" s="768">
        <f t="shared" si="128"/>
        <v>11222331.620000001</v>
      </c>
      <c r="I208" s="626">
        <f t="shared" si="137"/>
        <v>-1268.4300000000003</v>
      </c>
      <c r="J208" s="513">
        <f>F208-H208</f>
        <v>-651973.02000000142</v>
      </c>
      <c r="K208" s="521"/>
    </row>
    <row r="209" spans="1:11" s="514" customFormat="1" ht="22.5" customHeight="1" outlineLevel="1" x14ac:dyDescent="0.3">
      <c r="A209" s="443">
        <f t="shared" si="110"/>
        <v>197</v>
      </c>
      <c r="B209" s="507" t="s">
        <v>1584</v>
      </c>
      <c r="C209" s="508" t="s">
        <v>5</v>
      </c>
      <c r="D209" s="516">
        <v>611.72</v>
      </c>
      <c r="E209" s="510">
        <f t="shared" si="136"/>
        <v>9294.7099999999991</v>
      </c>
      <c r="F209" s="511">
        <v>5685760</v>
      </c>
      <c r="G209" s="769">
        <v>9083.33</v>
      </c>
      <c r="H209" s="768">
        <f t="shared" si="128"/>
        <v>5556454.6276000002</v>
      </c>
      <c r="I209" s="626">
        <f t="shared" si="137"/>
        <v>211.3799999999992</v>
      </c>
      <c r="J209" s="513">
        <f t="shared" ref="J209:J211" si="138">F209-H209</f>
        <v>129305.37239999976</v>
      </c>
      <c r="K209" s="521"/>
    </row>
    <row r="210" spans="1:11" ht="48" customHeight="1" outlineLevel="1" x14ac:dyDescent="0.3">
      <c r="A210" s="443">
        <f t="shared" si="110"/>
        <v>198</v>
      </c>
      <c r="B210" s="428" t="s">
        <v>1771</v>
      </c>
      <c r="C210" s="442" t="s">
        <v>1385</v>
      </c>
      <c r="D210" s="529">
        <v>1</v>
      </c>
      <c r="E210" s="480">
        <f t="shared" ref="E210:E213" si="139">ROUND(F210/D210,2)</f>
        <v>2878.34</v>
      </c>
      <c r="F210" s="479">
        <f>95806.92-92928.58</f>
        <v>2878.3399999999965</v>
      </c>
      <c r="G210" s="767">
        <v>2878.34</v>
      </c>
      <c r="H210" s="768">
        <f t="shared" si="128"/>
        <v>2878.34</v>
      </c>
      <c r="I210" s="625">
        <f t="shared" ref="I210:I213" si="140">E210-G210</f>
        <v>0</v>
      </c>
      <c r="J210" s="481">
        <f t="shared" si="138"/>
        <v>-3.637978807091713E-12</v>
      </c>
      <c r="K210" s="520" t="s">
        <v>1448</v>
      </c>
    </row>
    <row r="211" spans="1:11" s="514" customFormat="1" ht="22.5" customHeight="1" outlineLevel="1" x14ac:dyDescent="0.3">
      <c r="A211" s="443">
        <f t="shared" si="110"/>
        <v>199</v>
      </c>
      <c r="B211" s="507" t="s">
        <v>1442</v>
      </c>
      <c r="C211" s="508" t="s">
        <v>1385</v>
      </c>
      <c r="D211" s="509">
        <v>86</v>
      </c>
      <c r="E211" s="510">
        <f t="shared" si="139"/>
        <v>6732</v>
      </c>
      <c r="F211" s="511">
        <v>578952</v>
      </c>
      <c r="G211" s="769">
        <v>4291.67</v>
      </c>
      <c r="H211" s="768">
        <f t="shared" si="128"/>
        <v>369083.62</v>
      </c>
      <c r="I211" s="626">
        <f t="shared" si="140"/>
        <v>2440.33</v>
      </c>
      <c r="J211" s="513">
        <f t="shared" si="138"/>
        <v>209868.38</v>
      </c>
      <c r="K211" s="521"/>
    </row>
    <row r="212" spans="1:11" s="514" customFormat="1" ht="22.5" customHeight="1" outlineLevel="1" x14ac:dyDescent="0.3">
      <c r="A212" s="443">
        <f t="shared" si="110"/>
        <v>200</v>
      </c>
      <c r="B212" s="507" t="s">
        <v>1483</v>
      </c>
      <c r="C212" s="508" t="s">
        <v>40</v>
      </c>
      <c r="D212" s="509">
        <v>43</v>
      </c>
      <c r="E212" s="510">
        <f t="shared" si="139"/>
        <v>20564.900000000001</v>
      </c>
      <c r="F212" s="511">
        <v>884290.7</v>
      </c>
      <c r="G212" s="769">
        <v>21833.33</v>
      </c>
      <c r="H212" s="768">
        <f t="shared" si="128"/>
        <v>938833.19000000006</v>
      </c>
      <c r="I212" s="626">
        <f t="shared" si="140"/>
        <v>-1268.4300000000003</v>
      </c>
      <c r="J212" s="513">
        <f>F212-H212</f>
        <v>-54542.490000000107</v>
      </c>
      <c r="K212" s="521"/>
    </row>
    <row r="213" spans="1:11" s="514" customFormat="1" ht="22.5" customHeight="1" outlineLevel="1" x14ac:dyDescent="0.3">
      <c r="A213" s="443">
        <f t="shared" ref="A213:A271" si="141">A212+1</f>
        <v>201</v>
      </c>
      <c r="B213" s="507" t="s">
        <v>1584</v>
      </c>
      <c r="C213" s="508" t="s">
        <v>5</v>
      </c>
      <c r="D213" s="516">
        <v>51.36</v>
      </c>
      <c r="E213" s="510">
        <f t="shared" si="139"/>
        <v>9294.7099999999991</v>
      </c>
      <c r="F213" s="511">
        <v>477376.31</v>
      </c>
      <c r="G213" s="769">
        <v>9083.33</v>
      </c>
      <c r="H213" s="768">
        <f t="shared" si="128"/>
        <v>466519.82880000002</v>
      </c>
      <c r="I213" s="626">
        <f t="shared" si="140"/>
        <v>211.3799999999992</v>
      </c>
      <c r="J213" s="513">
        <f t="shared" ref="J213:J215" si="142">F213-H213</f>
        <v>10856.48119999998</v>
      </c>
      <c r="K213" s="521"/>
    </row>
    <row r="214" spans="1:11" ht="19.5" customHeight="1" outlineLevel="1" x14ac:dyDescent="0.3">
      <c r="A214" s="443">
        <f t="shared" si="141"/>
        <v>202</v>
      </c>
      <c r="B214" s="428" t="s">
        <v>1772</v>
      </c>
      <c r="C214" s="442" t="s">
        <v>1385</v>
      </c>
      <c r="D214" s="529">
        <v>1</v>
      </c>
      <c r="E214" s="480">
        <f t="shared" ref="E214:E220" si="143">ROUND(F214/D214,2)</f>
        <v>71662.289999999994</v>
      </c>
      <c r="F214" s="479">
        <f>993922.59-922260.3</f>
        <v>71662.289999999921</v>
      </c>
      <c r="G214" s="767">
        <v>71662.289999999994</v>
      </c>
      <c r="H214" s="768">
        <f t="shared" si="128"/>
        <v>71662.289999999994</v>
      </c>
      <c r="I214" s="625">
        <f t="shared" ref="I214:I216" si="144">E214-G214</f>
        <v>0</v>
      </c>
      <c r="J214" s="481">
        <f t="shared" si="142"/>
        <v>0</v>
      </c>
      <c r="K214" s="522" t="s">
        <v>1448</v>
      </c>
    </row>
    <row r="215" spans="1:11" s="514" customFormat="1" ht="22.5" customHeight="1" outlineLevel="1" x14ac:dyDescent="0.3">
      <c r="A215" s="443">
        <f t="shared" si="141"/>
        <v>203</v>
      </c>
      <c r="B215" s="507" t="s">
        <v>1442</v>
      </c>
      <c r="C215" s="508" t="s">
        <v>1385</v>
      </c>
      <c r="D215" s="509">
        <v>557</v>
      </c>
      <c r="E215" s="510">
        <f t="shared" si="143"/>
        <v>6732</v>
      </c>
      <c r="F215" s="511">
        <v>3749724</v>
      </c>
      <c r="G215" s="769">
        <v>4291.67</v>
      </c>
      <c r="H215" s="768">
        <f t="shared" si="128"/>
        <v>2390460.19</v>
      </c>
      <c r="I215" s="626">
        <f t="shared" si="144"/>
        <v>2440.33</v>
      </c>
      <c r="J215" s="513">
        <f t="shared" si="142"/>
        <v>1359263.81</v>
      </c>
      <c r="K215" s="521"/>
    </row>
    <row r="216" spans="1:11" s="514" customFormat="1" ht="22.5" customHeight="1" outlineLevel="1" x14ac:dyDescent="0.3">
      <c r="A216" s="443">
        <f t="shared" si="141"/>
        <v>204</v>
      </c>
      <c r="B216" s="507" t="s">
        <v>1584</v>
      </c>
      <c r="C216" s="508" t="s">
        <v>5</v>
      </c>
      <c r="D216" s="516">
        <v>339.14</v>
      </c>
      <c r="E216" s="510">
        <f t="shared" si="143"/>
        <v>9294.7099999999991</v>
      </c>
      <c r="F216" s="511">
        <v>3152207.95</v>
      </c>
      <c r="G216" s="769">
        <v>9083.33</v>
      </c>
      <c r="H216" s="768">
        <f t="shared" si="128"/>
        <v>3080520.5362</v>
      </c>
      <c r="I216" s="626">
        <f t="shared" si="144"/>
        <v>211.3799999999992</v>
      </c>
      <c r="J216" s="513">
        <f t="shared" ref="J216" si="145">F216-H216</f>
        <v>71687.413800000213</v>
      </c>
      <c r="K216" s="521"/>
    </row>
    <row r="217" spans="1:11" s="517" customFormat="1" ht="34.5" customHeight="1" outlineLevel="1" x14ac:dyDescent="0.3">
      <c r="A217" s="443">
        <f t="shared" si="141"/>
        <v>205</v>
      </c>
      <c r="B217" s="428" t="s">
        <v>1657</v>
      </c>
      <c r="C217" s="442" t="s">
        <v>1385</v>
      </c>
      <c r="D217" s="529">
        <v>2</v>
      </c>
      <c r="E217" s="480">
        <f t="shared" si="143"/>
        <v>9220.2800000000007</v>
      </c>
      <c r="F217" s="479">
        <f>(432307.62-413867.06)</f>
        <v>18440.559999999998</v>
      </c>
      <c r="G217" s="767">
        <v>9220.2800000000007</v>
      </c>
      <c r="H217" s="768">
        <f t="shared" si="128"/>
        <v>18440.560000000001</v>
      </c>
      <c r="I217" s="625">
        <f>E217-G217</f>
        <v>0</v>
      </c>
      <c r="J217" s="481">
        <f>F217-H217</f>
        <v>0</v>
      </c>
      <c r="K217" s="522" t="s">
        <v>1467</v>
      </c>
    </row>
    <row r="218" spans="1:11" s="514" customFormat="1" ht="33.75" customHeight="1" outlineLevel="1" x14ac:dyDescent="0.3">
      <c r="A218" s="443">
        <f t="shared" si="141"/>
        <v>206</v>
      </c>
      <c r="B218" s="507" t="s">
        <v>1656</v>
      </c>
      <c r="C218" s="508" t="s">
        <v>1391</v>
      </c>
      <c r="D218" s="509">
        <v>1</v>
      </c>
      <c r="E218" s="510">
        <f t="shared" si="143"/>
        <v>6178480</v>
      </c>
      <c r="F218" s="511">
        <f>6178480</f>
        <v>6178480</v>
      </c>
      <c r="G218" s="769">
        <v>4208333.33</v>
      </c>
      <c r="H218" s="768">
        <f t="shared" si="128"/>
        <v>4208333.33</v>
      </c>
      <c r="I218" s="626">
        <f t="shared" ref="I218:I220" si="146">E218-G218</f>
        <v>1970146.67</v>
      </c>
      <c r="J218" s="513">
        <f t="shared" ref="J218:J220" si="147">F218-H218</f>
        <v>1970146.67</v>
      </c>
      <c r="K218" s="521"/>
    </row>
    <row r="219" spans="1:11" s="514" customFormat="1" ht="33.75" customHeight="1" outlineLevel="1" x14ac:dyDescent="0.3">
      <c r="A219" s="443">
        <f t="shared" si="141"/>
        <v>207</v>
      </c>
      <c r="B219" s="507" t="s">
        <v>1434</v>
      </c>
      <c r="C219" s="508" t="s">
        <v>1391</v>
      </c>
      <c r="D219" s="509">
        <v>1</v>
      </c>
      <c r="E219" s="510">
        <f t="shared" ref="E219" si="148">ROUND(F219/D219,2)</f>
        <v>6282350</v>
      </c>
      <c r="F219" s="511">
        <f>6282350</f>
        <v>6282350</v>
      </c>
      <c r="G219" s="769">
        <v>4308333.33</v>
      </c>
      <c r="H219" s="768">
        <f t="shared" si="128"/>
        <v>4308333.33</v>
      </c>
      <c r="I219" s="626">
        <f t="shared" ref="I219" si="149">E219-G219</f>
        <v>1974016.67</v>
      </c>
      <c r="J219" s="513">
        <f t="shared" ref="J219" si="150">F219-H219</f>
        <v>1974016.67</v>
      </c>
      <c r="K219" s="521"/>
    </row>
    <row r="220" spans="1:11" s="514" customFormat="1" ht="26.25" customHeight="1" outlineLevel="1" x14ac:dyDescent="0.3">
      <c r="A220" s="443">
        <f t="shared" si="141"/>
        <v>208</v>
      </c>
      <c r="B220" s="507" t="s">
        <v>1438</v>
      </c>
      <c r="C220" s="508" t="s">
        <v>1385</v>
      </c>
      <c r="D220" s="509">
        <v>2</v>
      </c>
      <c r="E220" s="510">
        <f t="shared" si="143"/>
        <v>420489.9</v>
      </c>
      <c r="F220" s="511">
        <v>840979.8</v>
      </c>
      <c r="G220" s="769">
        <v>420489.9</v>
      </c>
      <c r="H220" s="768">
        <f t="shared" si="128"/>
        <v>840979.8</v>
      </c>
      <c r="I220" s="626">
        <f t="shared" si="146"/>
        <v>0</v>
      </c>
      <c r="J220" s="513">
        <f t="shared" si="147"/>
        <v>0</v>
      </c>
      <c r="K220" s="521"/>
    </row>
    <row r="221" spans="1:11" s="517" customFormat="1" ht="34.5" customHeight="1" outlineLevel="1" x14ac:dyDescent="0.3">
      <c r="A221" s="443">
        <f t="shared" si="141"/>
        <v>209</v>
      </c>
      <c r="B221" s="428" t="s">
        <v>1580</v>
      </c>
      <c r="C221" s="442" t="s">
        <v>1385</v>
      </c>
      <c r="D221" s="529">
        <v>1</v>
      </c>
      <c r="E221" s="480">
        <f t="shared" ref="E221:E223" si="151">ROUND(F221/D221,2)</f>
        <v>17425.349999999999</v>
      </c>
      <c r="F221" s="479">
        <f>428419.97-410994.62</f>
        <v>17425.349999999977</v>
      </c>
      <c r="G221" s="767">
        <v>17425.349999999999</v>
      </c>
      <c r="H221" s="768">
        <f t="shared" si="128"/>
        <v>17425.349999999999</v>
      </c>
      <c r="I221" s="625">
        <f>E221-G221</f>
        <v>0</v>
      </c>
      <c r="J221" s="481">
        <f>F221-H221</f>
        <v>0</v>
      </c>
      <c r="K221" s="522" t="s">
        <v>1467</v>
      </c>
    </row>
    <row r="222" spans="1:11" s="514" customFormat="1" ht="33.75" customHeight="1" outlineLevel="1" x14ac:dyDescent="0.3">
      <c r="A222" s="443">
        <f t="shared" si="141"/>
        <v>210</v>
      </c>
      <c r="B222" s="507" t="s">
        <v>1437</v>
      </c>
      <c r="C222" s="508" t="s">
        <v>1391</v>
      </c>
      <c r="D222" s="509">
        <v>1</v>
      </c>
      <c r="E222" s="510">
        <f t="shared" si="151"/>
        <v>9775072.25</v>
      </c>
      <c r="F222" s="511">
        <v>9775072.25</v>
      </c>
      <c r="G222" s="769">
        <v>7083333.3300000001</v>
      </c>
      <c r="H222" s="768">
        <f t="shared" si="128"/>
        <v>7083333.3300000001</v>
      </c>
      <c r="I222" s="626">
        <f t="shared" ref="I222:I223" si="152">E222-G222</f>
        <v>2691738.92</v>
      </c>
      <c r="J222" s="513">
        <f t="shared" ref="J222:J223" si="153">F222-H222</f>
        <v>2691738.92</v>
      </c>
      <c r="K222" s="521"/>
    </row>
    <row r="223" spans="1:11" s="514" customFormat="1" ht="26.25" customHeight="1" outlineLevel="1" x14ac:dyDescent="0.3">
      <c r="A223" s="443">
        <f t="shared" si="141"/>
        <v>211</v>
      </c>
      <c r="B223" s="507" t="s">
        <v>1438</v>
      </c>
      <c r="C223" s="508" t="s">
        <v>1385</v>
      </c>
      <c r="D223" s="509">
        <v>1</v>
      </c>
      <c r="E223" s="510">
        <f t="shared" si="151"/>
        <v>721876.89</v>
      </c>
      <c r="F223" s="511">
        <v>721876.89</v>
      </c>
      <c r="G223" s="769">
        <v>721876.89</v>
      </c>
      <c r="H223" s="768">
        <f t="shared" si="128"/>
        <v>721876.89</v>
      </c>
      <c r="I223" s="626">
        <f t="shared" si="152"/>
        <v>0</v>
      </c>
      <c r="J223" s="513">
        <f t="shared" si="153"/>
        <v>0</v>
      </c>
      <c r="K223" s="521"/>
    </row>
    <row r="224" spans="1:11" s="517" customFormat="1" ht="34.5" customHeight="1" outlineLevel="1" x14ac:dyDescent="0.3">
      <c r="A224" s="443">
        <f t="shared" si="141"/>
        <v>212</v>
      </c>
      <c r="B224" s="428" t="s">
        <v>1680</v>
      </c>
      <c r="C224" s="442" t="s">
        <v>1385</v>
      </c>
      <c r="D224" s="529">
        <v>1</v>
      </c>
      <c r="E224" s="480">
        <f t="shared" ref="E224:E226" si="154">ROUND(F224/D224,2)</f>
        <v>21497.53</v>
      </c>
      <c r="F224" s="479">
        <f>477861.51-456363.98</f>
        <v>21497.530000000028</v>
      </c>
      <c r="G224" s="767">
        <v>21497.53</v>
      </c>
      <c r="H224" s="768">
        <f t="shared" si="128"/>
        <v>21497.53</v>
      </c>
      <c r="I224" s="625">
        <f>E224-G224</f>
        <v>0</v>
      </c>
      <c r="J224" s="481">
        <f>F224-H224</f>
        <v>2.9103830456733704E-11</v>
      </c>
      <c r="K224" s="522" t="s">
        <v>1467</v>
      </c>
    </row>
    <row r="225" spans="1:11" s="514" customFormat="1" ht="33.75" customHeight="1" outlineLevel="1" x14ac:dyDescent="0.3">
      <c r="A225" s="443">
        <f t="shared" si="141"/>
        <v>213</v>
      </c>
      <c r="B225" s="507" t="s">
        <v>1682</v>
      </c>
      <c r="C225" s="508" t="s">
        <v>1391</v>
      </c>
      <c r="D225" s="509">
        <v>1</v>
      </c>
      <c r="E225" s="541">
        <f t="shared" si="154"/>
        <v>10870650</v>
      </c>
      <c r="F225" s="511">
        <v>10870650</v>
      </c>
      <c r="G225" s="769">
        <v>7504166.6699999999</v>
      </c>
      <c r="H225" s="768">
        <f t="shared" si="128"/>
        <v>7504166.6699999999</v>
      </c>
      <c r="I225" s="626">
        <f t="shared" ref="I225:I226" si="155">E225-G225</f>
        <v>3366483.33</v>
      </c>
      <c r="J225" s="513">
        <f t="shared" ref="J225:J226" si="156">F225-H225</f>
        <v>3366483.33</v>
      </c>
      <c r="K225" s="521"/>
    </row>
    <row r="226" spans="1:11" s="514" customFormat="1" ht="26.25" customHeight="1" outlineLevel="1" x14ac:dyDescent="0.3">
      <c r="A226" s="443">
        <f t="shared" si="141"/>
        <v>214</v>
      </c>
      <c r="B226" s="507" t="s">
        <v>1683</v>
      </c>
      <c r="C226" s="508" t="s">
        <v>1385</v>
      </c>
      <c r="D226" s="509">
        <v>1</v>
      </c>
      <c r="E226" s="510">
        <f t="shared" si="154"/>
        <v>859711</v>
      </c>
      <c r="F226" s="511">
        <v>859711</v>
      </c>
      <c r="G226" s="769">
        <v>859711</v>
      </c>
      <c r="H226" s="768">
        <f t="shared" si="128"/>
        <v>859711</v>
      </c>
      <c r="I226" s="626">
        <f t="shared" si="155"/>
        <v>0</v>
      </c>
      <c r="J226" s="513">
        <f t="shared" si="156"/>
        <v>0</v>
      </c>
      <c r="K226" s="521"/>
    </row>
    <row r="227" spans="1:11" s="514" customFormat="1" ht="26.25" customHeight="1" outlineLevel="1" x14ac:dyDescent="0.3">
      <c r="A227" s="443">
        <f t="shared" si="141"/>
        <v>215</v>
      </c>
      <c r="B227" s="507" t="s">
        <v>1586</v>
      </c>
      <c r="C227" s="508" t="s">
        <v>1385</v>
      </c>
      <c r="D227" s="509">
        <v>80</v>
      </c>
      <c r="E227" s="510">
        <f t="shared" ref="E227" si="157">ROUND(F227/D227,2)</f>
        <v>1652.4</v>
      </c>
      <c r="F227" s="511">
        <v>132192</v>
      </c>
      <c r="G227" s="769">
        <v>16666.669999999998</v>
      </c>
      <c r="H227" s="768">
        <f t="shared" si="128"/>
        <v>1333333.5999999999</v>
      </c>
      <c r="I227" s="626">
        <f t="shared" ref="I227:I228" si="158">E227-G227</f>
        <v>-15014.269999999999</v>
      </c>
      <c r="J227" s="513">
        <f t="shared" ref="J227:J228" si="159">F227-H227</f>
        <v>-1201141.5999999999</v>
      </c>
      <c r="K227" s="521"/>
    </row>
    <row r="228" spans="1:11" ht="46.5" customHeight="1" outlineLevel="1" x14ac:dyDescent="0.3">
      <c r="A228" s="443">
        <f t="shared" si="141"/>
        <v>216</v>
      </c>
      <c r="B228" s="428" t="s">
        <v>1592</v>
      </c>
      <c r="C228" s="443" t="s">
        <v>28</v>
      </c>
      <c r="D228" s="536">
        <f>(120*10.2+17*12+12*12.5+244.8)/1000</f>
        <v>1.8228</v>
      </c>
      <c r="E228" s="480">
        <f t="shared" ref="E228" si="160">F228/11</f>
        <v>205329.21636363634</v>
      </c>
      <c r="F228" s="479">
        <f>303330.32+185864.17+252775.27+1516651.62</f>
        <v>2258621.38</v>
      </c>
      <c r="G228" s="767">
        <v>205329.21636363634</v>
      </c>
      <c r="H228" s="768">
        <f t="shared" si="128"/>
        <v>374274.09558763634</v>
      </c>
      <c r="I228" s="625">
        <f t="shared" si="158"/>
        <v>0</v>
      </c>
      <c r="J228" s="481">
        <f t="shared" si="159"/>
        <v>1884347.2844123635</v>
      </c>
      <c r="K228" s="519" t="s">
        <v>1401</v>
      </c>
    </row>
    <row r="229" spans="1:11" s="525" customFormat="1" ht="23.25" customHeight="1" outlineLevel="1" x14ac:dyDescent="0.3">
      <c r="A229" s="443">
        <f t="shared" si="141"/>
        <v>217</v>
      </c>
      <c r="B229" s="428" t="s">
        <v>1473</v>
      </c>
      <c r="C229" s="443" t="s">
        <v>16</v>
      </c>
      <c r="D229" s="580">
        <f>3.6+0.51+0.36+0.72</f>
        <v>5.19</v>
      </c>
      <c r="E229" s="480">
        <f>76.87*8.61</f>
        <v>661.85069999999996</v>
      </c>
      <c r="F229" s="892">
        <f>(665509.26-427425.58)+(94280.49-60551.97)+(66550.92-42742.55)+(133101.87-85485.13)</f>
        <v>343237.31</v>
      </c>
      <c r="G229" s="770">
        <f>76.87*8.61</f>
        <v>661.85069999999996</v>
      </c>
      <c r="H229" s="768">
        <f t="shared" si="128"/>
        <v>3435.0051330000001</v>
      </c>
      <c r="I229" s="896">
        <f>(E229+E230+E231+E232+E233+E234+E235)-(G229+G230+G231+G232+G233+G234+G235)</f>
        <v>0</v>
      </c>
      <c r="J229" s="850">
        <v>0</v>
      </c>
      <c r="K229" s="522" t="s">
        <v>1476</v>
      </c>
    </row>
    <row r="230" spans="1:11" s="525" customFormat="1" ht="23.25" customHeight="1" outlineLevel="1" x14ac:dyDescent="0.3">
      <c r="A230" s="443">
        <f t="shared" si="141"/>
        <v>218</v>
      </c>
      <c r="B230" s="428" t="s">
        <v>1474</v>
      </c>
      <c r="C230" s="443" t="s">
        <v>364</v>
      </c>
      <c r="D230" s="526">
        <f>120+17+12+24</f>
        <v>173</v>
      </c>
      <c r="E230" s="480">
        <f>44.84*8.61</f>
        <v>386.07240000000002</v>
      </c>
      <c r="F230" s="893"/>
      <c r="G230" s="770">
        <f>44.84*8.61</f>
        <v>386.07240000000002</v>
      </c>
      <c r="H230" s="768">
        <f t="shared" si="128"/>
        <v>66790.525200000004</v>
      </c>
      <c r="I230" s="897"/>
      <c r="J230" s="891"/>
      <c r="K230" s="522" t="s">
        <v>1476</v>
      </c>
    </row>
    <row r="231" spans="1:11" s="525" customFormat="1" ht="23.25" customHeight="1" outlineLevel="1" x14ac:dyDescent="0.3">
      <c r="A231" s="443">
        <f t="shared" si="141"/>
        <v>219</v>
      </c>
      <c r="B231" s="428" t="s">
        <v>1399</v>
      </c>
      <c r="C231" s="443" t="s">
        <v>364</v>
      </c>
      <c r="D231" s="526">
        <f>120+17+12+24</f>
        <v>173</v>
      </c>
      <c r="E231" s="480">
        <f>11.9*8.61</f>
        <v>102.459</v>
      </c>
      <c r="F231" s="893"/>
      <c r="G231" s="770">
        <f>11.9*8.61</f>
        <v>102.459</v>
      </c>
      <c r="H231" s="768">
        <f t="shared" si="128"/>
        <v>17725.406999999999</v>
      </c>
      <c r="I231" s="897"/>
      <c r="J231" s="891"/>
      <c r="K231" s="522" t="s">
        <v>1476</v>
      </c>
    </row>
    <row r="232" spans="1:11" s="525" customFormat="1" ht="23.25" customHeight="1" outlineLevel="1" x14ac:dyDescent="0.3">
      <c r="A232" s="443">
        <f t="shared" si="141"/>
        <v>220</v>
      </c>
      <c r="B232" s="428" t="s">
        <v>1397</v>
      </c>
      <c r="C232" s="443" t="s">
        <v>16</v>
      </c>
      <c r="D232" s="526">
        <f>360+51+36+72</f>
        <v>519</v>
      </c>
      <c r="E232" s="480">
        <f>4.8*8.61</f>
        <v>41.327999999999996</v>
      </c>
      <c r="F232" s="893"/>
      <c r="G232" s="770">
        <f>4.8*8.61</f>
        <v>41.327999999999996</v>
      </c>
      <c r="H232" s="768">
        <f t="shared" si="128"/>
        <v>21449.231999999996</v>
      </c>
      <c r="I232" s="897"/>
      <c r="J232" s="891"/>
      <c r="K232" s="522" t="s">
        <v>1476</v>
      </c>
    </row>
    <row r="233" spans="1:11" s="525" customFormat="1" ht="23.25" customHeight="1" outlineLevel="1" x14ac:dyDescent="0.3">
      <c r="A233" s="443">
        <f t="shared" si="141"/>
        <v>221</v>
      </c>
      <c r="B233" s="428" t="s">
        <v>1396</v>
      </c>
      <c r="C233" s="443" t="s">
        <v>364</v>
      </c>
      <c r="D233" s="580">
        <f>1.2+0.17+0.12+0.24</f>
        <v>1.7299999999999998</v>
      </c>
      <c r="E233" s="480">
        <f>1482*8.61</f>
        <v>12760.019999999999</v>
      </c>
      <c r="F233" s="893"/>
      <c r="G233" s="770">
        <f>1482*8.61</f>
        <v>12760.019999999999</v>
      </c>
      <c r="H233" s="768">
        <f t="shared" si="128"/>
        <v>22074.834599999995</v>
      </c>
      <c r="I233" s="897"/>
      <c r="J233" s="891"/>
      <c r="K233" s="522" t="s">
        <v>1476</v>
      </c>
    </row>
    <row r="234" spans="1:11" s="525" customFormat="1" ht="23.25" customHeight="1" outlineLevel="1" x14ac:dyDescent="0.3">
      <c r="A234" s="443">
        <f t="shared" si="141"/>
        <v>222</v>
      </c>
      <c r="B234" s="428" t="s">
        <v>1475</v>
      </c>
      <c r="C234" s="443" t="s">
        <v>364</v>
      </c>
      <c r="D234" s="580">
        <f>4.8+0.68+0.48+0.96</f>
        <v>6.919999999999999</v>
      </c>
      <c r="E234" s="480">
        <f>529.18*8.61</f>
        <v>4556.2397999999994</v>
      </c>
      <c r="F234" s="893"/>
      <c r="G234" s="770">
        <f>529.18*8.61</f>
        <v>4556.2397999999994</v>
      </c>
      <c r="H234" s="768">
        <f t="shared" si="128"/>
        <v>31529.179415999992</v>
      </c>
      <c r="I234" s="897"/>
      <c r="J234" s="891"/>
      <c r="K234" s="522" t="s">
        <v>1476</v>
      </c>
    </row>
    <row r="235" spans="1:11" s="525" customFormat="1" ht="31.5" customHeight="1" outlineLevel="1" x14ac:dyDescent="0.3">
      <c r="A235" s="443">
        <f t="shared" si="141"/>
        <v>223</v>
      </c>
      <c r="B235" s="428" t="s">
        <v>1400</v>
      </c>
      <c r="C235" s="443" t="s">
        <v>1398</v>
      </c>
      <c r="D235" s="526">
        <f>120+17+12+24</f>
        <v>173</v>
      </c>
      <c r="E235" s="480">
        <f>121*8.61</f>
        <v>1041.81</v>
      </c>
      <c r="F235" s="894"/>
      <c r="G235" s="770">
        <f>121*8.61</f>
        <v>1041.81</v>
      </c>
      <c r="H235" s="768">
        <f t="shared" si="128"/>
        <v>180233.13</v>
      </c>
      <c r="I235" s="898"/>
      <c r="J235" s="851"/>
      <c r="K235" s="522" t="s">
        <v>1476</v>
      </c>
    </row>
    <row r="236" spans="1:11" s="514" customFormat="1" ht="30" customHeight="1" outlineLevel="1" x14ac:dyDescent="0.3">
      <c r="A236" s="443">
        <f t="shared" si="141"/>
        <v>224</v>
      </c>
      <c r="B236" s="507" t="s">
        <v>1688</v>
      </c>
      <c r="C236" s="508" t="s">
        <v>1391</v>
      </c>
      <c r="D236" s="509">
        <v>6</v>
      </c>
      <c r="E236" s="510">
        <f t="shared" ref="E236:E237" si="161">ROUND(F236/D236,2)</f>
        <v>1293275</v>
      </c>
      <c r="F236" s="511">
        <v>7759650</v>
      </c>
      <c r="G236" s="769">
        <v>763333.33</v>
      </c>
      <c r="H236" s="768">
        <f t="shared" si="128"/>
        <v>4579999.9799999995</v>
      </c>
      <c r="I236" s="626">
        <f t="shared" ref="I236:I262" si="162">E236-G236</f>
        <v>529941.67000000004</v>
      </c>
      <c r="J236" s="513">
        <f t="shared" ref="J236:J262" si="163">F236-H236</f>
        <v>3179650.0200000005</v>
      </c>
      <c r="K236" s="523"/>
    </row>
    <row r="237" spans="1:11" s="514" customFormat="1" ht="24" customHeight="1" outlineLevel="1" x14ac:dyDescent="0.3">
      <c r="A237" s="443">
        <f t="shared" si="141"/>
        <v>225</v>
      </c>
      <c r="B237" s="507" t="s">
        <v>1483</v>
      </c>
      <c r="C237" s="508" t="s">
        <v>40</v>
      </c>
      <c r="D237" s="509">
        <v>42</v>
      </c>
      <c r="E237" s="510">
        <f t="shared" si="161"/>
        <v>20564.900000000001</v>
      </c>
      <c r="F237" s="511">
        <v>863725.8</v>
      </c>
      <c r="G237" s="769">
        <v>21833.33</v>
      </c>
      <c r="H237" s="768">
        <f t="shared" si="128"/>
        <v>916999.8600000001</v>
      </c>
      <c r="I237" s="626">
        <f t="shared" si="162"/>
        <v>-1268.4300000000003</v>
      </c>
      <c r="J237" s="513">
        <f t="shared" si="163"/>
        <v>-53274.060000000056</v>
      </c>
      <c r="K237" s="523"/>
    </row>
    <row r="238" spans="1:11" s="525" customFormat="1" ht="21.75" customHeight="1" outlineLevel="1" x14ac:dyDescent="0.3">
      <c r="A238" s="443">
        <f t="shared" si="141"/>
        <v>226</v>
      </c>
      <c r="B238" s="428" t="s">
        <v>1487</v>
      </c>
      <c r="C238" s="442" t="s">
        <v>28</v>
      </c>
      <c r="D238" s="529">
        <v>0.06</v>
      </c>
      <c r="E238" s="480">
        <f>9249.85*8.61</f>
        <v>79641.208499999993</v>
      </c>
      <c r="F238" s="479">
        <f>E238*D238</f>
        <v>4778.4725099999996</v>
      </c>
      <c r="G238" s="767">
        <v>79641.208499999993</v>
      </c>
      <c r="H238" s="768">
        <f t="shared" si="128"/>
        <v>4778.4725099999996</v>
      </c>
      <c r="I238" s="625">
        <f t="shared" si="162"/>
        <v>0</v>
      </c>
      <c r="J238" s="481">
        <f t="shared" si="163"/>
        <v>0</v>
      </c>
      <c r="K238" s="522" t="s">
        <v>1486</v>
      </c>
    </row>
    <row r="239" spans="1:11" s="525" customFormat="1" ht="24.75" customHeight="1" outlineLevel="1" x14ac:dyDescent="0.3">
      <c r="A239" s="443">
        <f t="shared" si="141"/>
        <v>227</v>
      </c>
      <c r="B239" s="428" t="s">
        <v>1488</v>
      </c>
      <c r="C239" s="442" t="s">
        <v>28</v>
      </c>
      <c r="D239" s="529">
        <v>0.12</v>
      </c>
      <c r="E239" s="480">
        <f>11856*8.61</f>
        <v>102080.15999999999</v>
      </c>
      <c r="F239" s="479">
        <f>E239*D239</f>
        <v>12249.619199999997</v>
      </c>
      <c r="G239" s="767">
        <v>102080.15999999999</v>
      </c>
      <c r="H239" s="768">
        <f t="shared" si="128"/>
        <v>12249.619199999997</v>
      </c>
      <c r="I239" s="625">
        <f t="shared" si="162"/>
        <v>0</v>
      </c>
      <c r="J239" s="481">
        <f t="shared" si="163"/>
        <v>0</v>
      </c>
      <c r="K239" s="522" t="s">
        <v>1486</v>
      </c>
    </row>
    <row r="240" spans="1:11" ht="23.25" customHeight="1" outlineLevel="1" x14ac:dyDescent="0.3">
      <c r="A240" s="443">
        <f t="shared" si="141"/>
        <v>228</v>
      </c>
      <c r="B240" s="507" t="s">
        <v>1484</v>
      </c>
      <c r="C240" s="508" t="s">
        <v>40</v>
      </c>
      <c r="D240" s="509">
        <v>60</v>
      </c>
      <c r="E240" s="510">
        <f t="shared" ref="E240:E241" si="164">F240/11</f>
        <v>422.36272727272723</v>
      </c>
      <c r="F240" s="511">
        <v>4645.99</v>
      </c>
      <c r="G240" s="769">
        <v>422.36272727272723</v>
      </c>
      <c r="H240" s="768">
        <f t="shared" si="128"/>
        <v>25341.763636363634</v>
      </c>
      <c r="I240" s="626">
        <f t="shared" si="162"/>
        <v>0</v>
      </c>
      <c r="J240" s="513">
        <f t="shared" si="163"/>
        <v>-20695.773636363636</v>
      </c>
      <c r="K240" s="523" t="s">
        <v>1440</v>
      </c>
    </row>
    <row r="241" spans="1:11" ht="23.25" customHeight="1" outlineLevel="1" x14ac:dyDescent="0.3">
      <c r="A241" s="443">
        <f t="shared" si="141"/>
        <v>229</v>
      </c>
      <c r="B241" s="507" t="s">
        <v>1485</v>
      </c>
      <c r="C241" s="508" t="s">
        <v>40</v>
      </c>
      <c r="D241" s="509">
        <v>24</v>
      </c>
      <c r="E241" s="510">
        <f t="shared" si="164"/>
        <v>3387.0172727272729</v>
      </c>
      <c r="F241" s="511">
        <v>37257.19</v>
      </c>
      <c r="G241" s="769">
        <v>3387.0172727272729</v>
      </c>
      <c r="H241" s="768">
        <f t="shared" si="128"/>
        <v>81288.414545454551</v>
      </c>
      <c r="I241" s="626">
        <f t="shared" si="162"/>
        <v>0</v>
      </c>
      <c r="J241" s="513">
        <f t="shared" si="163"/>
        <v>-44031.224545454548</v>
      </c>
      <c r="K241" s="523" t="s">
        <v>1440</v>
      </c>
    </row>
    <row r="242" spans="1:11" s="514" customFormat="1" ht="21.75" customHeight="1" outlineLevel="1" x14ac:dyDescent="0.3">
      <c r="A242" s="443">
        <f t="shared" si="141"/>
        <v>230</v>
      </c>
      <c r="B242" s="507" t="s">
        <v>1516</v>
      </c>
      <c r="C242" s="508" t="s">
        <v>40</v>
      </c>
      <c r="D242" s="509">
        <v>10</v>
      </c>
      <c r="E242" s="510">
        <f t="shared" ref="E242:E262" si="165">ROUND(F242/D242,2)</f>
        <v>4624</v>
      </c>
      <c r="F242" s="511">
        <v>46240</v>
      </c>
      <c r="G242" s="769">
        <v>4624</v>
      </c>
      <c r="H242" s="768">
        <f t="shared" si="128"/>
        <v>46240</v>
      </c>
      <c r="I242" s="626">
        <f t="shared" si="162"/>
        <v>0</v>
      </c>
      <c r="J242" s="513">
        <f t="shared" si="163"/>
        <v>0</v>
      </c>
      <c r="K242" s="521"/>
    </row>
    <row r="243" spans="1:11" s="514" customFormat="1" ht="21.75" customHeight="1" outlineLevel="1" x14ac:dyDescent="0.3">
      <c r="A243" s="443">
        <f t="shared" si="141"/>
        <v>231</v>
      </c>
      <c r="B243" s="507" t="s">
        <v>1517</v>
      </c>
      <c r="C243" s="508" t="s">
        <v>40</v>
      </c>
      <c r="D243" s="509">
        <v>3</v>
      </c>
      <c r="E243" s="510">
        <f t="shared" ref="E243:E244" si="166">ROUND(F243/D243,2)</f>
        <v>5737.5</v>
      </c>
      <c r="F243" s="511">
        <v>17212.5</v>
      </c>
      <c r="G243" s="769">
        <v>5737.5</v>
      </c>
      <c r="H243" s="768">
        <f t="shared" si="128"/>
        <v>17212.5</v>
      </c>
      <c r="I243" s="626">
        <f t="shared" ref="I243:I244" si="167">E243-G243</f>
        <v>0</v>
      </c>
      <c r="J243" s="513">
        <f t="shared" ref="J243:J244" si="168">F243-H243</f>
        <v>0</v>
      </c>
      <c r="K243" s="521"/>
    </row>
    <row r="244" spans="1:11" ht="23.25" customHeight="1" outlineLevel="1" x14ac:dyDescent="0.3">
      <c r="A244" s="443">
        <f t="shared" si="141"/>
        <v>232</v>
      </c>
      <c r="B244" s="428" t="s">
        <v>1695</v>
      </c>
      <c r="C244" s="442" t="s">
        <v>17</v>
      </c>
      <c r="D244" s="529">
        <f>35.78*1.26+125.84*1.26+6.16*1.26</f>
        <v>211.40279999999998</v>
      </c>
      <c r="E244" s="480">
        <f t="shared" si="166"/>
        <v>1182.67</v>
      </c>
      <c r="F244" s="479">
        <f>53318.06+187522.2+9179.41</f>
        <v>250019.67</v>
      </c>
      <c r="G244" s="767">
        <v>5000</v>
      </c>
      <c r="H244" s="768">
        <f t="shared" si="128"/>
        <v>1057014</v>
      </c>
      <c r="I244" s="625">
        <f t="shared" si="167"/>
        <v>-3817.33</v>
      </c>
      <c r="J244" s="481">
        <f t="shared" si="168"/>
        <v>-806994.33</v>
      </c>
    </row>
    <row r="245" spans="1:11" s="514" customFormat="1" ht="30" customHeight="1" outlineLevel="1" x14ac:dyDescent="0.3">
      <c r="A245" s="443">
        <f t="shared" si="141"/>
        <v>233</v>
      </c>
      <c r="B245" s="507" t="s">
        <v>1689</v>
      </c>
      <c r="C245" s="508" t="s">
        <v>40</v>
      </c>
      <c r="D245" s="509">
        <v>300</v>
      </c>
      <c r="E245" s="510">
        <f t="shared" si="165"/>
        <v>41446.5</v>
      </c>
      <c r="F245" s="511">
        <v>12433950.449999999</v>
      </c>
      <c r="G245" s="769">
        <v>32175.27</v>
      </c>
      <c r="H245" s="768">
        <f t="shared" si="128"/>
        <v>9652581</v>
      </c>
      <c r="I245" s="626">
        <f t="shared" si="162"/>
        <v>9271.23</v>
      </c>
      <c r="J245" s="513">
        <f t="shared" si="163"/>
        <v>2781369.4499999993</v>
      </c>
      <c r="K245" s="521"/>
    </row>
    <row r="246" spans="1:11" s="514" customFormat="1" ht="32.25" customHeight="1" outlineLevel="1" x14ac:dyDescent="0.3">
      <c r="A246" s="443">
        <f t="shared" si="141"/>
        <v>234</v>
      </c>
      <c r="B246" s="507" t="s">
        <v>1690</v>
      </c>
      <c r="C246" s="508" t="s">
        <v>40</v>
      </c>
      <c r="D246" s="509">
        <v>284</v>
      </c>
      <c r="E246" s="510">
        <f t="shared" si="165"/>
        <v>22287</v>
      </c>
      <c r="F246" s="511">
        <v>6329508</v>
      </c>
      <c r="G246" s="769">
        <v>16549</v>
      </c>
      <c r="H246" s="768">
        <f t="shared" si="128"/>
        <v>4699916</v>
      </c>
      <c r="I246" s="626">
        <f t="shared" si="162"/>
        <v>5738</v>
      </c>
      <c r="J246" s="513">
        <f t="shared" si="163"/>
        <v>1629592</v>
      </c>
      <c r="K246" s="521"/>
    </row>
    <row r="247" spans="1:11" s="514" customFormat="1" ht="32.25" customHeight="1" outlineLevel="1" x14ac:dyDescent="0.3">
      <c r="A247" s="443">
        <f t="shared" si="141"/>
        <v>235</v>
      </c>
      <c r="B247" s="507" t="s">
        <v>1691</v>
      </c>
      <c r="C247" s="508" t="s">
        <v>40</v>
      </c>
      <c r="D247" s="509">
        <v>146</v>
      </c>
      <c r="E247" s="510">
        <f t="shared" si="165"/>
        <v>49254.1</v>
      </c>
      <c r="F247" s="511">
        <v>7191098.0999999996</v>
      </c>
      <c r="G247" s="769">
        <v>34759.769999999997</v>
      </c>
      <c r="H247" s="768">
        <f t="shared" si="128"/>
        <v>5074926.42</v>
      </c>
      <c r="I247" s="626">
        <f t="shared" si="162"/>
        <v>14494.330000000002</v>
      </c>
      <c r="J247" s="513">
        <f t="shared" si="163"/>
        <v>2116171.6799999997</v>
      </c>
      <c r="K247" s="521"/>
    </row>
    <row r="248" spans="1:11" s="514" customFormat="1" ht="25.5" customHeight="1" outlineLevel="1" x14ac:dyDescent="0.3">
      <c r="A248" s="443">
        <f t="shared" si="141"/>
        <v>236</v>
      </c>
      <c r="B248" s="507" t="s">
        <v>1632</v>
      </c>
      <c r="C248" s="508" t="s">
        <v>40</v>
      </c>
      <c r="D248" s="509">
        <v>600</v>
      </c>
      <c r="E248" s="510">
        <f t="shared" si="165"/>
        <v>161.5</v>
      </c>
      <c r="F248" s="511">
        <v>96900</v>
      </c>
      <c r="G248" s="769">
        <v>83.33</v>
      </c>
      <c r="H248" s="768">
        <f t="shared" si="128"/>
        <v>49998</v>
      </c>
      <c r="I248" s="626">
        <f t="shared" si="162"/>
        <v>78.17</v>
      </c>
      <c r="J248" s="513">
        <f t="shared" si="163"/>
        <v>46902</v>
      </c>
      <c r="K248" s="521"/>
    </row>
    <row r="249" spans="1:11" s="514" customFormat="1" ht="25.5" customHeight="1" outlineLevel="1" x14ac:dyDescent="0.3">
      <c r="A249" s="443">
        <f t="shared" si="141"/>
        <v>237</v>
      </c>
      <c r="B249" s="507" t="s">
        <v>1409</v>
      </c>
      <c r="C249" s="508" t="s">
        <v>40</v>
      </c>
      <c r="D249" s="509">
        <v>568</v>
      </c>
      <c r="E249" s="510">
        <f t="shared" si="165"/>
        <v>161.5</v>
      </c>
      <c r="F249" s="511">
        <v>91732</v>
      </c>
      <c r="G249" s="769">
        <v>83.33</v>
      </c>
      <c r="H249" s="768">
        <f t="shared" si="128"/>
        <v>47331.44</v>
      </c>
      <c r="I249" s="626">
        <f t="shared" si="162"/>
        <v>78.17</v>
      </c>
      <c r="J249" s="513">
        <f t="shared" si="163"/>
        <v>44400.56</v>
      </c>
      <c r="K249" s="521"/>
    </row>
    <row r="250" spans="1:11" s="514" customFormat="1" ht="25.5" customHeight="1" outlineLevel="1" x14ac:dyDescent="0.3">
      <c r="A250" s="443">
        <f t="shared" si="141"/>
        <v>238</v>
      </c>
      <c r="B250" s="507" t="s">
        <v>1408</v>
      </c>
      <c r="C250" s="508" t="s">
        <v>40</v>
      </c>
      <c r="D250" s="509">
        <v>292</v>
      </c>
      <c r="E250" s="510">
        <f t="shared" si="165"/>
        <v>161.5</v>
      </c>
      <c r="F250" s="511">
        <v>47158</v>
      </c>
      <c r="G250" s="769">
        <v>83.33</v>
      </c>
      <c r="H250" s="768">
        <f t="shared" si="128"/>
        <v>24332.36</v>
      </c>
      <c r="I250" s="626">
        <f t="shared" si="162"/>
        <v>78.17</v>
      </c>
      <c r="J250" s="513">
        <f t="shared" si="163"/>
        <v>22825.64</v>
      </c>
      <c r="K250" s="521"/>
    </row>
    <row r="251" spans="1:11" s="514" customFormat="1" ht="25.5" customHeight="1" outlineLevel="1" x14ac:dyDescent="0.3">
      <c r="A251" s="443">
        <f t="shared" si="141"/>
        <v>239</v>
      </c>
      <c r="B251" s="507" t="s">
        <v>1403</v>
      </c>
      <c r="C251" s="508" t="s">
        <v>40</v>
      </c>
      <c r="D251" s="509">
        <v>3000</v>
      </c>
      <c r="E251" s="510">
        <f t="shared" si="165"/>
        <v>997.05</v>
      </c>
      <c r="F251" s="511">
        <v>2991150</v>
      </c>
      <c r="G251" s="769">
        <v>333.33</v>
      </c>
      <c r="H251" s="768">
        <f t="shared" si="128"/>
        <v>999990</v>
      </c>
      <c r="I251" s="626">
        <f t="shared" si="162"/>
        <v>663.72</v>
      </c>
      <c r="J251" s="513">
        <f t="shared" si="163"/>
        <v>1991160</v>
      </c>
      <c r="K251" s="521"/>
    </row>
    <row r="252" spans="1:11" s="514" customFormat="1" ht="25.5" customHeight="1" outlineLevel="1" x14ac:dyDescent="0.3">
      <c r="A252" s="443">
        <f t="shared" si="141"/>
        <v>240</v>
      </c>
      <c r="B252" s="507" t="s">
        <v>1404</v>
      </c>
      <c r="C252" s="508" t="s">
        <v>40</v>
      </c>
      <c r="D252" s="509">
        <v>1460</v>
      </c>
      <c r="E252" s="510">
        <f t="shared" si="165"/>
        <v>997.05</v>
      </c>
      <c r="F252" s="511">
        <v>1455693</v>
      </c>
      <c r="G252" s="769">
        <v>333.33</v>
      </c>
      <c r="H252" s="768">
        <f t="shared" si="128"/>
        <v>486661.8</v>
      </c>
      <c r="I252" s="626">
        <f t="shared" si="162"/>
        <v>663.72</v>
      </c>
      <c r="J252" s="513">
        <f t="shared" si="163"/>
        <v>969031.2</v>
      </c>
      <c r="K252" s="521"/>
    </row>
    <row r="253" spans="1:11" s="514" customFormat="1" ht="31.5" customHeight="1" outlineLevel="1" x14ac:dyDescent="0.3">
      <c r="A253" s="443">
        <f t="shared" si="141"/>
        <v>241</v>
      </c>
      <c r="B253" s="507" t="s">
        <v>1407</v>
      </c>
      <c r="C253" s="508" t="s">
        <v>40</v>
      </c>
      <c r="D253" s="509">
        <v>1420</v>
      </c>
      <c r="E253" s="510">
        <f t="shared" si="165"/>
        <v>300.89999999999998</v>
      </c>
      <c r="F253" s="511">
        <v>427278</v>
      </c>
      <c r="G253" s="769">
        <v>300.89999999999998</v>
      </c>
      <c r="H253" s="768">
        <f t="shared" ref="H253:H271" si="169">D253*G253</f>
        <v>427277.99999999994</v>
      </c>
      <c r="I253" s="626">
        <f t="shared" si="162"/>
        <v>0</v>
      </c>
      <c r="J253" s="513">
        <f t="shared" si="163"/>
        <v>0</v>
      </c>
      <c r="K253" s="521"/>
    </row>
    <row r="254" spans="1:11" s="514" customFormat="1" ht="21.75" customHeight="1" outlineLevel="1" x14ac:dyDescent="0.3">
      <c r="A254" s="443">
        <f t="shared" si="141"/>
        <v>242</v>
      </c>
      <c r="B254" s="507" t="s">
        <v>1411</v>
      </c>
      <c r="C254" s="508" t="s">
        <v>5</v>
      </c>
      <c r="D254" s="509">
        <v>852</v>
      </c>
      <c r="E254" s="510">
        <f t="shared" si="165"/>
        <v>9305.7999999999993</v>
      </c>
      <c r="F254" s="511">
        <v>7928541.5999999996</v>
      </c>
      <c r="G254" s="769">
        <v>3291.67</v>
      </c>
      <c r="H254" s="768">
        <f t="shared" si="169"/>
        <v>2804502.84</v>
      </c>
      <c r="I254" s="626">
        <f t="shared" si="162"/>
        <v>6014.1299999999992</v>
      </c>
      <c r="J254" s="513">
        <f t="shared" si="163"/>
        <v>5124038.76</v>
      </c>
      <c r="K254" s="521"/>
    </row>
    <row r="255" spans="1:11" s="514" customFormat="1" ht="21.75" customHeight="1" outlineLevel="1" x14ac:dyDescent="0.3">
      <c r="A255" s="443">
        <f t="shared" si="141"/>
        <v>243</v>
      </c>
      <c r="B255" s="507" t="s">
        <v>1412</v>
      </c>
      <c r="C255" s="508" t="s">
        <v>5</v>
      </c>
      <c r="D255" s="509">
        <v>1800</v>
      </c>
      <c r="E255" s="510">
        <f t="shared" si="165"/>
        <v>9305.7999999999993</v>
      </c>
      <c r="F255" s="511">
        <v>16750440</v>
      </c>
      <c r="G255" s="769">
        <v>3291.67</v>
      </c>
      <c r="H255" s="768">
        <f t="shared" si="169"/>
        <v>5925006</v>
      </c>
      <c r="I255" s="626">
        <f t="shared" si="162"/>
        <v>6014.1299999999992</v>
      </c>
      <c r="J255" s="513">
        <f t="shared" si="163"/>
        <v>10825434</v>
      </c>
      <c r="K255" s="521"/>
    </row>
    <row r="256" spans="1:11" s="514" customFormat="1" ht="21.75" customHeight="1" outlineLevel="1" x14ac:dyDescent="0.3">
      <c r="A256" s="443">
        <f t="shared" si="141"/>
        <v>244</v>
      </c>
      <c r="B256" s="507" t="s">
        <v>1413</v>
      </c>
      <c r="C256" s="508" t="s">
        <v>5</v>
      </c>
      <c r="D256" s="509">
        <v>876</v>
      </c>
      <c r="E256" s="510">
        <f t="shared" si="165"/>
        <v>9305.7999999999993</v>
      </c>
      <c r="F256" s="511">
        <v>8151880.7999999998</v>
      </c>
      <c r="G256" s="769">
        <v>3291.67</v>
      </c>
      <c r="H256" s="768">
        <f t="shared" si="169"/>
        <v>2883502.92</v>
      </c>
      <c r="I256" s="626">
        <f t="shared" si="162"/>
        <v>6014.1299999999992</v>
      </c>
      <c r="J256" s="513">
        <f t="shared" si="163"/>
        <v>5268377.88</v>
      </c>
      <c r="K256" s="521"/>
    </row>
    <row r="257" spans="1:12" ht="23.25" customHeight="1" outlineLevel="1" x14ac:dyDescent="0.3">
      <c r="A257" s="443">
        <f t="shared" si="141"/>
        <v>245</v>
      </c>
      <c r="B257" s="428" t="s">
        <v>1501</v>
      </c>
      <c r="C257" s="442" t="s">
        <v>16</v>
      </c>
      <c r="D257" s="492">
        <v>2592.41</v>
      </c>
      <c r="E257" s="480">
        <f t="shared" si="165"/>
        <v>776.02</v>
      </c>
      <c r="F257" s="479">
        <v>2011760.19</v>
      </c>
      <c r="G257" s="767">
        <v>2520</v>
      </c>
      <c r="H257" s="768">
        <f t="shared" si="169"/>
        <v>6532873.1999999993</v>
      </c>
      <c r="I257" s="625">
        <f t="shared" si="162"/>
        <v>-1743.98</v>
      </c>
      <c r="J257" s="481">
        <f t="shared" si="163"/>
        <v>-4521113.01</v>
      </c>
    </row>
    <row r="258" spans="1:12" s="514" customFormat="1" ht="21.75" customHeight="1" outlineLevel="1" x14ac:dyDescent="0.3">
      <c r="A258" s="443">
        <f t="shared" si="141"/>
        <v>246</v>
      </c>
      <c r="B258" s="507" t="s">
        <v>1507</v>
      </c>
      <c r="C258" s="508" t="s">
        <v>5</v>
      </c>
      <c r="D258" s="509">
        <v>357</v>
      </c>
      <c r="E258" s="510">
        <f t="shared" si="165"/>
        <v>4887.5</v>
      </c>
      <c r="F258" s="511">
        <v>1744837.5</v>
      </c>
      <c r="G258" s="769">
        <v>2666.67</v>
      </c>
      <c r="H258" s="768">
        <f t="shared" si="169"/>
        <v>952001.19000000006</v>
      </c>
      <c r="I258" s="626">
        <f t="shared" si="162"/>
        <v>2220.83</v>
      </c>
      <c r="J258" s="513">
        <f t="shared" si="163"/>
        <v>792836.30999999994</v>
      </c>
      <c r="K258" s="521"/>
    </row>
    <row r="259" spans="1:12" s="514" customFormat="1" ht="21.75" customHeight="1" outlineLevel="1" x14ac:dyDescent="0.3">
      <c r="A259" s="443">
        <f t="shared" si="141"/>
        <v>247</v>
      </c>
      <c r="B259" s="507" t="s">
        <v>1508</v>
      </c>
      <c r="C259" s="508" t="s">
        <v>5</v>
      </c>
      <c r="D259" s="509">
        <v>357</v>
      </c>
      <c r="E259" s="510">
        <f t="shared" ref="E259" si="170">ROUND(F259/D259,2)</f>
        <v>4887.5</v>
      </c>
      <c r="F259" s="511">
        <v>1744837.5</v>
      </c>
      <c r="G259" s="769">
        <v>2666.67</v>
      </c>
      <c r="H259" s="768">
        <f t="shared" si="169"/>
        <v>952001.19000000006</v>
      </c>
      <c r="I259" s="626">
        <f t="shared" ref="I259" si="171">E259-G259</f>
        <v>2220.83</v>
      </c>
      <c r="J259" s="513">
        <f t="shared" ref="J259" si="172">F259-H259</f>
        <v>792836.30999999994</v>
      </c>
      <c r="K259" s="521"/>
    </row>
    <row r="260" spans="1:12" s="514" customFormat="1" ht="21.75" customHeight="1" outlineLevel="1" x14ac:dyDescent="0.3">
      <c r="A260" s="443">
        <f t="shared" si="141"/>
        <v>248</v>
      </c>
      <c r="B260" s="507" t="s">
        <v>1509</v>
      </c>
      <c r="C260" s="508" t="s">
        <v>5</v>
      </c>
      <c r="D260" s="509">
        <v>1545</v>
      </c>
      <c r="E260" s="510">
        <f t="shared" ref="E260" si="173">ROUND(F260/D260,2)</f>
        <v>4930</v>
      </c>
      <c r="F260" s="511">
        <v>7616850</v>
      </c>
      <c r="G260" s="769">
        <v>2666.67</v>
      </c>
      <c r="H260" s="768">
        <f t="shared" si="169"/>
        <v>4120005.15</v>
      </c>
      <c r="I260" s="626">
        <f t="shared" ref="I260" si="174">E260-G260</f>
        <v>2263.33</v>
      </c>
      <c r="J260" s="513">
        <f t="shared" ref="J260" si="175">F260-H260</f>
        <v>3496844.85</v>
      </c>
      <c r="K260" s="521"/>
    </row>
    <row r="261" spans="1:12" ht="23.25" customHeight="1" outlineLevel="1" x14ac:dyDescent="0.3">
      <c r="A261" s="443">
        <f t="shared" si="141"/>
        <v>249</v>
      </c>
      <c r="B261" s="428" t="s">
        <v>1702</v>
      </c>
      <c r="C261" s="422" t="s">
        <v>20</v>
      </c>
      <c r="D261" s="493">
        <v>1678</v>
      </c>
      <c r="E261" s="480">
        <f t="shared" si="165"/>
        <v>1970.22</v>
      </c>
      <c r="F261" s="479">
        <v>3306035.83</v>
      </c>
      <c r="G261" s="767">
        <v>650</v>
      </c>
      <c r="H261" s="768">
        <f t="shared" si="169"/>
        <v>1090700</v>
      </c>
      <c r="I261" s="625">
        <f t="shared" si="162"/>
        <v>1320.22</v>
      </c>
      <c r="J261" s="481">
        <f t="shared" si="163"/>
        <v>2215335.83</v>
      </c>
      <c r="K261" s="537"/>
    </row>
    <row r="262" spans="1:12" ht="23.25" customHeight="1" outlineLevel="1" x14ac:dyDescent="0.3">
      <c r="A262" s="443">
        <f t="shared" si="141"/>
        <v>250</v>
      </c>
      <c r="B262" s="428" t="s">
        <v>1526</v>
      </c>
      <c r="C262" s="442" t="s">
        <v>17</v>
      </c>
      <c r="D262" s="529">
        <f>37.52*1.26+38.44</f>
        <v>85.71520000000001</v>
      </c>
      <c r="E262" s="480">
        <f t="shared" si="165"/>
        <v>1063.42</v>
      </c>
      <c r="F262" s="479">
        <f>50273.45+40877.91</f>
        <v>91151.360000000001</v>
      </c>
      <c r="G262" s="767">
        <v>5000</v>
      </c>
      <c r="H262" s="768">
        <f t="shared" si="169"/>
        <v>428576.00000000006</v>
      </c>
      <c r="I262" s="625">
        <f t="shared" si="162"/>
        <v>-3936.58</v>
      </c>
      <c r="J262" s="481">
        <f t="shared" si="163"/>
        <v>-337424.64000000007</v>
      </c>
    </row>
    <row r="263" spans="1:12" ht="23.25" customHeight="1" outlineLevel="1" x14ac:dyDescent="0.3">
      <c r="A263" s="443">
        <f t="shared" si="141"/>
        <v>251</v>
      </c>
      <c r="B263" s="428" t="s">
        <v>1405</v>
      </c>
      <c r="C263" s="442" t="s">
        <v>40</v>
      </c>
      <c r="D263" s="493">
        <v>1340</v>
      </c>
      <c r="E263" s="480">
        <f>ROUND(F263/D263,2)</f>
        <v>657.29</v>
      </c>
      <c r="F263" s="479">
        <v>880765.12</v>
      </c>
      <c r="G263" s="767">
        <v>750</v>
      </c>
      <c r="H263" s="768">
        <f t="shared" si="169"/>
        <v>1005000</v>
      </c>
      <c r="I263" s="625">
        <f>E263-G263</f>
        <v>-92.710000000000036</v>
      </c>
      <c r="J263" s="481">
        <f>F263-H263</f>
        <v>-124234.88</v>
      </c>
      <c r="K263" s="519"/>
    </row>
    <row r="264" spans="1:12" ht="23.25" customHeight="1" outlineLevel="1" x14ac:dyDescent="0.3">
      <c r="A264" s="443">
        <f t="shared" si="141"/>
        <v>252</v>
      </c>
      <c r="B264" s="428" t="s">
        <v>1524</v>
      </c>
      <c r="C264" s="442" t="s">
        <v>17</v>
      </c>
      <c r="D264" s="501">
        <v>79.599999999999994</v>
      </c>
      <c r="E264" s="480">
        <f>F264/D264</f>
        <v>5069.0349246231162</v>
      </c>
      <c r="F264" s="479">
        <f>403495.18</f>
        <v>403495.18</v>
      </c>
      <c r="G264" s="767">
        <v>6800</v>
      </c>
      <c r="H264" s="768">
        <f t="shared" si="169"/>
        <v>541280</v>
      </c>
      <c r="I264" s="625">
        <f>E264-G264</f>
        <v>-1730.9650753768838</v>
      </c>
      <c r="J264" s="481">
        <f>F264-H264</f>
        <v>-137784.82</v>
      </c>
      <c r="K264" s="519"/>
    </row>
    <row r="265" spans="1:12" ht="23.25" customHeight="1" outlineLevel="1" x14ac:dyDescent="0.3">
      <c r="A265" s="443">
        <f t="shared" si="141"/>
        <v>253</v>
      </c>
      <c r="B265" s="428" t="s">
        <v>1525</v>
      </c>
      <c r="C265" s="442" t="s">
        <v>17</v>
      </c>
      <c r="D265" s="529">
        <v>0.80400000000000005</v>
      </c>
      <c r="E265" s="480">
        <f>ROUND(519.8*8.61,2)</f>
        <v>4475.4799999999996</v>
      </c>
      <c r="F265" s="479">
        <f>D265*E265</f>
        <v>3598.2859199999998</v>
      </c>
      <c r="G265" s="767">
        <v>4000</v>
      </c>
      <c r="H265" s="768">
        <f t="shared" si="169"/>
        <v>3216</v>
      </c>
      <c r="I265" s="625">
        <f t="shared" ref="I265:I267" si="176">E265-G265</f>
        <v>475.47999999999956</v>
      </c>
      <c r="J265" s="481">
        <f t="shared" ref="J265:J267" si="177">F265-H265</f>
        <v>382.28591999999981</v>
      </c>
    </row>
    <row r="266" spans="1:12" s="514" customFormat="1" ht="21.75" customHeight="1" outlineLevel="1" x14ac:dyDescent="0.3">
      <c r="A266" s="443">
        <f t="shared" si="141"/>
        <v>254</v>
      </c>
      <c r="B266" s="507" t="s">
        <v>1721</v>
      </c>
      <c r="C266" s="508" t="s">
        <v>28</v>
      </c>
      <c r="D266" s="532">
        <f>35.9*0.05*2.584</f>
        <v>4.63828</v>
      </c>
      <c r="E266" s="510">
        <f>ROUND(F266/D266,2)</f>
        <v>8797.5</v>
      </c>
      <c r="F266" s="511">
        <v>40805.269999999997</v>
      </c>
      <c r="G266" s="769">
        <v>8797.5</v>
      </c>
      <c r="H266" s="768">
        <f t="shared" si="169"/>
        <v>40805.268299999996</v>
      </c>
      <c r="I266" s="626">
        <f t="shared" si="176"/>
        <v>0</v>
      </c>
      <c r="J266" s="513">
        <f t="shared" si="177"/>
        <v>1.7000000007101335E-3</v>
      </c>
      <c r="K266" s="521"/>
    </row>
    <row r="267" spans="1:12" s="514" customFormat="1" ht="21.75" customHeight="1" outlineLevel="1" x14ac:dyDescent="0.3">
      <c r="A267" s="443">
        <f t="shared" si="141"/>
        <v>255</v>
      </c>
      <c r="B267" s="507" t="s">
        <v>1541</v>
      </c>
      <c r="C267" s="508" t="s">
        <v>28</v>
      </c>
      <c r="D267" s="532">
        <f>35.9*0.07*2.57</f>
        <v>6.4584100000000007</v>
      </c>
      <c r="E267" s="510">
        <f>ROUND(F267/D267,2)</f>
        <v>7480</v>
      </c>
      <c r="F267" s="511">
        <v>48308.91</v>
      </c>
      <c r="G267" s="769">
        <v>7480</v>
      </c>
      <c r="H267" s="768">
        <f t="shared" si="169"/>
        <v>48308.906800000004</v>
      </c>
      <c r="I267" s="626">
        <f t="shared" si="176"/>
        <v>0</v>
      </c>
      <c r="J267" s="513">
        <f t="shared" si="177"/>
        <v>3.1999999991967343E-3</v>
      </c>
      <c r="K267" s="521"/>
    </row>
    <row r="268" spans="1:12" ht="23.25" customHeight="1" outlineLevel="1" x14ac:dyDescent="0.3">
      <c r="A268" s="443">
        <f t="shared" si="141"/>
        <v>256</v>
      </c>
      <c r="B268" s="428" t="s">
        <v>1725</v>
      </c>
      <c r="C268" s="442" t="s">
        <v>17</v>
      </c>
      <c r="D268" s="533">
        <f>6.464352+27.6624</f>
        <v>34.126752000000003</v>
      </c>
      <c r="E268" s="480">
        <f>F268/D268</f>
        <v>7192.3888332531606</v>
      </c>
      <c r="F268" s="479">
        <f>2272.18+46063.73+197116.96</f>
        <v>245452.87</v>
      </c>
      <c r="G268" s="767">
        <v>6800</v>
      </c>
      <c r="H268" s="768">
        <f t="shared" si="169"/>
        <v>232061.91360000003</v>
      </c>
      <c r="I268" s="625">
        <f t="shared" ref="I268:J271" si="178">E268-G268</f>
        <v>392.38883325316056</v>
      </c>
      <c r="J268" s="481">
        <f t="shared" si="178"/>
        <v>13390.956399999966</v>
      </c>
      <c r="K268" s="519"/>
    </row>
    <row r="269" spans="1:12" s="514" customFormat="1" ht="23.25" customHeight="1" outlineLevel="1" x14ac:dyDescent="0.3">
      <c r="A269" s="443">
        <f t="shared" si="141"/>
        <v>257</v>
      </c>
      <c r="B269" s="507" t="s">
        <v>1726</v>
      </c>
      <c r="C269" s="508" t="s">
        <v>364</v>
      </c>
      <c r="D269" s="509">
        <v>339</v>
      </c>
      <c r="E269" s="510">
        <f>ROUND(F269/D269,2)</f>
        <v>4590</v>
      </c>
      <c r="F269" s="511">
        <v>1556010</v>
      </c>
      <c r="G269" s="769">
        <v>4171.67</v>
      </c>
      <c r="H269" s="768">
        <f t="shared" si="169"/>
        <v>1414196.1300000001</v>
      </c>
      <c r="I269" s="626">
        <f t="shared" si="178"/>
        <v>418.32999999999993</v>
      </c>
      <c r="J269" s="513">
        <f t="shared" si="178"/>
        <v>141813.86999999988</v>
      </c>
      <c r="K269" s="521"/>
    </row>
    <row r="270" spans="1:12" s="514" customFormat="1" ht="30.75" customHeight="1" outlineLevel="1" x14ac:dyDescent="0.3">
      <c r="A270" s="443">
        <f t="shared" si="141"/>
        <v>258</v>
      </c>
      <c r="B270" s="507" t="s">
        <v>1550</v>
      </c>
      <c r="C270" s="508" t="s">
        <v>1385</v>
      </c>
      <c r="D270" s="509">
        <v>10</v>
      </c>
      <c r="E270" s="510">
        <f>ROUND(F270/D270,2)</f>
        <v>1232500</v>
      </c>
      <c r="F270" s="511">
        <v>12325000</v>
      </c>
      <c r="G270" s="769">
        <v>1208333.33</v>
      </c>
      <c r="H270" s="768">
        <f t="shared" si="169"/>
        <v>12083333.300000001</v>
      </c>
      <c r="I270" s="626">
        <f t="shared" si="178"/>
        <v>24166.669999999925</v>
      </c>
      <c r="J270" s="513">
        <f t="shared" si="178"/>
        <v>241666.69999999925</v>
      </c>
      <c r="K270" s="521"/>
    </row>
    <row r="271" spans="1:12" s="514" customFormat="1" ht="19.5" customHeight="1" outlineLevel="1" x14ac:dyDescent="0.3">
      <c r="A271" s="443">
        <f t="shared" si="141"/>
        <v>259</v>
      </c>
      <c r="B271" s="507" t="s">
        <v>1891</v>
      </c>
      <c r="C271" s="508" t="s">
        <v>1385</v>
      </c>
      <c r="D271" s="509">
        <v>1</v>
      </c>
      <c r="E271" s="510">
        <f>ROUND(F271/D271,2)</f>
        <v>7506.8</v>
      </c>
      <c r="F271" s="511">
        <f>66391.9/2165156015.91*244809766.68</f>
        <v>7506.7964751771979</v>
      </c>
      <c r="G271" s="771">
        <v>7506.8</v>
      </c>
      <c r="H271" s="768">
        <f t="shared" si="169"/>
        <v>7506.8</v>
      </c>
      <c r="I271" s="512">
        <f t="shared" si="178"/>
        <v>0</v>
      </c>
      <c r="J271" s="513">
        <f t="shared" si="178"/>
        <v>-3.5248228023192496E-3</v>
      </c>
      <c r="K271" s="521"/>
    </row>
    <row r="272" spans="1:12" s="484" customFormat="1" ht="21.75" customHeight="1" x14ac:dyDescent="0.3">
      <c r="A272" s="555"/>
      <c r="B272" s="612" t="s">
        <v>1893</v>
      </c>
      <c r="C272" s="613"/>
      <c r="D272" s="614"/>
      <c r="E272" s="615"/>
      <c r="F272" s="616">
        <f>SUM(F188:F271)</f>
        <v>223534099.8941052</v>
      </c>
      <c r="G272" s="772"/>
      <c r="H272" s="773">
        <f>SUM(H188:H271)</f>
        <v>174124444.67472845</v>
      </c>
      <c r="I272" s="617"/>
      <c r="J272" s="616">
        <f>SUM(J188:J271)</f>
        <v>49409655.222725719</v>
      </c>
      <c r="K272" s="550"/>
      <c r="L272" s="549"/>
    </row>
    <row r="273" spans="1:11" s="484" customFormat="1" ht="21.75" customHeight="1" x14ac:dyDescent="0.3">
      <c r="A273" s="486"/>
      <c r="B273" s="845" t="s">
        <v>1727</v>
      </c>
      <c r="C273" s="846"/>
      <c r="D273" s="846"/>
      <c r="E273" s="846"/>
      <c r="F273" s="846"/>
      <c r="G273" s="846"/>
      <c r="H273" s="846"/>
      <c r="I273" s="846"/>
      <c r="J273" s="847"/>
      <c r="K273" s="491">
        <f>F273+'ТП Р'!F369</f>
        <v>0</v>
      </c>
    </row>
    <row r="274" spans="1:11" ht="23.25" customHeight="1" outlineLevel="1" x14ac:dyDescent="0.3">
      <c r="A274" s="443">
        <f>A271+1</f>
        <v>260</v>
      </c>
      <c r="B274" s="428" t="s">
        <v>1569</v>
      </c>
      <c r="C274" s="442" t="s">
        <v>17</v>
      </c>
      <c r="D274" s="492">
        <f>1031.1*1.2+3091.87*1.26</f>
        <v>5133.0761999999995</v>
      </c>
      <c r="E274" s="480">
        <f t="shared" ref="E274:E305" si="179">ROUND(F274/D274,2)</f>
        <v>485.47</v>
      </c>
      <c r="F274" s="479">
        <f>639092.98+1852885.54</f>
        <v>2491978.52</v>
      </c>
      <c r="G274" s="767">
        <v>1200</v>
      </c>
      <c r="H274" s="768">
        <f>D274*G274</f>
        <v>6159691.4399999995</v>
      </c>
      <c r="I274" s="625">
        <f t="shared" ref="I274:I298" si="180">E274-G274</f>
        <v>-714.53</v>
      </c>
      <c r="J274" s="481">
        <f t="shared" ref="J274:J285" si="181">F274-H274</f>
        <v>-3667712.9199999995</v>
      </c>
      <c r="K274" s="519"/>
    </row>
    <row r="275" spans="1:11" s="514" customFormat="1" ht="22.5" customHeight="1" outlineLevel="1" x14ac:dyDescent="0.3">
      <c r="A275" s="443">
        <f>A274+1</f>
        <v>261</v>
      </c>
      <c r="B275" s="507" t="s">
        <v>1856</v>
      </c>
      <c r="C275" s="508" t="s">
        <v>17</v>
      </c>
      <c r="D275" s="530">
        <v>739.7</v>
      </c>
      <c r="E275" s="510">
        <f t="shared" si="179"/>
        <v>12957.43</v>
      </c>
      <c r="F275" s="511">
        <v>9584610.9700000007</v>
      </c>
      <c r="G275" s="769">
        <v>10208.33</v>
      </c>
      <c r="H275" s="768">
        <f t="shared" ref="H275:H306" si="182">D275*G275</f>
        <v>7551101.7010000004</v>
      </c>
      <c r="I275" s="626">
        <f t="shared" si="180"/>
        <v>2749.1000000000004</v>
      </c>
      <c r="J275" s="513">
        <f t="shared" si="181"/>
        <v>2033509.2690000003</v>
      </c>
      <c r="K275" s="521"/>
    </row>
    <row r="276" spans="1:11" ht="23.25" customHeight="1" outlineLevel="1" x14ac:dyDescent="0.3">
      <c r="A276" s="443">
        <f t="shared" ref="A276:A339" si="183">A275+1</f>
        <v>262</v>
      </c>
      <c r="B276" s="428" t="s">
        <v>1526</v>
      </c>
      <c r="C276" s="442" t="s">
        <v>17</v>
      </c>
      <c r="D276" s="529">
        <f>4513.86*1.17</f>
        <v>5281.2161999999989</v>
      </c>
      <c r="E276" s="480">
        <f t="shared" si="179"/>
        <v>1063.42</v>
      </c>
      <c r="F276" s="479">
        <v>5616156.7400000002</v>
      </c>
      <c r="G276" s="767">
        <v>5000</v>
      </c>
      <c r="H276" s="768">
        <f t="shared" si="182"/>
        <v>26406080.999999996</v>
      </c>
      <c r="I276" s="625">
        <f t="shared" si="180"/>
        <v>-3936.58</v>
      </c>
      <c r="J276" s="481">
        <f t="shared" si="181"/>
        <v>-20789924.259999998</v>
      </c>
      <c r="K276" s="519"/>
    </row>
    <row r="277" spans="1:11" ht="49.5" customHeight="1" outlineLevel="1" x14ac:dyDescent="0.3">
      <c r="A277" s="443">
        <f t="shared" si="183"/>
        <v>263</v>
      </c>
      <c r="B277" s="428" t="s">
        <v>1773</v>
      </c>
      <c r="C277" s="630" t="s">
        <v>1385</v>
      </c>
      <c r="D277" s="631">
        <v>1</v>
      </c>
      <c r="E277" s="480">
        <f t="shared" si="179"/>
        <v>354484.99</v>
      </c>
      <c r="F277" s="479">
        <f>11799173.09-11444688.1</f>
        <v>354484.99000000022</v>
      </c>
      <c r="G277" s="767">
        <v>354484.99</v>
      </c>
      <c r="H277" s="768">
        <f t="shared" si="182"/>
        <v>354484.99</v>
      </c>
      <c r="I277" s="625">
        <f t="shared" si="180"/>
        <v>0</v>
      </c>
      <c r="J277" s="481">
        <f t="shared" si="181"/>
        <v>0</v>
      </c>
      <c r="K277" s="522" t="s">
        <v>1448</v>
      </c>
    </row>
    <row r="278" spans="1:11" s="514" customFormat="1" ht="22.5" customHeight="1" outlineLevel="1" x14ac:dyDescent="0.3">
      <c r="A278" s="443">
        <f t="shared" si="183"/>
        <v>264</v>
      </c>
      <c r="B278" s="507" t="s">
        <v>1582</v>
      </c>
      <c r="C278" s="508" t="s">
        <v>1385</v>
      </c>
      <c r="D278" s="509">
        <v>367</v>
      </c>
      <c r="E278" s="510">
        <f t="shared" si="179"/>
        <v>2142</v>
      </c>
      <c r="F278" s="511">
        <v>786114</v>
      </c>
      <c r="G278" s="769">
        <v>2142</v>
      </c>
      <c r="H278" s="768">
        <f t="shared" si="182"/>
        <v>786114</v>
      </c>
      <c r="I278" s="626">
        <f t="shared" si="180"/>
        <v>0</v>
      </c>
      <c r="J278" s="513">
        <f t="shared" si="181"/>
        <v>0</v>
      </c>
      <c r="K278" s="521"/>
    </row>
    <row r="279" spans="1:11" s="514" customFormat="1" ht="22.5" customHeight="1" outlineLevel="1" x14ac:dyDescent="0.3">
      <c r="A279" s="443">
        <f t="shared" si="183"/>
        <v>265</v>
      </c>
      <c r="B279" s="507" t="s">
        <v>1583</v>
      </c>
      <c r="C279" s="508" t="s">
        <v>40</v>
      </c>
      <c r="D279" s="509">
        <v>5313</v>
      </c>
      <c r="E279" s="510">
        <f t="shared" si="179"/>
        <v>11220</v>
      </c>
      <c r="F279" s="511">
        <v>59611860</v>
      </c>
      <c r="G279" s="769">
        <v>6583.33</v>
      </c>
      <c r="H279" s="768">
        <f t="shared" si="182"/>
        <v>34977232.289999999</v>
      </c>
      <c r="I279" s="626">
        <f t="shared" si="180"/>
        <v>4636.67</v>
      </c>
      <c r="J279" s="513">
        <f t="shared" si="181"/>
        <v>24634627.710000001</v>
      </c>
      <c r="K279" s="521"/>
    </row>
    <row r="280" spans="1:11" s="514" customFormat="1" ht="22.5" customHeight="1" outlineLevel="1" x14ac:dyDescent="0.3">
      <c r="A280" s="443">
        <f t="shared" si="183"/>
        <v>266</v>
      </c>
      <c r="B280" s="507" t="s">
        <v>1584</v>
      </c>
      <c r="C280" s="508" t="s">
        <v>5</v>
      </c>
      <c r="D280" s="530">
        <v>6325.28</v>
      </c>
      <c r="E280" s="480">
        <f t="shared" si="179"/>
        <v>9294.7099999999991</v>
      </c>
      <c r="F280" s="511">
        <v>58791643.270000003</v>
      </c>
      <c r="G280" s="769">
        <v>9083.33</v>
      </c>
      <c r="H280" s="768">
        <f t="shared" si="182"/>
        <v>57454605.582399994</v>
      </c>
      <c r="I280" s="626">
        <f t="shared" si="180"/>
        <v>211.3799999999992</v>
      </c>
      <c r="J280" s="513">
        <f t="shared" si="181"/>
        <v>1337037.6876000091</v>
      </c>
      <c r="K280" s="521"/>
    </row>
    <row r="281" spans="1:11" ht="49.5" customHeight="1" outlineLevel="1" x14ac:dyDescent="0.3">
      <c r="A281" s="443">
        <f t="shared" si="183"/>
        <v>267</v>
      </c>
      <c r="B281" s="428" t="s">
        <v>1774</v>
      </c>
      <c r="C281" s="630" t="s">
        <v>1385</v>
      </c>
      <c r="D281" s="631">
        <v>1</v>
      </c>
      <c r="E281" s="480">
        <f t="shared" si="179"/>
        <v>28931.42</v>
      </c>
      <c r="F281" s="479">
        <f>962993.74-934062.32</f>
        <v>28931.420000000042</v>
      </c>
      <c r="G281" s="767">
        <v>28931.42</v>
      </c>
      <c r="H281" s="768">
        <f t="shared" si="182"/>
        <v>28931.42</v>
      </c>
      <c r="I281" s="625">
        <f t="shared" si="180"/>
        <v>0</v>
      </c>
      <c r="J281" s="481">
        <f t="shared" si="181"/>
        <v>4.3655745685100555E-11</v>
      </c>
      <c r="K281" s="522" t="s">
        <v>1448</v>
      </c>
    </row>
    <row r="282" spans="1:11" s="514" customFormat="1" ht="22.5" customHeight="1" outlineLevel="1" x14ac:dyDescent="0.3">
      <c r="A282" s="443">
        <f t="shared" si="183"/>
        <v>268</v>
      </c>
      <c r="B282" s="507" t="s">
        <v>1583</v>
      </c>
      <c r="C282" s="508" t="s">
        <v>40</v>
      </c>
      <c r="D282" s="509">
        <v>434</v>
      </c>
      <c r="E282" s="510">
        <f t="shared" si="179"/>
        <v>11220</v>
      </c>
      <c r="F282" s="511">
        <v>4869480</v>
      </c>
      <c r="G282" s="769">
        <v>6583.33</v>
      </c>
      <c r="H282" s="768">
        <f t="shared" si="182"/>
        <v>2857165.2199999997</v>
      </c>
      <c r="I282" s="626">
        <f t="shared" si="180"/>
        <v>4636.67</v>
      </c>
      <c r="J282" s="513">
        <f t="shared" si="181"/>
        <v>2012314.7800000003</v>
      </c>
      <c r="K282" s="521"/>
    </row>
    <row r="283" spans="1:11" s="514" customFormat="1" ht="22.5" customHeight="1" outlineLevel="1" x14ac:dyDescent="0.3">
      <c r="A283" s="443">
        <f t="shared" si="183"/>
        <v>269</v>
      </c>
      <c r="B283" s="507" t="s">
        <v>1584</v>
      </c>
      <c r="C283" s="508" t="s">
        <v>5</v>
      </c>
      <c r="D283" s="516">
        <v>516.24</v>
      </c>
      <c r="E283" s="510">
        <f t="shared" si="179"/>
        <v>9294.7099999999991</v>
      </c>
      <c r="F283" s="511">
        <v>4798301.09</v>
      </c>
      <c r="G283" s="769">
        <v>9083.33</v>
      </c>
      <c r="H283" s="768">
        <f t="shared" si="182"/>
        <v>4689178.2791999998</v>
      </c>
      <c r="I283" s="626">
        <f t="shared" si="180"/>
        <v>211.3799999999992</v>
      </c>
      <c r="J283" s="513">
        <f t="shared" si="181"/>
        <v>109122.81080000009</v>
      </c>
      <c r="K283" s="521"/>
    </row>
    <row r="284" spans="1:11" ht="49.5" customHeight="1" outlineLevel="1" x14ac:dyDescent="0.3">
      <c r="A284" s="443">
        <f t="shared" si="183"/>
        <v>270</v>
      </c>
      <c r="B284" s="428" t="s">
        <v>1775</v>
      </c>
      <c r="C284" s="630" t="s">
        <v>1385</v>
      </c>
      <c r="D284" s="631">
        <v>1</v>
      </c>
      <c r="E284" s="480">
        <f t="shared" si="179"/>
        <v>15000.36</v>
      </c>
      <c r="F284" s="479">
        <f>499292.79-484292.43</f>
        <v>15000.359999999986</v>
      </c>
      <c r="G284" s="767">
        <v>15000.36</v>
      </c>
      <c r="H284" s="768">
        <f t="shared" si="182"/>
        <v>15000.36</v>
      </c>
      <c r="I284" s="625">
        <f t="shared" si="180"/>
        <v>0</v>
      </c>
      <c r="J284" s="481">
        <f t="shared" si="181"/>
        <v>-1.4551915228366852E-11</v>
      </c>
      <c r="K284" s="522" t="s">
        <v>1448</v>
      </c>
    </row>
    <row r="285" spans="1:11" s="514" customFormat="1" ht="22.5" customHeight="1" outlineLevel="1" x14ac:dyDescent="0.3">
      <c r="A285" s="443">
        <f t="shared" si="183"/>
        <v>271</v>
      </c>
      <c r="B285" s="507" t="s">
        <v>1586</v>
      </c>
      <c r="C285" s="508" t="s">
        <v>1385</v>
      </c>
      <c r="D285" s="509">
        <v>27</v>
      </c>
      <c r="E285" s="510">
        <f t="shared" si="179"/>
        <v>1652.4</v>
      </c>
      <c r="F285" s="511">
        <v>44614.8</v>
      </c>
      <c r="G285" s="769">
        <v>16666.669999999998</v>
      </c>
      <c r="H285" s="768">
        <f t="shared" si="182"/>
        <v>450000.08999999997</v>
      </c>
      <c r="I285" s="626">
        <f t="shared" si="180"/>
        <v>-15014.269999999999</v>
      </c>
      <c r="J285" s="513">
        <f t="shared" si="181"/>
        <v>-405385.29</v>
      </c>
      <c r="K285" s="521"/>
    </row>
    <row r="286" spans="1:11" s="514" customFormat="1" ht="33.75" customHeight="1" outlineLevel="1" x14ac:dyDescent="0.3">
      <c r="A286" s="443">
        <f t="shared" si="183"/>
        <v>272</v>
      </c>
      <c r="B286" s="507" t="s">
        <v>1587</v>
      </c>
      <c r="C286" s="508" t="s">
        <v>40</v>
      </c>
      <c r="D286" s="509">
        <v>225</v>
      </c>
      <c r="E286" s="510">
        <f t="shared" si="179"/>
        <v>9718.0499999999993</v>
      </c>
      <c r="F286" s="511">
        <v>2186561.25</v>
      </c>
      <c r="G286" s="769">
        <v>6833.33</v>
      </c>
      <c r="H286" s="768">
        <f t="shared" si="182"/>
        <v>1537499.25</v>
      </c>
      <c r="I286" s="626">
        <f t="shared" si="180"/>
        <v>2884.7199999999993</v>
      </c>
      <c r="J286" s="513">
        <f>F286-H286</f>
        <v>649062</v>
      </c>
      <c r="K286" s="521"/>
    </row>
    <row r="287" spans="1:11" s="514" customFormat="1" ht="22.5" customHeight="1" outlineLevel="1" x14ac:dyDescent="0.3">
      <c r="A287" s="443">
        <f t="shared" si="183"/>
        <v>273</v>
      </c>
      <c r="B287" s="507" t="s">
        <v>1588</v>
      </c>
      <c r="C287" s="508" t="s">
        <v>5</v>
      </c>
      <c r="D287" s="516">
        <v>267.66000000000003</v>
      </c>
      <c r="E287" s="510">
        <f t="shared" si="179"/>
        <v>9226.7199999999993</v>
      </c>
      <c r="F287" s="511">
        <v>2469623.88</v>
      </c>
      <c r="G287" s="769">
        <v>9041.67</v>
      </c>
      <c r="H287" s="768">
        <f t="shared" si="182"/>
        <v>2420093.3922000001</v>
      </c>
      <c r="I287" s="626">
        <f t="shared" si="180"/>
        <v>185.04999999999927</v>
      </c>
      <c r="J287" s="513">
        <f t="shared" ref="J287:J289" si="184">F287-H287</f>
        <v>49530.48779999977</v>
      </c>
      <c r="K287" s="521"/>
    </row>
    <row r="288" spans="1:11" ht="49.5" customHeight="1" outlineLevel="1" x14ac:dyDescent="0.3">
      <c r="A288" s="443">
        <f t="shared" si="183"/>
        <v>274</v>
      </c>
      <c r="B288" s="428" t="s">
        <v>1776</v>
      </c>
      <c r="C288" s="630" t="s">
        <v>1385</v>
      </c>
      <c r="D288" s="631">
        <v>1</v>
      </c>
      <c r="E288" s="480">
        <f t="shared" si="179"/>
        <v>19466.95</v>
      </c>
      <c r="F288" s="479">
        <f>647965.12-628498.17</f>
        <v>19466.949999999953</v>
      </c>
      <c r="G288" s="767">
        <v>19466.95</v>
      </c>
      <c r="H288" s="768">
        <f t="shared" si="182"/>
        <v>19466.95</v>
      </c>
      <c r="I288" s="625">
        <f t="shared" si="180"/>
        <v>0</v>
      </c>
      <c r="J288" s="481">
        <f t="shared" si="184"/>
        <v>-4.7293724492192268E-11</v>
      </c>
      <c r="K288" s="522" t="s">
        <v>1448</v>
      </c>
    </row>
    <row r="289" spans="1:11" s="514" customFormat="1" ht="22.5" customHeight="1" outlineLevel="1" x14ac:dyDescent="0.3">
      <c r="A289" s="443">
        <f t="shared" si="183"/>
        <v>275</v>
      </c>
      <c r="B289" s="507" t="s">
        <v>1589</v>
      </c>
      <c r="C289" s="508" t="s">
        <v>1385</v>
      </c>
      <c r="D289" s="509">
        <v>16</v>
      </c>
      <c r="E289" s="510">
        <f t="shared" si="179"/>
        <v>4143.75</v>
      </c>
      <c r="F289" s="511">
        <v>66300</v>
      </c>
      <c r="G289" s="769">
        <v>73333.33</v>
      </c>
      <c r="H289" s="768">
        <f t="shared" si="182"/>
        <v>1173333.28</v>
      </c>
      <c r="I289" s="626">
        <f t="shared" si="180"/>
        <v>-69189.58</v>
      </c>
      <c r="J289" s="513">
        <f t="shared" si="184"/>
        <v>-1107033.28</v>
      </c>
      <c r="K289" s="521"/>
    </row>
    <row r="290" spans="1:11" s="514" customFormat="1" ht="33.75" customHeight="1" outlineLevel="1" x14ac:dyDescent="0.3">
      <c r="A290" s="443">
        <f t="shared" si="183"/>
        <v>276</v>
      </c>
      <c r="B290" s="507" t="s">
        <v>1587</v>
      </c>
      <c r="C290" s="508" t="s">
        <v>40</v>
      </c>
      <c r="D290" s="509">
        <v>292</v>
      </c>
      <c r="E290" s="510">
        <f t="shared" si="179"/>
        <v>9718.0499999999993</v>
      </c>
      <c r="F290" s="511">
        <v>2837670.6</v>
      </c>
      <c r="G290" s="769">
        <v>6833.33</v>
      </c>
      <c r="H290" s="768">
        <f t="shared" si="182"/>
        <v>1995332.3599999999</v>
      </c>
      <c r="I290" s="626">
        <f t="shared" si="180"/>
        <v>2884.7199999999993</v>
      </c>
      <c r="J290" s="513">
        <f>F290-H290</f>
        <v>842338.24000000022</v>
      </c>
      <c r="K290" s="521"/>
    </row>
    <row r="291" spans="1:11" s="514" customFormat="1" ht="22.5" customHeight="1" outlineLevel="1" x14ac:dyDescent="0.3">
      <c r="A291" s="443">
        <f t="shared" si="183"/>
        <v>277</v>
      </c>
      <c r="B291" s="507" t="s">
        <v>1588</v>
      </c>
      <c r="C291" s="508" t="s">
        <v>5</v>
      </c>
      <c r="D291" s="516">
        <v>347.36</v>
      </c>
      <c r="E291" s="510">
        <f t="shared" si="179"/>
        <v>9226.7199999999993</v>
      </c>
      <c r="F291" s="511">
        <v>3204993.46</v>
      </c>
      <c r="G291" s="769">
        <v>9041.67</v>
      </c>
      <c r="H291" s="768">
        <f t="shared" si="182"/>
        <v>3140714.4912</v>
      </c>
      <c r="I291" s="626">
        <f t="shared" si="180"/>
        <v>185.04999999999927</v>
      </c>
      <c r="J291" s="513">
        <f t="shared" ref="J291:J293" si="185">F291-H291</f>
        <v>64278.968799999915</v>
      </c>
      <c r="K291" s="521"/>
    </row>
    <row r="292" spans="1:11" ht="49.5" customHeight="1" outlineLevel="1" x14ac:dyDescent="0.3">
      <c r="A292" s="443">
        <f t="shared" si="183"/>
        <v>278</v>
      </c>
      <c r="B292" s="428" t="s">
        <v>1777</v>
      </c>
      <c r="C292" s="630" t="s">
        <v>1385</v>
      </c>
      <c r="D292" s="631">
        <v>1</v>
      </c>
      <c r="E292" s="480">
        <f t="shared" si="179"/>
        <v>69194.649999999994</v>
      </c>
      <c r="F292" s="479">
        <f>2303171.25-2233976.6</f>
        <v>69194.649999999907</v>
      </c>
      <c r="G292" s="767">
        <v>69194.649999999994</v>
      </c>
      <c r="H292" s="768">
        <f t="shared" si="182"/>
        <v>69194.649999999994</v>
      </c>
      <c r="I292" s="625">
        <f t="shared" si="180"/>
        <v>0</v>
      </c>
      <c r="J292" s="481">
        <f t="shared" si="185"/>
        <v>0</v>
      </c>
      <c r="K292" s="522" t="s">
        <v>1448</v>
      </c>
    </row>
    <row r="293" spans="1:11" s="514" customFormat="1" ht="22.5" customHeight="1" outlineLevel="1" x14ac:dyDescent="0.3">
      <c r="A293" s="443">
        <f t="shared" si="183"/>
        <v>279</v>
      </c>
      <c r="B293" s="507" t="s">
        <v>1442</v>
      </c>
      <c r="C293" s="508" t="s">
        <v>1385</v>
      </c>
      <c r="D293" s="509">
        <v>2074</v>
      </c>
      <c r="E293" s="510">
        <f t="shared" si="179"/>
        <v>6732</v>
      </c>
      <c r="F293" s="511">
        <v>13962168</v>
      </c>
      <c r="G293" s="769">
        <v>4291.67</v>
      </c>
      <c r="H293" s="768">
        <f t="shared" si="182"/>
        <v>8900923.5800000001</v>
      </c>
      <c r="I293" s="626">
        <f t="shared" si="180"/>
        <v>2440.33</v>
      </c>
      <c r="J293" s="513">
        <f t="shared" si="185"/>
        <v>5061244.42</v>
      </c>
      <c r="K293" s="521"/>
    </row>
    <row r="294" spans="1:11" s="514" customFormat="1" ht="22.5" customHeight="1" outlineLevel="1" x14ac:dyDescent="0.3">
      <c r="A294" s="443">
        <f t="shared" si="183"/>
        <v>280</v>
      </c>
      <c r="B294" s="507" t="s">
        <v>1483</v>
      </c>
      <c r="C294" s="508" t="s">
        <v>40</v>
      </c>
      <c r="D294" s="509">
        <v>1037</v>
      </c>
      <c r="E294" s="510">
        <f t="shared" si="179"/>
        <v>20564.900000000001</v>
      </c>
      <c r="F294" s="511">
        <v>21325801.300000001</v>
      </c>
      <c r="G294" s="769">
        <v>21833.33</v>
      </c>
      <c r="H294" s="768">
        <f t="shared" si="182"/>
        <v>22641163.210000001</v>
      </c>
      <c r="I294" s="626">
        <f t="shared" si="180"/>
        <v>-1268.4300000000003</v>
      </c>
      <c r="J294" s="513">
        <f>F294-H294</f>
        <v>-1315361.9100000001</v>
      </c>
      <c r="K294" s="521"/>
    </row>
    <row r="295" spans="1:11" s="514" customFormat="1" ht="22.5" customHeight="1" outlineLevel="1" x14ac:dyDescent="0.3">
      <c r="A295" s="443">
        <f t="shared" si="183"/>
        <v>281</v>
      </c>
      <c r="B295" s="507" t="s">
        <v>1584</v>
      </c>
      <c r="C295" s="508" t="s">
        <v>5</v>
      </c>
      <c r="D295" s="516">
        <v>1234.68</v>
      </c>
      <c r="E295" s="510">
        <f t="shared" si="179"/>
        <v>9294.7099999999991</v>
      </c>
      <c r="F295" s="511">
        <v>11475992.539999999</v>
      </c>
      <c r="G295" s="769">
        <v>9083.33</v>
      </c>
      <c r="H295" s="768">
        <f t="shared" si="182"/>
        <v>11215005.884400001</v>
      </c>
      <c r="I295" s="626">
        <f t="shared" si="180"/>
        <v>211.3799999999992</v>
      </c>
      <c r="J295" s="513">
        <f t="shared" ref="J295" si="186">F295-H295</f>
        <v>260986.65559999831</v>
      </c>
      <c r="K295" s="521"/>
    </row>
    <row r="296" spans="1:11" ht="19.5" customHeight="1" outlineLevel="1" x14ac:dyDescent="0.3">
      <c r="A296" s="443">
        <f t="shared" si="183"/>
        <v>282</v>
      </c>
      <c r="B296" s="428" t="s">
        <v>1778</v>
      </c>
      <c r="C296" s="630" t="s">
        <v>1385</v>
      </c>
      <c r="D296" s="631">
        <v>1</v>
      </c>
      <c r="E296" s="480">
        <f t="shared" si="179"/>
        <v>133194.57999999999</v>
      </c>
      <c r="F296" s="479">
        <f>1847346.74-1714152.16</f>
        <v>133194.58000000007</v>
      </c>
      <c r="G296" s="767">
        <v>133194.57999999999</v>
      </c>
      <c r="H296" s="768">
        <f t="shared" si="182"/>
        <v>133194.57999999999</v>
      </c>
      <c r="I296" s="625">
        <f t="shared" si="180"/>
        <v>0</v>
      </c>
      <c r="J296" s="481">
        <f t="shared" ref="J296:J298" si="187">F296-H296</f>
        <v>0</v>
      </c>
      <c r="K296" s="522" t="s">
        <v>1448</v>
      </c>
    </row>
    <row r="297" spans="1:11" s="514" customFormat="1" ht="22.5" customHeight="1" outlineLevel="1" x14ac:dyDescent="0.3">
      <c r="A297" s="443">
        <f t="shared" si="183"/>
        <v>283</v>
      </c>
      <c r="B297" s="507" t="s">
        <v>1442</v>
      </c>
      <c r="C297" s="508" t="s">
        <v>1385</v>
      </c>
      <c r="D297" s="509">
        <v>1037</v>
      </c>
      <c r="E297" s="510">
        <f t="shared" si="179"/>
        <v>6732</v>
      </c>
      <c r="F297" s="511">
        <v>6981084</v>
      </c>
      <c r="G297" s="769">
        <v>4291.67</v>
      </c>
      <c r="H297" s="768">
        <f t="shared" si="182"/>
        <v>4450461.79</v>
      </c>
      <c r="I297" s="626">
        <f t="shared" si="180"/>
        <v>2440.33</v>
      </c>
      <c r="J297" s="513">
        <f t="shared" si="187"/>
        <v>2530622.21</v>
      </c>
      <c r="K297" s="521"/>
    </row>
    <row r="298" spans="1:11" s="514" customFormat="1" ht="22.5" customHeight="1" outlineLevel="1" x14ac:dyDescent="0.3">
      <c r="A298" s="443">
        <f t="shared" si="183"/>
        <v>284</v>
      </c>
      <c r="B298" s="507" t="s">
        <v>1584</v>
      </c>
      <c r="C298" s="508" t="s">
        <v>5</v>
      </c>
      <c r="D298" s="516">
        <v>630.34</v>
      </c>
      <c r="E298" s="510">
        <f t="shared" si="179"/>
        <v>9294.7099999999991</v>
      </c>
      <c r="F298" s="511">
        <v>5858827.5</v>
      </c>
      <c r="G298" s="769">
        <v>9083.33</v>
      </c>
      <c r="H298" s="768">
        <f t="shared" si="182"/>
        <v>5725586.2322000004</v>
      </c>
      <c r="I298" s="626">
        <f t="shared" si="180"/>
        <v>211.3799999999992</v>
      </c>
      <c r="J298" s="513">
        <f t="shared" si="187"/>
        <v>133241.26779999956</v>
      </c>
      <c r="K298" s="521"/>
    </row>
    <row r="299" spans="1:11" s="517" customFormat="1" ht="34.5" customHeight="1" outlineLevel="1" x14ac:dyDescent="0.3">
      <c r="A299" s="443">
        <f t="shared" si="183"/>
        <v>285</v>
      </c>
      <c r="B299" s="428" t="s">
        <v>1579</v>
      </c>
      <c r="C299" s="630" t="s">
        <v>1385</v>
      </c>
      <c r="D299" s="631">
        <v>1</v>
      </c>
      <c r="E299" s="480">
        <f t="shared" si="179"/>
        <v>9220.27</v>
      </c>
      <c r="F299" s="479">
        <f>216153.8-206933.53</f>
        <v>9220.2699999999895</v>
      </c>
      <c r="G299" s="767">
        <v>9220.27</v>
      </c>
      <c r="H299" s="768">
        <f t="shared" si="182"/>
        <v>9220.27</v>
      </c>
      <c r="I299" s="625">
        <f>E299-G299</f>
        <v>0</v>
      </c>
      <c r="J299" s="481">
        <f>F299-H299</f>
        <v>0</v>
      </c>
      <c r="K299" s="522" t="s">
        <v>1467</v>
      </c>
    </row>
    <row r="300" spans="1:11" s="514" customFormat="1" ht="33.75" customHeight="1" outlineLevel="1" x14ac:dyDescent="0.3">
      <c r="A300" s="443">
        <f t="shared" si="183"/>
        <v>286</v>
      </c>
      <c r="B300" s="507" t="s">
        <v>1434</v>
      </c>
      <c r="C300" s="508" t="s">
        <v>1391</v>
      </c>
      <c r="D300" s="509">
        <v>1</v>
      </c>
      <c r="E300" s="510">
        <f t="shared" si="179"/>
        <v>6282350</v>
      </c>
      <c r="F300" s="511">
        <v>6282350</v>
      </c>
      <c r="G300" s="769">
        <v>4308333.33</v>
      </c>
      <c r="H300" s="768">
        <f t="shared" si="182"/>
        <v>4308333.33</v>
      </c>
      <c r="I300" s="626">
        <f t="shared" ref="I300:I301" si="188">E300-G300</f>
        <v>1974016.67</v>
      </c>
      <c r="J300" s="513">
        <f t="shared" ref="J300:J301" si="189">F300-H300</f>
        <v>1974016.67</v>
      </c>
      <c r="K300" s="521"/>
    </row>
    <row r="301" spans="1:11" s="514" customFormat="1" ht="26.25" customHeight="1" outlineLevel="1" x14ac:dyDescent="0.3">
      <c r="A301" s="443">
        <f t="shared" si="183"/>
        <v>287</v>
      </c>
      <c r="B301" s="507" t="s">
        <v>1780</v>
      </c>
      <c r="C301" s="508" t="s">
        <v>1385</v>
      </c>
      <c r="D301" s="509">
        <v>2</v>
      </c>
      <c r="E301" s="510">
        <f t="shared" si="179"/>
        <v>420489.9</v>
      </c>
      <c r="F301" s="511">
        <v>840979.8</v>
      </c>
      <c r="G301" s="769">
        <v>420489.9</v>
      </c>
      <c r="H301" s="768">
        <f t="shared" si="182"/>
        <v>840979.8</v>
      </c>
      <c r="I301" s="626">
        <f t="shared" si="188"/>
        <v>0</v>
      </c>
      <c r="J301" s="513">
        <f t="shared" si="189"/>
        <v>0</v>
      </c>
      <c r="K301" s="521"/>
    </row>
    <row r="302" spans="1:11" s="517" customFormat="1" ht="34.5" customHeight="1" outlineLevel="1" x14ac:dyDescent="0.3">
      <c r="A302" s="443">
        <f t="shared" si="183"/>
        <v>288</v>
      </c>
      <c r="B302" s="428" t="s">
        <v>1580</v>
      </c>
      <c r="C302" s="630" t="s">
        <v>1385</v>
      </c>
      <c r="D302" s="631">
        <v>1</v>
      </c>
      <c r="E302" s="480">
        <f t="shared" si="179"/>
        <v>17425.349999999999</v>
      </c>
      <c r="F302" s="479">
        <f>428419.97-410994.62</f>
        <v>17425.349999999977</v>
      </c>
      <c r="G302" s="767">
        <v>17425.349999999999</v>
      </c>
      <c r="H302" s="768">
        <f t="shared" si="182"/>
        <v>17425.349999999999</v>
      </c>
      <c r="I302" s="625">
        <f>E302-G302</f>
        <v>0</v>
      </c>
      <c r="J302" s="481">
        <f>F302-H302</f>
        <v>0</v>
      </c>
      <c r="K302" s="522" t="s">
        <v>1467</v>
      </c>
    </row>
    <row r="303" spans="1:11" s="514" customFormat="1" ht="33.75" customHeight="1" outlineLevel="1" x14ac:dyDescent="0.3">
      <c r="A303" s="443">
        <f t="shared" si="183"/>
        <v>289</v>
      </c>
      <c r="B303" s="507" t="s">
        <v>1437</v>
      </c>
      <c r="C303" s="508" t="s">
        <v>1391</v>
      </c>
      <c r="D303" s="509">
        <v>1</v>
      </c>
      <c r="E303" s="510">
        <f t="shared" si="179"/>
        <v>9775072.25</v>
      </c>
      <c r="F303" s="511">
        <v>9775072.25</v>
      </c>
      <c r="G303" s="769">
        <v>7083333.3300000001</v>
      </c>
      <c r="H303" s="768">
        <f t="shared" si="182"/>
        <v>7083333.3300000001</v>
      </c>
      <c r="I303" s="626">
        <f t="shared" ref="I303:I304" si="190">E303-G303</f>
        <v>2691738.92</v>
      </c>
      <c r="J303" s="513">
        <f t="shared" ref="J303:J304" si="191">F303-H303</f>
        <v>2691738.92</v>
      </c>
      <c r="K303" s="521"/>
    </row>
    <row r="304" spans="1:11" s="514" customFormat="1" ht="26.25" customHeight="1" outlineLevel="1" x14ac:dyDescent="0.3">
      <c r="A304" s="443">
        <f t="shared" si="183"/>
        <v>290</v>
      </c>
      <c r="B304" s="507" t="s">
        <v>1438</v>
      </c>
      <c r="C304" s="508" t="s">
        <v>1385</v>
      </c>
      <c r="D304" s="509">
        <v>1</v>
      </c>
      <c r="E304" s="510">
        <f t="shared" si="179"/>
        <v>721876.89</v>
      </c>
      <c r="F304" s="511">
        <v>721876.89</v>
      </c>
      <c r="G304" s="769">
        <v>721876.89</v>
      </c>
      <c r="H304" s="768">
        <f t="shared" si="182"/>
        <v>721876.89</v>
      </c>
      <c r="I304" s="626">
        <f t="shared" si="190"/>
        <v>0</v>
      </c>
      <c r="J304" s="513">
        <f t="shared" si="191"/>
        <v>0</v>
      </c>
      <c r="K304" s="521"/>
    </row>
    <row r="305" spans="1:11" s="514" customFormat="1" ht="26.25" customHeight="1" outlineLevel="1" x14ac:dyDescent="0.3">
      <c r="A305" s="443">
        <f t="shared" si="183"/>
        <v>291</v>
      </c>
      <c r="B305" s="507" t="s">
        <v>1586</v>
      </c>
      <c r="C305" s="508" t="s">
        <v>1385</v>
      </c>
      <c r="D305" s="509">
        <v>40</v>
      </c>
      <c r="E305" s="510">
        <f t="shared" si="179"/>
        <v>1652.4</v>
      </c>
      <c r="F305" s="511">
        <v>66096</v>
      </c>
      <c r="G305" s="769">
        <v>16666.669999999998</v>
      </c>
      <c r="H305" s="768">
        <f t="shared" si="182"/>
        <v>666666.79999999993</v>
      </c>
      <c r="I305" s="626">
        <f t="shared" ref="I305:I306" si="192">E305-G305</f>
        <v>-15014.269999999999</v>
      </c>
      <c r="J305" s="513">
        <f t="shared" ref="J305:J306" si="193">F305-H305</f>
        <v>-600570.79999999993</v>
      </c>
      <c r="K305" s="521"/>
    </row>
    <row r="306" spans="1:11" ht="46.5" customHeight="1" outlineLevel="1" x14ac:dyDescent="0.3">
      <c r="A306" s="443">
        <f t="shared" si="183"/>
        <v>292</v>
      </c>
      <c r="B306" s="428" t="s">
        <v>1592</v>
      </c>
      <c r="C306" s="443" t="s">
        <v>28</v>
      </c>
      <c r="D306" s="536">
        <f>(367*10.2+27*12+16*12.5+200)/1000</f>
        <v>4.4673999999999996</v>
      </c>
      <c r="E306" s="480">
        <f t="shared" ref="E306" si="194">F306/11</f>
        <v>526660.20363636361</v>
      </c>
      <c r="F306" s="479">
        <f>4638426.2+401466.61+247818.89+505550.54</f>
        <v>5793262.2400000002</v>
      </c>
      <c r="G306" s="767">
        <v>526660.20363636361</v>
      </c>
      <c r="H306" s="768">
        <f t="shared" si="182"/>
        <v>2352801.7937250906</v>
      </c>
      <c r="I306" s="625">
        <f t="shared" si="192"/>
        <v>0</v>
      </c>
      <c r="J306" s="481">
        <f t="shared" si="193"/>
        <v>3440460.4462749097</v>
      </c>
      <c r="K306" s="519" t="s">
        <v>1401</v>
      </c>
    </row>
    <row r="307" spans="1:11" s="525" customFormat="1" ht="23.25" customHeight="1" outlineLevel="1" x14ac:dyDescent="0.3">
      <c r="A307" s="443">
        <f t="shared" si="183"/>
        <v>293</v>
      </c>
      <c r="B307" s="428" t="s">
        <v>1473</v>
      </c>
      <c r="C307" s="443" t="s">
        <v>16</v>
      </c>
      <c r="D307" s="580">
        <f>11.01+0.81+0.48+1.2</f>
        <v>13.5</v>
      </c>
      <c r="E307" s="480">
        <f>76.87*8.61</f>
        <v>661.85069999999996</v>
      </c>
      <c r="F307" s="892">
        <f>ROUND((2035349.17-1307209.9)+(149739.59-96170.76)+(88734.56-56990.07)+(221836.44-142475.21),2)-263.78</f>
        <v>892550.03999999992</v>
      </c>
      <c r="G307" s="770">
        <v>661.85069999999996</v>
      </c>
      <c r="H307" s="899">
        <f>892813.82-263.78</f>
        <v>892550.03999999992</v>
      </c>
      <c r="I307" s="896">
        <v>0</v>
      </c>
      <c r="J307" s="850">
        <v>0</v>
      </c>
      <c r="K307" s="522" t="s">
        <v>1476</v>
      </c>
    </row>
    <row r="308" spans="1:11" s="525" customFormat="1" ht="23.25" customHeight="1" outlineLevel="1" x14ac:dyDescent="0.3">
      <c r="A308" s="443">
        <f t="shared" si="183"/>
        <v>294</v>
      </c>
      <c r="B308" s="428" t="s">
        <v>1474</v>
      </c>
      <c r="C308" s="443" t="s">
        <v>364</v>
      </c>
      <c r="D308" s="526">
        <f>367+27+16+40</f>
        <v>450</v>
      </c>
      <c r="E308" s="480">
        <f>44.84*8.61</f>
        <v>386.07240000000002</v>
      </c>
      <c r="F308" s="893"/>
      <c r="G308" s="770">
        <v>386.07240000000002</v>
      </c>
      <c r="H308" s="900"/>
      <c r="I308" s="897"/>
      <c r="J308" s="891"/>
      <c r="K308" s="522" t="s">
        <v>1476</v>
      </c>
    </row>
    <row r="309" spans="1:11" s="525" customFormat="1" ht="23.25" customHeight="1" outlineLevel="1" x14ac:dyDescent="0.3">
      <c r="A309" s="443">
        <f t="shared" si="183"/>
        <v>295</v>
      </c>
      <c r="B309" s="428" t="s">
        <v>1399</v>
      </c>
      <c r="C309" s="443" t="s">
        <v>364</v>
      </c>
      <c r="D309" s="526">
        <f>367+27+16+40</f>
        <v>450</v>
      </c>
      <c r="E309" s="480">
        <f>11.9*8.61</f>
        <v>102.459</v>
      </c>
      <c r="F309" s="893"/>
      <c r="G309" s="770">
        <v>102.459</v>
      </c>
      <c r="H309" s="900"/>
      <c r="I309" s="897"/>
      <c r="J309" s="891"/>
      <c r="K309" s="522" t="s">
        <v>1476</v>
      </c>
    </row>
    <row r="310" spans="1:11" s="525" customFormat="1" ht="23.25" customHeight="1" outlineLevel="1" x14ac:dyDescent="0.3">
      <c r="A310" s="443">
        <f t="shared" si="183"/>
        <v>296</v>
      </c>
      <c r="B310" s="428" t="s">
        <v>1397</v>
      </c>
      <c r="C310" s="443" t="s">
        <v>16</v>
      </c>
      <c r="D310" s="526">
        <f>1101+81+48+120</f>
        <v>1350</v>
      </c>
      <c r="E310" s="480">
        <f>4.8*8.61</f>
        <v>41.327999999999996</v>
      </c>
      <c r="F310" s="893"/>
      <c r="G310" s="770">
        <v>41.327999999999996</v>
      </c>
      <c r="H310" s="900"/>
      <c r="I310" s="897"/>
      <c r="J310" s="891"/>
      <c r="K310" s="522" t="s">
        <v>1476</v>
      </c>
    </row>
    <row r="311" spans="1:11" s="525" customFormat="1" ht="23.25" customHeight="1" outlineLevel="1" x14ac:dyDescent="0.3">
      <c r="A311" s="443">
        <f t="shared" si="183"/>
        <v>297</v>
      </c>
      <c r="B311" s="428" t="s">
        <v>1396</v>
      </c>
      <c r="C311" s="443" t="s">
        <v>364</v>
      </c>
      <c r="D311" s="580">
        <f>3.67+0.27+0.16+0.4</f>
        <v>4.5</v>
      </c>
      <c r="E311" s="480">
        <f>1482*8.61</f>
        <v>12760.019999999999</v>
      </c>
      <c r="F311" s="893"/>
      <c r="G311" s="770">
        <v>12560.02</v>
      </c>
      <c r="H311" s="900"/>
      <c r="I311" s="897"/>
      <c r="J311" s="891"/>
      <c r="K311" s="522" t="s">
        <v>1476</v>
      </c>
    </row>
    <row r="312" spans="1:11" s="525" customFormat="1" ht="23.25" customHeight="1" outlineLevel="1" x14ac:dyDescent="0.3">
      <c r="A312" s="443">
        <f t="shared" si="183"/>
        <v>298</v>
      </c>
      <c r="B312" s="428" t="s">
        <v>1475</v>
      </c>
      <c r="C312" s="443" t="s">
        <v>364</v>
      </c>
      <c r="D312" s="580">
        <f>14.68+1.08+0.64+16</f>
        <v>32.4</v>
      </c>
      <c r="E312" s="480">
        <f>529.18*8.61</f>
        <v>4556.2397999999994</v>
      </c>
      <c r="F312" s="893"/>
      <c r="G312" s="770">
        <v>4556.2397999999994</v>
      </c>
      <c r="H312" s="900"/>
      <c r="I312" s="897"/>
      <c r="J312" s="891"/>
      <c r="K312" s="522" t="s">
        <v>1476</v>
      </c>
    </row>
    <row r="313" spans="1:11" s="525" customFormat="1" ht="31.5" customHeight="1" outlineLevel="1" x14ac:dyDescent="0.3">
      <c r="A313" s="443">
        <f t="shared" si="183"/>
        <v>299</v>
      </c>
      <c r="B313" s="428" t="s">
        <v>1400</v>
      </c>
      <c r="C313" s="443" t="s">
        <v>1398</v>
      </c>
      <c r="D313" s="526">
        <f>367+27+16+40</f>
        <v>450</v>
      </c>
      <c r="E313" s="480">
        <f>121*8.61</f>
        <v>1041.81</v>
      </c>
      <c r="F313" s="894"/>
      <c r="G313" s="770">
        <v>1041.81</v>
      </c>
      <c r="H313" s="901"/>
      <c r="I313" s="898"/>
      <c r="J313" s="851"/>
      <c r="K313" s="522" t="s">
        <v>1476</v>
      </c>
    </row>
    <row r="314" spans="1:11" s="514" customFormat="1" ht="30" customHeight="1" outlineLevel="1" x14ac:dyDescent="0.3">
      <c r="A314" s="443">
        <f t="shared" si="183"/>
        <v>300</v>
      </c>
      <c r="B314" s="507" t="s">
        <v>1688</v>
      </c>
      <c r="C314" s="508" t="s">
        <v>1391</v>
      </c>
      <c r="D314" s="509">
        <v>20</v>
      </c>
      <c r="E314" s="510">
        <f t="shared" ref="E314:E315" si="195">ROUND(F314/D314,2)</f>
        <v>1293275</v>
      </c>
      <c r="F314" s="511">
        <v>25865500</v>
      </c>
      <c r="G314" s="769">
        <v>763333.33</v>
      </c>
      <c r="H314" s="774">
        <f>D314*G314</f>
        <v>15266666.6</v>
      </c>
      <c r="I314" s="626">
        <f t="shared" ref="I314:I340" si="196">E314-G314</f>
        <v>529941.67000000004</v>
      </c>
      <c r="J314" s="513">
        <f t="shared" ref="J314:J340" si="197">F314-H314</f>
        <v>10598833.4</v>
      </c>
      <c r="K314" s="523"/>
    </row>
    <row r="315" spans="1:11" s="514" customFormat="1" ht="24" customHeight="1" outlineLevel="1" x14ac:dyDescent="0.3">
      <c r="A315" s="443">
        <f t="shared" si="183"/>
        <v>301</v>
      </c>
      <c r="B315" s="507" t="s">
        <v>1483</v>
      </c>
      <c r="C315" s="508" t="s">
        <v>40</v>
      </c>
      <c r="D315" s="509">
        <v>140</v>
      </c>
      <c r="E315" s="510">
        <f t="shared" si="195"/>
        <v>20564.900000000001</v>
      </c>
      <c r="F315" s="511">
        <v>2879086</v>
      </c>
      <c r="G315" s="769">
        <v>21833.33</v>
      </c>
      <c r="H315" s="774">
        <f t="shared" ref="H315:H349" si="198">D315*G315</f>
        <v>3056666.2</v>
      </c>
      <c r="I315" s="626">
        <f t="shared" si="196"/>
        <v>-1268.4300000000003</v>
      </c>
      <c r="J315" s="513">
        <f t="shared" si="197"/>
        <v>-177580.20000000019</v>
      </c>
      <c r="K315" s="523"/>
    </row>
    <row r="316" spans="1:11" s="525" customFormat="1" ht="21.75" customHeight="1" outlineLevel="1" x14ac:dyDescent="0.3">
      <c r="A316" s="443">
        <f t="shared" si="183"/>
        <v>302</v>
      </c>
      <c r="B316" s="428" t="s">
        <v>1487</v>
      </c>
      <c r="C316" s="630" t="s">
        <v>28</v>
      </c>
      <c r="D316" s="632">
        <v>0.2</v>
      </c>
      <c r="E316" s="480">
        <f>9249.85*8.61</f>
        <v>79641.208499999993</v>
      </c>
      <c r="F316" s="479">
        <f>ROUND(E316*D316,2)</f>
        <v>15928.24</v>
      </c>
      <c r="G316" s="767">
        <v>79641.208499999993</v>
      </c>
      <c r="H316" s="774">
        <f t="shared" si="198"/>
        <v>15928.241699999999</v>
      </c>
      <c r="I316" s="625">
        <f t="shared" si="196"/>
        <v>0</v>
      </c>
      <c r="J316" s="481">
        <f t="shared" si="197"/>
        <v>-1.6999999988911441E-3</v>
      </c>
      <c r="K316" s="522" t="s">
        <v>1486</v>
      </c>
    </row>
    <row r="317" spans="1:11" s="525" customFormat="1" ht="24.75" customHeight="1" outlineLevel="1" x14ac:dyDescent="0.3">
      <c r="A317" s="443">
        <f t="shared" si="183"/>
        <v>303</v>
      </c>
      <c r="B317" s="428" t="s">
        <v>1488</v>
      </c>
      <c r="C317" s="630" t="s">
        <v>28</v>
      </c>
      <c r="D317" s="632">
        <v>0.4</v>
      </c>
      <c r="E317" s="480">
        <f>11856*8.61</f>
        <v>102080.15999999999</v>
      </c>
      <c r="F317" s="479">
        <f>ROUND(E317*D317,2)</f>
        <v>40832.06</v>
      </c>
      <c r="G317" s="767">
        <v>102080.15999999999</v>
      </c>
      <c r="H317" s="774">
        <f t="shared" si="198"/>
        <v>40832.063999999998</v>
      </c>
      <c r="I317" s="625">
        <f t="shared" si="196"/>
        <v>0</v>
      </c>
      <c r="J317" s="481">
        <f t="shared" si="197"/>
        <v>-4.0000000008149073E-3</v>
      </c>
      <c r="K317" s="522" t="s">
        <v>1486</v>
      </c>
    </row>
    <row r="318" spans="1:11" ht="23.25" customHeight="1" outlineLevel="1" x14ac:dyDescent="0.3">
      <c r="A318" s="443">
        <f t="shared" si="183"/>
        <v>304</v>
      </c>
      <c r="B318" s="618" t="s">
        <v>1484</v>
      </c>
      <c r="C318" s="508" t="s">
        <v>40</v>
      </c>
      <c r="D318" s="509">
        <v>200</v>
      </c>
      <c r="E318" s="510">
        <f t="shared" ref="E318:E319" si="199">F318/11</f>
        <v>1407.8745454545456</v>
      </c>
      <c r="F318" s="511">
        <v>15486.62</v>
      </c>
      <c r="G318" s="769">
        <v>1407.8745454545456</v>
      </c>
      <c r="H318" s="774">
        <f t="shared" si="198"/>
        <v>281574.90909090912</v>
      </c>
      <c r="I318" s="626">
        <f t="shared" si="196"/>
        <v>0</v>
      </c>
      <c r="J318" s="513">
        <f t="shared" si="197"/>
        <v>-266088.28909090912</v>
      </c>
      <c r="K318" s="523" t="s">
        <v>1440</v>
      </c>
    </row>
    <row r="319" spans="1:11" ht="23.25" customHeight="1" outlineLevel="1" x14ac:dyDescent="0.3">
      <c r="A319" s="443">
        <f t="shared" si="183"/>
        <v>305</v>
      </c>
      <c r="B319" s="618" t="s">
        <v>1485</v>
      </c>
      <c r="C319" s="508" t="s">
        <v>40</v>
      </c>
      <c r="D319" s="509">
        <v>80</v>
      </c>
      <c r="E319" s="510">
        <f t="shared" si="199"/>
        <v>11290.058181818182</v>
      </c>
      <c r="F319" s="511">
        <v>124190.64</v>
      </c>
      <c r="G319" s="769">
        <v>11290.058181818182</v>
      </c>
      <c r="H319" s="774">
        <f t="shared" si="198"/>
        <v>903204.65454545454</v>
      </c>
      <c r="I319" s="626">
        <f t="shared" si="196"/>
        <v>0</v>
      </c>
      <c r="J319" s="513">
        <f t="shared" si="197"/>
        <v>-779014.01454545453</v>
      </c>
      <c r="K319" s="523" t="s">
        <v>1440</v>
      </c>
    </row>
    <row r="320" spans="1:11" s="514" customFormat="1" ht="21.75" customHeight="1" outlineLevel="1" x14ac:dyDescent="0.3">
      <c r="A320" s="443">
        <f t="shared" si="183"/>
        <v>306</v>
      </c>
      <c r="B320" s="507" t="s">
        <v>1516</v>
      </c>
      <c r="C320" s="508" t="s">
        <v>40</v>
      </c>
      <c r="D320" s="509">
        <v>30</v>
      </c>
      <c r="E320" s="510">
        <f t="shared" ref="E320:E340" si="200">ROUND(F320/D320,2)</f>
        <v>4624</v>
      </c>
      <c r="F320" s="511">
        <v>138720</v>
      </c>
      <c r="G320" s="769">
        <v>4624</v>
      </c>
      <c r="H320" s="774">
        <f t="shared" si="198"/>
        <v>138720</v>
      </c>
      <c r="I320" s="626">
        <f t="shared" si="196"/>
        <v>0</v>
      </c>
      <c r="J320" s="513">
        <f t="shared" si="197"/>
        <v>0</v>
      </c>
      <c r="K320" s="521"/>
    </row>
    <row r="321" spans="1:11" s="514" customFormat="1" ht="21.75" customHeight="1" outlineLevel="1" x14ac:dyDescent="0.3">
      <c r="A321" s="443">
        <f t="shared" si="183"/>
        <v>307</v>
      </c>
      <c r="B321" s="507" t="s">
        <v>1517</v>
      </c>
      <c r="C321" s="508" t="s">
        <v>40</v>
      </c>
      <c r="D321" s="509">
        <v>7</v>
      </c>
      <c r="E321" s="510">
        <f t="shared" si="200"/>
        <v>5737.5</v>
      </c>
      <c r="F321" s="511">
        <v>40162.5</v>
      </c>
      <c r="G321" s="769">
        <v>5737.5</v>
      </c>
      <c r="H321" s="774">
        <f t="shared" si="198"/>
        <v>40162.5</v>
      </c>
      <c r="I321" s="626">
        <f t="shared" si="196"/>
        <v>0</v>
      </c>
      <c r="J321" s="513">
        <f t="shared" si="197"/>
        <v>0</v>
      </c>
      <c r="K321" s="521"/>
    </row>
    <row r="322" spans="1:11" ht="23.25" customHeight="1" outlineLevel="1" x14ac:dyDescent="0.3">
      <c r="A322" s="443">
        <f t="shared" si="183"/>
        <v>308</v>
      </c>
      <c r="B322" s="428" t="s">
        <v>1695</v>
      </c>
      <c r="C322" s="442" t="s">
        <v>17</v>
      </c>
      <c r="D322" s="529">
        <f>126.25*1.26+329.86*1.26+3.08*1.26</f>
        <v>578.57939999999996</v>
      </c>
      <c r="E322" s="480">
        <f t="shared" si="200"/>
        <v>1182.67</v>
      </c>
      <c r="F322" s="479">
        <f>188133.17+491545.4+4589.7</f>
        <v>684268.27</v>
      </c>
      <c r="G322" s="767">
        <v>5000</v>
      </c>
      <c r="H322" s="774">
        <f t="shared" si="198"/>
        <v>2892897</v>
      </c>
      <c r="I322" s="625">
        <f t="shared" si="196"/>
        <v>-3817.33</v>
      </c>
      <c r="J322" s="481">
        <f t="shared" si="197"/>
        <v>-2208628.73</v>
      </c>
    </row>
    <row r="323" spans="1:11" s="514" customFormat="1" ht="30" customHeight="1" outlineLevel="1" x14ac:dyDescent="0.3">
      <c r="A323" s="443">
        <f t="shared" si="183"/>
        <v>309</v>
      </c>
      <c r="B323" s="507" t="s">
        <v>1802</v>
      </c>
      <c r="C323" s="508" t="s">
        <v>40</v>
      </c>
      <c r="D323" s="509">
        <v>1050</v>
      </c>
      <c r="E323" s="510">
        <f t="shared" si="200"/>
        <v>41446.5</v>
      </c>
      <c r="F323" s="511">
        <v>43518826.579999998</v>
      </c>
      <c r="G323" s="769">
        <v>32175.27</v>
      </c>
      <c r="H323" s="774">
        <f t="shared" si="198"/>
        <v>33784033.5</v>
      </c>
      <c r="I323" s="626">
        <f t="shared" si="196"/>
        <v>9271.23</v>
      </c>
      <c r="J323" s="513">
        <f t="shared" si="197"/>
        <v>9734793.0799999982</v>
      </c>
      <c r="K323" s="521"/>
    </row>
    <row r="324" spans="1:11" s="514" customFormat="1" ht="32.25" customHeight="1" outlineLevel="1" x14ac:dyDescent="0.3">
      <c r="A324" s="443">
        <f t="shared" si="183"/>
        <v>310</v>
      </c>
      <c r="B324" s="507" t="s">
        <v>1803</v>
      </c>
      <c r="C324" s="508" t="s">
        <v>40</v>
      </c>
      <c r="D324" s="509">
        <v>1002</v>
      </c>
      <c r="E324" s="510">
        <f t="shared" si="200"/>
        <v>22287</v>
      </c>
      <c r="F324" s="511">
        <v>22331574</v>
      </c>
      <c r="G324" s="769">
        <v>16549</v>
      </c>
      <c r="H324" s="774">
        <f t="shared" si="198"/>
        <v>16582098</v>
      </c>
      <c r="I324" s="626">
        <f t="shared" si="196"/>
        <v>5738</v>
      </c>
      <c r="J324" s="513">
        <f t="shared" si="197"/>
        <v>5749476</v>
      </c>
      <c r="K324" s="521"/>
    </row>
    <row r="325" spans="1:11" s="514" customFormat="1" ht="32.25" customHeight="1" outlineLevel="1" x14ac:dyDescent="0.3">
      <c r="A325" s="443">
        <f t="shared" si="183"/>
        <v>311</v>
      </c>
      <c r="B325" s="507" t="s">
        <v>1804</v>
      </c>
      <c r="C325" s="508" t="s">
        <v>40</v>
      </c>
      <c r="D325" s="509">
        <v>547</v>
      </c>
      <c r="E325" s="510">
        <f t="shared" si="200"/>
        <v>46552.78</v>
      </c>
      <c r="F325" s="511">
        <v>25464367.940000001</v>
      </c>
      <c r="G325" s="769">
        <v>34759.769999999997</v>
      </c>
      <c r="H325" s="774">
        <f t="shared" si="198"/>
        <v>19013594.189999998</v>
      </c>
      <c r="I325" s="626">
        <f t="shared" si="196"/>
        <v>11793.010000000002</v>
      </c>
      <c r="J325" s="513">
        <f t="shared" si="197"/>
        <v>6450773.7500000037</v>
      </c>
      <c r="K325" s="521"/>
    </row>
    <row r="326" spans="1:11" s="514" customFormat="1" ht="25.5" customHeight="1" outlineLevel="1" x14ac:dyDescent="0.3">
      <c r="A326" s="443">
        <f t="shared" si="183"/>
        <v>312</v>
      </c>
      <c r="B326" s="507" t="s">
        <v>1632</v>
      </c>
      <c r="C326" s="508" t="s">
        <v>40</v>
      </c>
      <c r="D326" s="509">
        <v>2100</v>
      </c>
      <c r="E326" s="510">
        <f t="shared" si="200"/>
        <v>161.5</v>
      </c>
      <c r="F326" s="511">
        <v>339150</v>
      </c>
      <c r="G326" s="769">
        <v>83.33</v>
      </c>
      <c r="H326" s="774">
        <f t="shared" si="198"/>
        <v>174993</v>
      </c>
      <c r="I326" s="626">
        <f t="shared" si="196"/>
        <v>78.17</v>
      </c>
      <c r="J326" s="513">
        <f t="shared" si="197"/>
        <v>164157</v>
      </c>
      <c r="K326" s="521"/>
    </row>
    <row r="327" spans="1:11" s="514" customFormat="1" ht="25.5" customHeight="1" outlineLevel="1" x14ac:dyDescent="0.3">
      <c r="A327" s="443">
        <f t="shared" si="183"/>
        <v>313</v>
      </c>
      <c r="B327" s="507" t="s">
        <v>1409</v>
      </c>
      <c r="C327" s="508" t="s">
        <v>40</v>
      </c>
      <c r="D327" s="509">
        <v>2004</v>
      </c>
      <c r="E327" s="510">
        <f t="shared" si="200"/>
        <v>161.5</v>
      </c>
      <c r="F327" s="511">
        <v>323646</v>
      </c>
      <c r="G327" s="769">
        <v>83.33</v>
      </c>
      <c r="H327" s="774">
        <f t="shared" si="198"/>
        <v>166993.32</v>
      </c>
      <c r="I327" s="626">
        <f t="shared" si="196"/>
        <v>78.17</v>
      </c>
      <c r="J327" s="513">
        <f t="shared" si="197"/>
        <v>156652.68</v>
      </c>
      <c r="K327" s="521"/>
    </row>
    <row r="328" spans="1:11" s="514" customFormat="1" ht="25.5" customHeight="1" outlineLevel="1" x14ac:dyDescent="0.3">
      <c r="A328" s="443">
        <f t="shared" si="183"/>
        <v>314</v>
      </c>
      <c r="B328" s="507" t="s">
        <v>1408</v>
      </c>
      <c r="C328" s="508" t="s">
        <v>40</v>
      </c>
      <c r="D328" s="509">
        <v>1034</v>
      </c>
      <c r="E328" s="510">
        <f t="shared" si="200"/>
        <v>161.5</v>
      </c>
      <c r="F328" s="511">
        <v>166991</v>
      </c>
      <c r="G328" s="769">
        <v>83.33</v>
      </c>
      <c r="H328" s="774">
        <f t="shared" si="198"/>
        <v>86163.22</v>
      </c>
      <c r="I328" s="626">
        <f t="shared" si="196"/>
        <v>78.17</v>
      </c>
      <c r="J328" s="513">
        <f t="shared" si="197"/>
        <v>80827.78</v>
      </c>
      <c r="K328" s="521"/>
    </row>
    <row r="329" spans="1:11" s="514" customFormat="1" ht="25.5" customHeight="1" outlineLevel="1" x14ac:dyDescent="0.3">
      <c r="A329" s="443">
        <f t="shared" si="183"/>
        <v>315</v>
      </c>
      <c r="B329" s="507" t="s">
        <v>1403</v>
      </c>
      <c r="C329" s="508" t="s">
        <v>40</v>
      </c>
      <c r="D329" s="509">
        <v>10500</v>
      </c>
      <c r="E329" s="510">
        <f t="shared" si="200"/>
        <v>997.05</v>
      </c>
      <c r="F329" s="511">
        <v>10469025</v>
      </c>
      <c r="G329" s="769">
        <v>333.33</v>
      </c>
      <c r="H329" s="774">
        <f t="shared" si="198"/>
        <v>3499965</v>
      </c>
      <c r="I329" s="626">
        <f t="shared" si="196"/>
        <v>663.72</v>
      </c>
      <c r="J329" s="513">
        <f t="shared" si="197"/>
        <v>6969060</v>
      </c>
      <c r="K329" s="521"/>
    </row>
    <row r="330" spans="1:11" s="514" customFormat="1" ht="25.5" customHeight="1" outlineLevel="1" x14ac:dyDescent="0.3">
      <c r="A330" s="443">
        <f t="shared" si="183"/>
        <v>316</v>
      </c>
      <c r="B330" s="507" t="s">
        <v>1404</v>
      </c>
      <c r="C330" s="508" t="s">
        <v>40</v>
      </c>
      <c r="D330" s="509">
        <v>5170</v>
      </c>
      <c r="E330" s="510">
        <f t="shared" si="200"/>
        <v>997.05</v>
      </c>
      <c r="F330" s="511">
        <v>5154748.5</v>
      </c>
      <c r="G330" s="769">
        <v>333.33</v>
      </c>
      <c r="H330" s="774">
        <f t="shared" si="198"/>
        <v>1723316.0999999999</v>
      </c>
      <c r="I330" s="626">
        <f t="shared" si="196"/>
        <v>663.72</v>
      </c>
      <c r="J330" s="513">
        <f t="shared" si="197"/>
        <v>3431432.4000000004</v>
      </c>
      <c r="K330" s="521"/>
    </row>
    <row r="331" spans="1:11" s="514" customFormat="1" ht="31.5" customHeight="1" outlineLevel="1" x14ac:dyDescent="0.3">
      <c r="A331" s="443">
        <f t="shared" si="183"/>
        <v>317</v>
      </c>
      <c r="B331" s="507" t="s">
        <v>1407</v>
      </c>
      <c r="C331" s="508" t="s">
        <v>40</v>
      </c>
      <c r="D331" s="509">
        <v>5010</v>
      </c>
      <c r="E331" s="510">
        <f t="shared" si="200"/>
        <v>300.89999999999998</v>
      </c>
      <c r="F331" s="511">
        <v>1507509</v>
      </c>
      <c r="G331" s="769">
        <v>300.89999999999998</v>
      </c>
      <c r="H331" s="774">
        <f t="shared" si="198"/>
        <v>1507509</v>
      </c>
      <c r="I331" s="626">
        <f t="shared" si="196"/>
        <v>0</v>
      </c>
      <c r="J331" s="513">
        <f t="shared" si="197"/>
        <v>0</v>
      </c>
      <c r="K331" s="521"/>
    </row>
    <row r="332" spans="1:11" s="514" customFormat="1" ht="21.75" customHeight="1" outlineLevel="1" x14ac:dyDescent="0.3">
      <c r="A332" s="443">
        <f t="shared" si="183"/>
        <v>318</v>
      </c>
      <c r="B332" s="507" t="s">
        <v>1411</v>
      </c>
      <c r="C332" s="508" t="s">
        <v>5</v>
      </c>
      <c r="D332" s="509">
        <v>3006</v>
      </c>
      <c r="E332" s="510">
        <f t="shared" si="200"/>
        <v>9305.7999999999993</v>
      </c>
      <c r="F332" s="511">
        <v>27973234.800000001</v>
      </c>
      <c r="G332" s="769">
        <v>3291.67</v>
      </c>
      <c r="H332" s="774">
        <f t="shared" si="198"/>
        <v>9894760.0199999996</v>
      </c>
      <c r="I332" s="626">
        <f t="shared" si="196"/>
        <v>6014.1299999999992</v>
      </c>
      <c r="J332" s="513">
        <f t="shared" si="197"/>
        <v>18078474.780000001</v>
      </c>
      <c r="K332" s="521"/>
    </row>
    <row r="333" spans="1:11" s="514" customFormat="1" ht="21.75" customHeight="1" outlineLevel="1" x14ac:dyDescent="0.3">
      <c r="A333" s="443">
        <f t="shared" si="183"/>
        <v>319</v>
      </c>
      <c r="B333" s="507" t="s">
        <v>1412</v>
      </c>
      <c r="C333" s="508" t="s">
        <v>5</v>
      </c>
      <c r="D333" s="509">
        <v>6300</v>
      </c>
      <c r="E333" s="510">
        <f t="shared" si="200"/>
        <v>9305.7999999999993</v>
      </c>
      <c r="F333" s="511">
        <v>58626540</v>
      </c>
      <c r="G333" s="769">
        <v>3291.67</v>
      </c>
      <c r="H333" s="774">
        <f t="shared" si="198"/>
        <v>20737521</v>
      </c>
      <c r="I333" s="626">
        <f t="shared" si="196"/>
        <v>6014.1299999999992</v>
      </c>
      <c r="J333" s="513">
        <f t="shared" si="197"/>
        <v>37889019</v>
      </c>
      <c r="K333" s="521"/>
    </row>
    <row r="334" spans="1:11" s="514" customFormat="1" ht="21.75" customHeight="1" outlineLevel="1" x14ac:dyDescent="0.3">
      <c r="A334" s="443">
        <f t="shared" si="183"/>
        <v>320</v>
      </c>
      <c r="B334" s="507" t="s">
        <v>1413</v>
      </c>
      <c r="C334" s="508" t="s">
        <v>5</v>
      </c>
      <c r="D334" s="509">
        <v>3102</v>
      </c>
      <c r="E334" s="510">
        <f t="shared" si="200"/>
        <v>9305.7999999999993</v>
      </c>
      <c r="F334" s="511">
        <v>28866591.600000001</v>
      </c>
      <c r="G334" s="769">
        <v>3291.67</v>
      </c>
      <c r="H334" s="774">
        <f t="shared" si="198"/>
        <v>10210760.34</v>
      </c>
      <c r="I334" s="626">
        <f t="shared" si="196"/>
        <v>6014.1299999999992</v>
      </c>
      <c r="J334" s="513">
        <f t="shared" si="197"/>
        <v>18655831.260000002</v>
      </c>
      <c r="K334" s="521"/>
    </row>
    <row r="335" spans="1:11" ht="23.25" customHeight="1" outlineLevel="1" x14ac:dyDescent="0.3">
      <c r="A335" s="443">
        <f t="shared" si="183"/>
        <v>321</v>
      </c>
      <c r="B335" s="428" t="s">
        <v>1501</v>
      </c>
      <c r="C335" s="442" t="s">
        <v>16</v>
      </c>
      <c r="D335" s="492">
        <v>5231.29</v>
      </c>
      <c r="E335" s="480">
        <f t="shared" si="200"/>
        <v>776.02</v>
      </c>
      <c r="F335" s="479">
        <v>4059582</v>
      </c>
      <c r="G335" s="767">
        <v>2520</v>
      </c>
      <c r="H335" s="774">
        <f t="shared" si="198"/>
        <v>13182850.800000001</v>
      </c>
      <c r="I335" s="625">
        <f t="shared" si="196"/>
        <v>-1743.98</v>
      </c>
      <c r="J335" s="481">
        <f t="shared" si="197"/>
        <v>-9123268.8000000007</v>
      </c>
    </row>
    <row r="336" spans="1:11" s="514" customFormat="1" ht="21.75" customHeight="1" outlineLevel="1" x14ac:dyDescent="0.3">
      <c r="A336" s="443">
        <f t="shared" si="183"/>
        <v>322</v>
      </c>
      <c r="B336" s="507" t="s">
        <v>1507</v>
      </c>
      <c r="C336" s="508" t="s">
        <v>5</v>
      </c>
      <c r="D336" s="509">
        <v>678</v>
      </c>
      <c r="E336" s="510">
        <f t="shared" si="200"/>
        <v>4887.5</v>
      </c>
      <c r="F336" s="511">
        <v>3313725</v>
      </c>
      <c r="G336" s="769">
        <v>2666.67</v>
      </c>
      <c r="H336" s="774">
        <f t="shared" si="198"/>
        <v>1808002.26</v>
      </c>
      <c r="I336" s="626">
        <f t="shared" si="196"/>
        <v>2220.83</v>
      </c>
      <c r="J336" s="513">
        <f t="shared" si="197"/>
        <v>1505722.74</v>
      </c>
      <c r="K336" s="521"/>
    </row>
    <row r="337" spans="1:12" s="514" customFormat="1" ht="21.75" customHeight="1" outlineLevel="1" x14ac:dyDescent="0.3">
      <c r="A337" s="443">
        <f t="shared" si="183"/>
        <v>323</v>
      </c>
      <c r="B337" s="507" t="s">
        <v>1509</v>
      </c>
      <c r="C337" s="508" t="s">
        <v>5</v>
      </c>
      <c r="D337" s="509">
        <v>3203</v>
      </c>
      <c r="E337" s="510">
        <f t="shared" si="200"/>
        <v>4930</v>
      </c>
      <c r="F337" s="511">
        <v>15790790</v>
      </c>
      <c r="G337" s="769">
        <v>2666.67</v>
      </c>
      <c r="H337" s="774">
        <f t="shared" si="198"/>
        <v>8541344.0099999998</v>
      </c>
      <c r="I337" s="626">
        <f t="shared" si="196"/>
        <v>2263.33</v>
      </c>
      <c r="J337" s="513">
        <f t="shared" si="197"/>
        <v>7249445.9900000002</v>
      </c>
      <c r="K337" s="521"/>
    </row>
    <row r="338" spans="1:12" s="514" customFormat="1" ht="21.75" customHeight="1" outlineLevel="1" x14ac:dyDescent="0.3">
      <c r="A338" s="443">
        <f t="shared" si="183"/>
        <v>324</v>
      </c>
      <c r="B338" s="507" t="s">
        <v>1508</v>
      </c>
      <c r="C338" s="508" t="s">
        <v>5</v>
      </c>
      <c r="D338" s="509">
        <v>678</v>
      </c>
      <c r="E338" s="510">
        <f t="shared" si="200"/>
        <v>4887.5</v>
      </c>
      <c r="F338" s="511">
        <v>3313725</v>
      </c>
      <c r="G338" s="769">
        <v>2666.67</v>
      </c>
      <c r="H338" s="774">
        <f t="shared" si="198"/>
        <v>1808002.26</v>
      </c>
      <c r="I338" s="626">
        <f t="shared" si="196"/>
        <v>2220.83</v>
      </c>
      <c r="J338" s="513">
        <f t="shared" si="197"/>
        <v>1505722.74</v>
      </c>
      <c r="K338" s="521"/>
    </row>
    <row r="339" spans="1:12" ht="23.25" customHeight="1" outlineLevel="1" x14ac:dyDescent="0.3">
      <c r="A339" s="443">
        <f t="shared" si="183"/>
        <v>325</v>
      </c>
      <c r="B339" s="428" t="s">
        <v>1805</v>
      </c>
      <c r="C339" s="422" t="s">
        <v>20</v>
      </c>
      <c r="D339" s="493">
        <v>2381</v>
      </c>
      <c r="E339" s="480">
        <f t="shared" si="200"/>
        <v>1970.22</v>
      </c>
      <c r="F339" s="479">
        <v>4691103.29</v>
      </c>
      <c r="G339" s="767">
        <v>650</v>
      </c>
      <c r="H339" s="774">
        <f t="shared" si="198"/>
        <v>1547650</v>
      </c>
      <c r="I339" s="625">
        <f t="shared" si="196"/>
        <v>1320.22</v>
      </c>
      <c r="J339" s="481">
        <f t="shared" si="197"/>
        <v>3143453.29</v>
      </c>
      <c r="K339" s="537"/>
    </row>
    <row r="340" spans="1:12" ht="23.25" customHeight="1" outlineLevel="1" x14ac:dyDescent="0.3">
      <c r="A340" s="443">
        <f t="shared" ref="A340:A349" si="201">A339+1</f>
        <v>326</v>
      </c>
      <c r="B340" s="428" t="s">
        <v>1526</v>
      </c>
      <c r="C340" s="442" t="s">
        <v>17</v>
      </c>
      <c r="D340" s="529">
        <f>128.31*1.26+111.06</f>
        <v>272.73059999999998</v>
      </c>
      <c r="E340" s="480">
        <f t="shared" si="200"/>
        <v>1063.42</v>
      </c>
      <c r="F340" s="479">
        <f>171923.93+118103.55</f>
        <v>290027.48</v>
      </c>
      <c r="G340" s="767">
        <v>5000</v>
      </c>
      <c r="H340" s="774">
        <f t="shared" si="198"/>
        <v>1363653</v>
      </c>
      <c r="I340" s="625">
        <f t="shared" si="196"/>
        <v>-3936.58</v>
      </c>
      <c r="J340" s="481">
        <f t="shared" si="197"/>
        <v>-1073625.52</v>
      </c>
    </row>
    <row r="341" spans="1:12" ht="23.25" customHeight="1" outlineLevel="1" x14ac:dyDescent="0.3">
      <c r="A341" s="443">
        <f t="shared" si="201"/>
        <v>327</v>
      </c>
      <c r="B341" s="428" t="s">
        <v>1405</v>
      </c>
      <c r="C341" s="442" t="s">
        <v>40</v>
      </c>
      <c r="D341" s="493">
        <v>3952</v>
      </c>
      <c r="E341" s="480">
        <f>ROUND(F341/D341,2)</f>
        <v>657.29</v>
      </c>
      <c r="F341" s="479">
        <v>2597599.7999999998</v>
      </c>
      <c r="G341" s="767">
        <v>750</v>
      </c>
      <c r="H341" s="774">
        <f t="shared" si="198"/>
        <v>2964000</v>
      </c>
      <c r="I341" s="625">
        <f>E341-G341</f>
        <v>-92.710000000000036</v>
      </c>
      <c r="J341" s="481">
        <f>F341-H341</f>
        <v>-366400.20000000019</v>
      </c>
      <c r="K341" s="519"/>
    </row>
    <row r="342" spans="1:12" ht="23.25" customHeight="1" outlineLevel="1" x14ac:dyDescent="0.3">
      <c r="A342" s="443">
        <f t="shared" si="201"/>
        <v>328</v>
      </c>
      <c r="B342" s="428" t="s">
        <v>1524</v>
      </c>
      <c r="C342" s="442" t="s">
        <v>17</v>
      </c>
      <c r="D342" s="501">
        <v>233.16800000000001</v>
      </c>
      <c r="E342" s="480">
        <f>592.76*8.61</f>
        <v>5103.6635999999999</v>
      </c>
      <c r="F342" s="479">
        <f>E342*D342</f>
        <v>1190011.0342848001</v>
      </c>
      <c r="G342" s="767">
        <v>6800</v>
      </c>
      <c r="H342" s="774">
        <f t="shared" si="198"/>
        <v>1585542.4000000001</v>
      </c>
      <c r="I342" s="625">
        <f>E342-G342</f>
        <v>-1696.3364000000001</v>
      </c>
      <c r="J342" s="481">
        <f>F342-H342</f>
        <v>-395531.36571520008</v>
      </c>
      <c r="K342" s="519"/>
    </row>
    <row r="343" spans="1:12" ht="23.25" customHeight="1" outlineLevel="1" x14ac:dyDescent="0.3">
      <c r="A343" s="443">
        <f t="shared" si="201"/>
        <v>329</v>
      </c>
      <c r="B343" s="428" t="s">
        <v>1525</v>
      </c>
      <c r="C343" s="442" t="s">
        <v>17</v>
      </c>
      <c r="D343" s="529">
        <v>2.3712</v>
      </c>
      <c r="E343" s="480">
        <f>519.8*8.61</f>
        <v>4475.4779999999992</v>
      </c>
      <c r="F343" s="479">
        <f>E343*D343</f>
        <v>10612.253433599997</v>
      </c>
      <c r="G343" s="767">
        <v>4000</v>
      </c>
      <c r="H343" s="774">
        <f t="shared" si="198"/>
        <v>9484.7999999999993</v>
      </c>
      <c r="I343" s="625">
        <f t="shared" ref="I343:I349" si="202">E343-G343</f>
        <v>475.47799999999916</v>
      </c>
      <c r="J343" s="481">
        <f t="shared" ref="J343:J349" si="203">F343-H343</f>
        <v>1127.4534335999979</v>
      </c>
    </row>
    <row r="344" spans="1:12" s="514" customFormat="1" ht="21.75" customHeight="1" outlineLevel="1" x14ac:dyDescent="0.3">
      <c r="A344" s="443">
        <f t="shared" si="201"/>
        <v>330</v>
      </c>
      <c r="B344" s="507" t="s">
        <v>1721</v>
      </c>
      <c r="C344" s="508" t="s">
        <v>28</v>
      </c>
      <c r="D344" s="546">
        <f>88.37*0.05*2.584</f>
        <v>11.417404000000003</v>
      </c>
      <c r="E344" s="510">
        <f>ROUND(F344/D344,2)</f>
        <v>8797.5</v>
      </c>
      <c r="F344" s="511">
        <v>100444.61</v>
      </c>
      <c r="G344" s="769">
        <v>8797.5</v>
      </c>
      <c r="H344" s="774">
        <f t="shared" si="198"/>
        <v>100444.61169000002</v>
      </c>
      <c r="I344" s="626">
        <f t="shared" si="202"/>
        <v>0</v>
      </c>
      <c r="J344" s="513">
        <f t="shared" si="203"/>
        <v>-1.6900000191526487E-3</v>
      </c>
      <c r="K344" s="521"/>
    </row>
    <row r="345" spans="1:12" s="514" customFormat="1" ht="21.75" customHeight="1" outlineLevel="1" x14ac:dyDescent="0.3">
      <c r="A345" s="443">
        <f t="shared" si="201"/>
        <v>331</v>
      </c>
      <c r="B345" s="507" t="s">
        <v>1541</v>
      </c>
      <c r="C345" s="508" t="s">
        <v>28</v>
      </c>
      <c r="D345" s="532">
        <f>88.37*0.07*2.57</f>
        <v>15.897763000000001</v>
      </c>
      <c r="E345" s="510">
        <f>ROUND(F345/D345,2)</f>
        <v>7480</v>
      </c>
      <c r="F345" s="511">
        <v>118915.27</v>
      </c>
      <c r="G345" s="769">
        <v>7480</v>
      </c>
      <c r="H345" s="774">
        <f t="shared" si="198"/>
        <v>118915.26724000002</v>
      </c>
      <c r="I345" s="626">
        <f t="shared" si="202"/>
        <v>0</v>
      </c>
      <c r="J345" s="513">
        <f t="shared" si="203"/>
        <v>2.7599999884841964E-3</v>
      </c>
      <c r="K345" s="521"/>
    </row>
    <row r="346" spans="1:12" ht="23.25" customHeight="1" outlineLevel="1" x14ac:dyDescent="0.3">
      <c r="A346" s="443">
        <f t="shared" si="201"/>
        <v>332</v>
      </c>
      <c r="B346" s="428" t="s">
        <v>1725</v>
      </c>
      <c r="C346" s="442" t="s">
        <v>17</v>
      </c>
      <c r="D346" s="501">
        <f>6.464352+51.435744</f>
        <v>57.900095999999998</v>
      </c>
      <c r="E346" s="480">
        <f>F346/D346</f>
        <v>7198.0036095276937</v>
      </c>
      <c r="F346" s="479">
        <f>46063.73+4180.12+366521.25</f>
        <v>416765.1</v>
      </c>
      <c r="G346" s="767">
        <v>6800</v>
      </c>
      <c r="H346" s="774">
        <f t="shared" si="198"/>
        <v>393720.65279999998</v>
      </c>
      <c r="I346" s="625">
        <f t="shared" si="202"/>
        <v>398.0036095276937</v>
      </c>
      <c r="J346" s="481">
        <f t="shared" si="203"/>
        <v>23044.447199999995</v>
      </c>
      <c r="K346" s="519"/>
    </row>
    <row r="347" spans="1:12" s="514" customFormat="1" ht="23.25" customHeight="1" outlineLevel="1" x14ac:dyDescent="0.3">
      <c r="A347" s="443">
        <f t="shared" si="201"/>
        <v>333</v>
      </c>
      <c r="B347" s="507" t="s">
        <v>1726</v>
      </c>
      <c r="C347" s="508" t="s">
        <v>364</v>
      </c>
      <c r="D347" s="509">
        <v>630</v>
      </c>
      <c r="E347" s="510">
        <f>ROUND(F347/D347,2)</f>
        <v>4590</v>
      </c>
      <c r="F347" s="511">
        <v>2891700</v>
      </c>
      <c r="G347" s="769">
        <v>4171.67</v>
      </c>
      <c r="H347" s="774">
        <f t="shared" si="198"/>
        <v>2628152.1</v>
      </c>
      <c r="I347" s="626">
        <f t="shared" si="202"/>
        <v>418.32999999999993</v>
      </c>
      <c r="J347" s="513">
        <f t="shared" si="203"/>
        <v>263547.89999999991</v>
      </c>
      <c r="K347" s="521"/>
    </row>
    <row r="348" spans="1:12" s="514" customFormat="1" ht="33" customHeight="1" outlineLevel="1" x14ac:dyDescent="0.3">
      <c r="A348" s="443">
        <f t="shared" si="201"/>
        <v>334</v>
      </c>
      <c r="B348" s="507" t="s">
        <v>1550</v>
      </c>
      <c r="C348" s="508" t="s">
        <v>1385</v>
      </c>
      <c r="D348" s="509">
        <v>5</v>
      </c>
      <c r="E348" s="510">
        <f>ROUND(F348/D348,2)</f>
        <v>1232500</v>
      </c>
      <c r="F348" s="511">
        <v>6162500</v>
      </c>
      <c r="G348" s="769">
        <v>1208333.33</v>
      </c>
      <c r="H348" s="774">
        <f t="shared" si="198"/>
        <v>6041666.6500000004</v>
      </c>
      <c r="I348" s="626">
        <f t="shared" si="202"/>
        <v>24166.669999999925</v>
      </c>
      <c r="J348" s="513">
        <f t="shared" si="203"/>
        <v>120833.34999999963</v>
      </c>
      <c r="K348" s="521"/>
    </row>
    <row r="349" spans="1:12" s="514" customFormat="1" ht="19.5" customHeight="1" outlineLevel="1" x14ac:dyDescent="0.3">
      <c r="A349" s="443">
        <f t="shared" si="201"/>
        <v>335</v>
      </c>
      <c r="B349" s="507" t="s">
        <v>1891</v>
      </c>
      <c r="C349" s="508" t="s">
        <v>1385</v>
      </c>
      <c r="D349" s="509">
        <v>1</v>
      </c>
      <c r="E349" s="510">
        <f>ROUND(F349/D349,2)</f>
        <v>18277.93</v>
      </c>
      <c r="F349" s="511">
        <f>66391.9/2165156015.91*596075210.61</f>
        <v>18277.928003569363</v>
      </c>
      <c r="G349" s="771">
        <v>18277.93</v>
      </c>
      <c r="H349" s="774">
        <f t="shared" si="198"/>
        <v>18277.93</v>
      </c>
      <c r="I349" s="512">
        <f t="shared" si="202"/>
        <v>0</v>
      </c>
      <c r="J349" s="513">
        <f t="shared" si="203"/>
        <v>-1.9964306375186425E-3</v>
      </c>
      <c r="K349" s="521"/>
    </row>
    <row r="350" spans="1:12" s="484" customFormat="1" ht="21.75" customHeight="1" x14ac:dyDescent="0.3">
      <c r="A350" s="555"/>
      <c r="B350" s="612" t="s">
        <v>1896</v>
      </c>
      <c r="C350" s="613"/>
      <c r="D350" s="614"/>
      <c r="E350" s="615"/>
      <c r="F350" s="616">
        <f>SUM(F274:F349)</f>
        <v>541495045.22572207</v>
      </c>
      <c r="G350" s="772"/>
      <c r="H350" s="773">
        <f>SUM(H274:H349)</f>
        <v>404174809.22739154</v>
      </c>
      <c r="I350" s="617"/>
      <c r="J350" s="616">
        <f>SUM(J274:J349)</f>
        <v>137320235.9983305</v>
      </c>
      <c r="K350" s="550"/>
      <c r="L350" s="549"/>
    </row>
    <row r="351" spans="1:12" s="484" customFormat="1" ht="21.75" customHeight="1" x14ac:dyDescent="0.3">
      <c r="A351" s="486"/>
      <c r="B351" s="845" t="s">
        <v>1815</v>
      </c>
      <c r="C351" s="846"/>
      <c r="D351" s="846"/>
      <c r="E351" s="846"/>
      <c r="F351" s="846"/>
      <c r="G351" s="846"/>
      <c r="H351" s="846"/>
      <c r="I351" s="846"/>
      <c r="J351" s="847"/>
      <c r="K351" s="491">
        <f>F351+'ТП Р'!F473</f>
        <v>0</v>
      </c>
    </row>
    <row r="352" spans="1:12" ht="23.25" customHeight="1" outlineLevel="1" x14ac:dyDescent="0.3">
      <c r="A352" s="443">
        <f>A348+1</f>
        <v>335</v>
      </c>
      <c r="B352" s="428" t="s">
        <v>1569</v>
      </c>
      <c r="C352" s="442" t="s">
        <v>17</v>
      </c>
      <c r="D352" s="492">
        <f>82.26*1.26</f>
        <v>103.64760000000001</v>
      </c>
      <c r="E352" s="480">
        <f t="shared" ref="E352:E361" si="204">ROUND(F352/D352,2)</f>
        <v>475.62</v>
      </c>
      <c r="F352" s="479">
        <f>49296.5</f>
        <v>49296.5</v>
      </c>
      <c r="G352" s="767">
        <v>1200</v>
      </c>
      <c r="H352" s="768">
        <f>G352*D352</f>
        <v>124377.12000000001</v>
      </c>
      <c r="I352" s="625">
        <f t="shared" ref="I352:I362" si="205">E352-G352</f>
        <v>-724.38</v>
      </c>
      <c r="J352" s="481">
        <f t="shared" ref="J352:J356" si="206">F352-H352</f>
        <v>-75080.62000000001</v>
      </c>
      <c r="K352" s="519"/>
    </row>
    <row r="353" spans="1:11" s="514" customFormat="1" ht="22.5" customHeight="1" outlineLevel="1" x14ac:dyDescent="0.3">
      <c r="A353" s="443">
        <f>A352+1</f>
        <v>336</v>
      </c>
      <c r="B353" s="507" t="s">
        <v>1854</v>
      </c>
      <c r="C353" s="508" t="s">
        <v>17</v>
      </c>
      <c r="D353" s="530">
        <v>14.906499999999999</v>
      </c>
      <c r="E353" s="510">
        <f t="shared" si="204"/>
        <v>12957.43</v>
      </c>
      <c r="F353" s="511">
        <v>193149.93</v>
      </c>
      <c r="G353" s="769">
        <v>10208.33</v>
      </c>
      <c r="H353" s="768">
        <f t="shared" ref="H353:H379" si="207">G353*D353</f>
        <v>152170.47114499999</v>
      </c>
      <c r="I353" s="626">
        <f t="shared" si="205"/>
        <v>2749.1000000000004</v>
      </c>
      <c r="J353" s="513">
        <f t="shared" si="206"/>
        <v>40979.458855000004</v>
      </c>
      <c r="K353" s="521"/>
    </row>
    <row r="354" spans="1:11" ht="23.25" customHeight="1" outlineLevel="1" x14ac:dyDescent="0.3">
      <c r="A354" s="443">
        <f t="shared" ref="A354:A379" si="208">A353+1</f>
        <v>337</v>
      </c>
      <c r="B354" s="428" t="s">
        <v>1526</v>
      </c>
      <c r="C354" s="442" t="s">
        <v>17</v>
      </c>
      <c r="D354" s="529">
        <f>133.03*1.17</f>
        <v>155.64509999999999</v>
      </c>
      <c r="E354" s="480">
        <f t="shared" si="204"/>
        <v>1063.42</v>
      </c>
      <c r="F354" s="479">
        <v>165516.28</v>
      </c>
      <c r="G354" s="767">
        <v>5000</v>
      </c>
      <c r="H354" s="768">
        <f t="shared" si="207"/>
        <v>778225.49999999988</v>
      </c>
      <c r="I354" s="625">
        <f t="shared" si="205"/>
        <v>-3936.58</v>
      </c>
      <c r="J354" s="481">
        <f t="shared" si="206"/>
        <v>-612709.21999999986</v>
      </c>
      <c r="K354" s="519"/>
    </row>
    <row r="355" spans="1:11" ht="49.5" customHeight="1" outlineLevel="1" x14ac:dyDescent="0.3">
      <c r="A355" s="443">
        <f t="shared" si="208"/>
        <v>338</v>
      </c>
      <c r="B355" s="428" t="s">
        <v>1859</v>
      </c>
      <c r="C355" s="442" t="s">
        <v>1385</v>
      </c>
      <c r="D355" s="493">
        <v>1</v>
      </c>
      <c r="E355" s="480">
        <f t="shared" si="204"/>
        <v>1718.26</v>
      </c>
      <c r="F355" s="479">
        <f>57193.13-55474.87</f>
        <v>1718.2599999999948</v>
      </c>
      <c r="G355" s="767">
        <v>1718.26</v>
      </c>
      <c r="H355" s="768">
        <f t="shared" si="207"/>
        <v>1718.26</v>
      </c>
      <c r="I355" s="625">
        <f t="shared" si="205"/>
        <v>0</v>
      </c>
      <c r="J355" s="481">
        <f t="shared" si="206"/>
        <v>-5.2295945351943374E-12</v>
      </c>
      <c r="K355" s="522" t="s">
        <v>1448</v>
      </c>
    </row>
    <row r="356" spans="1:11" s="514" customFormat="1" ht="22.5" customHeight="1" outlineLevel="1" x14ac:dyDescent="0.3">
      <c r="A356" s="443">
        <f t="shared" si="208"/>
        <v>339</v>
      </c>
      <c r="B356" s="507" t="s">
        <v>1586</v>
      </c>
      <c r="C356" s="508" t="s">
        <v>1385</v>
      </c>
      <c r="D356" s="509">
        <v>27</v>
      </c>
      <c r="E356" s="510">
        <f t="shared" si="204"/>
        <v>856.8</v>
      </c>
      <c r="F356" s="511">
        <v>23133.599999999999</v>
      </c>
      <c r="G356" s="771">
        <v>16666.669999999998</v>
      </c>
      <c r="H356" s="768">
        <f t="shared" si="207"/>
        <v>450000.08999999997</v>
      </c>
      <c r="I356" s="626">
        <f t="shared" si="205"/>
        <v>-15809.869999999999</v>
      </c>
      <c r="J356" s="513">
        <f t="shared" si="206"/>
        <v>-426866.49</v>
      </c>
      <c r="K356" s="521"/>
    </row>
    <row r="357" spans="1:11" s="514" customFormat="1" ht="33.75" customHeight="1" outlineLevel="1" x14ac:dyDescent="0.3">
      <c r="A357" s="443">
        <f t="shared" si="208"/>
        <v>340</v>
      </c>
      <c r="B357" s="507" t="s">
        <v>1587</v>
      </c>
      <c r="C357" s="508" t="s">
        <v>40</v>
      </c>
      <c r="D357" s="509">
        <v>26</v>
      </c>
      <c r="E357" s="510">
        <f t="shared" si="204"/>
        <v>9718.0499999999993</v>
      </c>
      <c r="F357" s="511">
        <v>252669.3</v>
      </c>
      <c r="G357" s="771">
        <v>6833.33</v>
      </c>
      <c r="H357" s="768">
        <f t="shared" si="207"/>
        <v>177666.58</v>
      </c>
      <c r="I357" s="626">
        <f t="shared" si="205"/>
        <v>2884.7199999999993</v>
      </c>
      <c r="J357" s="513">
        <f>F357-H357</f>
        <v>75002.720000000001</v>
      </c>
      <c r="K357" s="521"/>
    </row>
    <row r="358" spans="1:11" s="514" customFormat="1" ht="22.5" customHeight="1" outlineLevel="1" x14ac:dyDescent="0.3">
      <c r="A358" s="443">
        <f t="shared" si="208"/>
        <v>341</v>
      </c>
      <c r="B358" s="507" t="s">
        <v>1588</v>
      </c>
      <c r="C358" s="508" t="s">
        <v>5</v>
      </c>
      <c r="D358" s="516">
        <v>30.66</v>
      </c>
      <c r="E358" s="510">
        <f t="shared" si="204"/>
        <v>9226.7199999999993</v>
      </c>
      <c r="F358" s="511">
        <v>282891.24</v>
      </c>
      <c r="G358" s="771">
        <v>9041.67</v>
      </c>
      <c r="H358" s="768">
        <f t="shared" si="207"/>
        <v>277217.60220000002</v>
      </c>
      <c r="I358" s="626">
        <f t="shared" si="205"/>
        <v>185.04999999999927</v>
      </c>
      <c r="J358" s="513">
        <f t="shared" ref="J358:J359" si="209">F358-H358</f>
        <v>5673.6377999999677</v>
      </c>
      <c r="K358" s="521"/>
    </row>
    <row r="359" spans="1:11" ht="49.5" customHeight="1" outlineLevel="1" x14ac:dyDescent="0.3">
      <c r="A359" s="443">
        <f t="shared" si="208"/>
        <v>342</v>
      </c>
      <c r="B359" s="428" t="s">
        <v>1860</v>
      </c>
      <c r="C359" s="442" t="s">
        <v>1385</v>
      </c>
      <c r="D359" s="493">
        <v>1</v>
      </c>
      <c r="E359" s="480">
        <f t="shared" si="204"/>
        <v>5655.81</v>
      </c>
      <c r="F359" s="479">
        <f>188256.11-182600.3</f>
        <v>5655.8099999999977</v>
      </c>
      <c r="G359" s="767">
        <v>5655.81</v>
      </c>
      <c r="H359" s="768">
        <f t="shared" si="207"/>
        <v>5655.81</v>
      </c>
      <c r="I359" s="625">
        <f t="shared" si="205"/>
        <v>0</v>
      </c>
      <c r="J359" s="481">
        <f t="shared" si="209"/>
        <v>0</v>
      </c>
      <c r="K359" s="522" t="s">
        <v>1448</v>
      </c>
    </row>
    <row r="360" spans="1:11" s="514" customFormat="1" ht="33.75" customHeight="1" outlineLevel="1" x14ac:dyDescent="0.3">
      <c r="A360" s="443">
        <f t="shared" si="208"/>
        <v>343</v>
      </c>
      <c r="B360" s="507" t="s">
        <v>1587</v>
      </c>
      <c r="C360" s="508" t="s">
        <v>40</v>
      </c>
      <c r="D360" s="509">
        <v>85</v>
      </c>
      <c r="E360" s="510">
        <f t="shared" si="204"/>
        <v>9718.0499999999993</v>
      </c>
      <c r="F360" s="511">
        <v>826034.25</v>
      </c>
      <c r="G360" s="769">
        <v>6833.33</v>
      </c>
      <c r="H360" s="768">
        <f t="shared" si="207"/>
        <v>580833.05000000005</v>
      </c>
      <c r="I360" s="626">
        <f t="shared" si="205"/>
        <v>2884.7199999999993</v>
      </c>
      <c r="J360" s="513">
        <f>F360-H360</f>
        <v>245201.19999999995</v>
      </c>
      <c r="K360" s="521"/>
    </row>
    <row r="361" spans="1:11" s="514" customFormat="1" ht="22.5" customHeight="1" outlineLevel="1" x14ac:dyDescent="0.3">
      <c r="A361" s="443">
        <f t="shared" si="208"/>
        <v>344</v>
      </c>
      <c r="B361" s="507" t="s">
        <v>1588</v>
      </c>
      <c r="C361" s="508" t="s">
        <v>5</v>
      </c>
      <c r="D361" s="516">
        <v>100.92</v>
      </c>
      <c r="E361" s="510">
        <f t="shared" si="204"/>
        <v>9226.7199999999993</v>
      </c>
      <c r="F361" s="511">
        <v>931160.58</v>
      </c>
      <c r="G361" s="769">
        <v>9041.67</v>
      </c>
      <c r="H361" s="768">
        <f t="shared" si="207"/>
        <v>912485.33640000003</v>
      </c>
      <c r="I361" s="626">
        <f t="shared" si="205"/>
        <v>185.04999999999927</v>
      </c>
      <c r="J361" s="513">
        <f t="shared" ref="J361:J362" si="210">F361-H361</f>
        <v>18675.243599999929</v>
      </c>
      <c r="K361" s="521"/>
    </row>
    <row r="362" spans="1:11" ht="46.5" customHeight="1" outlineLevel="1" x14ac:dyDescent="0.3">
      <c r="A362" s="443">
        <f t="shared" si="208"/>
        <v>345</v>
      </c>
      <c r="B362" s="428" t="s">
        <v>1592</v>
      </c>
      <c r="C362" s="443" t="s">
        <v>28</v>
      </c>
      <c r="D362" s="536">
        <f>(14*12)/1000</f>
        <v>0.16800000000000001</v>
      </c>
      <c r="E362" s="480">
        <f t="shared" ref="E362" si="211">F362/11</f>
        <v>18924.351818181818</v>
      </c>
      <c r="F362" s="479">
        <f>208167.87</f>
        <v>208167.87</v>
      </c>
      <c r="G362" s="767">
        <v>18924.351818181818</v>
      </c>
      <c r="H362" s="768">
        <f t="shared" si="207"/>
        <v>3179.2911054545457</v>
      </c>
      <c r="I362" s="625">
        <f t="shared" si="205"/>
        <v>0</v>
      </c>
      <c r="J362" s="481">
        <f t="shared" si="210"/>
        <v>204988.57889454544</v>
      </c>
      <c r="K362" s="519" t="s">
        <v>1401</v>
      </c>
    </row>
    <row r="363" spans="1:11" s="525" customFormat="1" ht="23.25" customHeight="1" outlineLevel="1" x14ac:dyDescent="0.3">
      <c r="A363" s="443">
        <f t="shared" si="208"/>
        <v>346</v>
      </c>
      <c r="B363" s="428" t="s">
        <v>1473</v>
      </c>
      <c r="C363" s="443" t="s">
        <v>16</v>
      </c>
      <c r="D363" s="580">
        <v>0.42</v>
      </c>
      <c r="E363" s="480">
        <f>76.87*8.61</f>
        <v>661.85069999999996</v>
      </c>
      <c r="F363" s="892">
        <f>(77642.75-49866.32)</f>
        <v>27776.43</v>
      </c>
      <c r="G363" s="770">
        <f>76.87*8.61</f>
        <v>661.85069999999996</v>
      </c>
      <c r="H363" s="768">
        <f t="shared" si="207"/>
        <v>277.97729399999997</v>
      </c>
      <c r="I363" s="896">
        <f>(E363+E364+E365+E366+E367+E368+E369)-(G363+G364+G365+G366+G367+G368+G369)</f>
        <v>0</v>
      </c>
      <c r="J363" s="850">
        <f>F363-(H363+H364+H365+H366+H367+H368+H369)</f>
        <v>1.7999998817685992E-5</v>
      </c>
      <c r="K363" s="522" t="s">
        <v>1476</v>
      </c>
    </row>
    <row r="364" spans="1:11" s="525" customFormat="1" ht="23.25" customHeight="1" outlineLevel="1" x14ac:dyDescent="0.3">
      <c r="A364" s="443">
        <f t="shared" si="208"/>
        <v>347</v>
      </c>
      <c r="B364" s="428" t="s">
        <v>1474</v>
      </c>
      <c r="C364" s="443" t="s">
        <v>364</v>
      </c>
      <c r="D364" s="526">
        <v>14</v>
      </c>
      <c r="E364" s="480">
        <f>44.84*8.61</f>
        <v>386.07240000000002</v>
      </c>
      <c r="F364" s="893"/>
      <c r="G364" s="770">
        <f>44.84*8.61</f>
        <v>386.07240000000002</v>
      </c>
      <c r="H364" s="768">
        <f t="shared" si="207"/>
        <v>5405.0136000000002</v>
      </c>
      <c r="I364" s="897"/>
      <c r="J364" s="891"/>
      <c r="K364" s="522" t="s">
        <v>1476</v>
      </c>
    </row>
    <row r="365" spans="1:11" s="525" customFormat="1" ht="23.25" customHeight="1" outlineLevel="1" x14ac:dyDescent="0.3">
      <c r="A365" s="443">
        <f t="shared" si="208"/>
        <v>348</v>
      </c>
      <c r="B365" s="428" t="s">
        <v>1399</v>
      </c>
      <c r="C365" s="443" t="s">
        <v>364</v>
      </c>
      <c r="D365" s="526">
        <v>14</v>
      </c>
      <c r="E365" s="480">
        <f>11.9*8.61</f>
        <v>102.459</v>
      </c>
      <c r="F365" s="893"/>
      <c r="G365" s="770">
        <f>11.9*8.61</f>
        <v>102.459</v>
      </c>
      <c r="H365" s="768">
        <f t="shared" si="207"/>
        <v>1434.4259999999999</v>
      </c>
      <c r="I365" s="897"/>
      <c r="J365" s="891"/>
      <c r="K365" s="522" t="s">
        <v>1476</v>
      </c>
    </row>
    <row r="366" spans="1:11" s="525" customFormat="1" ht="23.25" customHeight="1" outlineLevel="1" x14ac:dyDescent="0.3">
      <c r="A366" s="443">
        <f t="shared" si="208"/>
        <v>349</v>
      </c>
      <c r="B366" s="428" t="s">
        <v>1397</v>
      </c>
      <c r="C366" s="443" t="s">
        <v>16</v>
      </c>
      <c r="D366" s="526">
        <v>42</v>
      </c>
      <c r="E366" s="480">
        <f>4.8*8.61</f>
        <v>41.327999999999996</v>
      </c>
      <c r="F366" s="893"/>
      <c r="G366" s="770">
        <f>4.8*8.61</f>
        <v>41.327999999999996</v>
      </c>
      <c r="H366" s="768">
        <f t="shared" si="207"/>
        <v>1735.7759999999998</v>
      </c>
      <c r="I366" s="897"/>
      <c r="J366" s="891"/>
      <c r="K366" s="522" t="s">
        <v>1476</v>
      </c>
    </row>
    <row r="367" spans="1:11" s="525" customFormat="1" ht="23.25" customHeight="1" outlineLevel="1" x14ac:dyDescent="0.3">
      <c r="A367" s="443">
        <f t="shared" si="208"/>
        <v>350</v>
      </c>
      <c r="B367" s="428" t="s">
        <v>1396</v>
      </c>
      <c r="C367" s="443" t="s">
        <v>364</v>
      </c>
      <c r="D367" s="580">
        <v>0.14000000000000001</v>
      </c>
      <c r="E367" s="480">
        <f>1482*8.61</f>
        <v>12760.019999999999</v>
      </c>
      <c r="F367" s="893"/>
      <c r="G367" s="770">
        <f>1482*8.61</f>
        <v>12760.019999999999</v>
      </c>
      <c r="H367" s="768">
        <f t="shared" si="207"/>
        <v>1786.4028000000001</v>
      </c>
      <c r="I367" s="897"/>
      <c r="J367" s="891"/>
      <c r="K367" s="522" t="s">
        <v>1476</v>
      </c>
    </row>
    <row r="368" spans="1:11" s="525" customFormat="1" ht="23.25" customHeight="1" outlineLevel="1" x14ac:dyDescent="0.3">
      <c r="A368" s="443">
        <f t="shared" si="208"/>
        <v>351</v>
      </c>
      <c r="B368" s="428" t="s">
        <v>1475</v>
      </c>
      <c r="C368" s="443" t="s">
        <v>364</v>
      </c>
      <c r="D368" s="580">
        <v>0.56000000000000005</v>
      </c>
      <c r="E368" s="480">
        <f>529.18*8.61</f>
        <v>4556.2397999999994</v>
      </c>
      <c r="F368" s="893"/>
      <c r="G368" s="770">
        <f>529.18*8.61</f>
        <v>4556.2397999999994</v>
      </c>
      <c r="H368" s="768">
        <f t="shared" si="207"/>
        <v>2551.4942879999999</v>
      </c>
      <c r="I368" s="897"/>
      <c r="J368" s="891"/>
      <c r="K368" s="522" t="s">
        <v>1476</v>
      </c>
    </row>
    <row r="369" spans="1:12" s="525" customFormat="1" ht="31.5" customHeight="1" outlineLevel="1" x14ac:dyDescent="0.3">
      <c r="A369" s="443">
        <f t="shared" si="208"/>
        <v>352</v>
      </c>
      <c r="B369" s="428" t="s">
        <v>1400</v>
      </c>
      <c r="C369" s="443" t="s">
        <v>1398</v>
      </c>
      <c r="D369" s="526">
        <v>14</v>
      </c>
      <c r="E369" s="480">
        <f>121*8.61</f>
        <v>1041.81</v>
      </c>
      <c r="F369" s="894"/>
      <c r="G369" s="770">
        <f>121*8.61</f>
        <v>1041.81</v>
      </c>
      <c r="H369" s="768">
        <f t="shared" si="207"/>
        <v>14585.34</v>
      </c>
      <c r="I369" s="898"/>
      <c r="J369" s="851"/>
      <c r="K369" s="522" t="s">
        <v>1476</v>
      </c>
    </row>
    <row r="370" spans="1:12" ht="23.25" customHeight="1" outlineLevel="1" x14ac:dyDescent="0.3">
      <c r="A370" s="443">
        <f t="shared" si="208"/>
        <v>353</v>
      </c>
      <c r="B370" s="428" t="s">
        <v>1501</v>
      </c>
      <c r="C370" s="442" t="s">
        <v>16</v>
      </c>
      <c r="D370" s="492">
        <v>541.62</v>
      </c>
      <c r="E370" s="480">
        <f t="shared" ref="E370:E373" si="212">ROUND(F370/D370,2)</f>
        <v>776.02</v>
      </c>
      <c r="F370" s="479">
        <v>420307.57199999999</v>
      </c>
      <c r="G370" s="767">
        <v>2520</v>
      </c>
      <c r="H370" s="768">
        <f t="shared" si="207"/>
        <v>1364882.4</v>
      </c>
      <c r="I370" s="625">
        <f t="shared" ref="I370:I373" si="213">E370-G370</f>
        <v>-1743.98</v>
      </c>
      <c r="J370" s="481">
        <f t="shared" ref="J370:J373" si="214">F370-H370</f>
        <v>-944574.82799999998</v>
      </c>
    </row>
    <row r="371" spans="1:12" s="514" customFormat="1" ht="21.75" customHeight="1" outlineLevel="1" x14ac:dyDescent="0.3">
      <c r="A371" s="443">
        <f t="shared" si="208"/>
        <v>354</v>
      </c>
      <c r="B371" s="507" t="s">
        <v>1507</v>
      </c>
      <c r="C371" s="508" t="s">
        <v>5</v>
      </c>
      <c r="D371" s="509">
        <v>236</v>
      </c>
      <c r="E371" s="510">
        <f t="shared" si="212"/>
        <v>4887.5</v>
      </c>
      <c r="F371" s="511">
        <v>1153450</v>
      </c>
      <c r="G371" s="769">
        <v>2666.67</v>
      </c>
      <c r="H371" s="768">
        <f t="shared" si="207"/>
        <v>629334.12</v>
      </c>
      <c r="I371" s="626">
        <f t="shared" si="213"/>
        <v>2220.83</v>
      </c>
      <c r="J371" s="513">
        <f t="shared" si="214"/>
        <v>524115.88</v>
      </c>
      <c r="K371" s="521"/>
    </row>
    <row r="372" spans="1:12" s="514" customFormat="1" ht="21.75" customHeight="1" outlineLevel="1" x14ac:dyDescent="0.3">
      <c r="A372" s="443">
        <f t="shared" si="208"/>
        <v>355</v>
      </c>
      <c r="B372" s="507" t="s">
        <v>1508</v>
      </c>
      <c r="C372" s="508" t="s">
        <v>5</v>
      </c>
      <c r="D372" s="509">
        <v>236</v>
      </c>
      <c r="E372" s="510">
        <f t="shared" si="212"/>
        <v>4887.5</v>
      </c>
      <c r="F372" s="511">
        <v>1153450</v>
      </c>
      <c r="G372" s="769">
        <v>2666.67</v>
      </c>
      <c r="H372" s="768">
        <f t="shared" si="207"/>
        <v>629334.12</v>
      </c>
      <c r="I372" s="626">
        <f t="shared" si="213"/>
        <v>2220.83</v>
      </c>
      <c r="J372" s="513">
        <f t="shared" si="214"/>
        <v>524115.88</v>
      </c>
      <c r="K372" s="521"/>
    </row>
    <row r="373" spans="1:12" ht="23.25" customHeight="1" outlineLevel="1" x14ac:dyDescent="0.3">
      <c r="A373" s="443">
        <f t="shared" si="208"/>
        <v>356</v>
      </c>
      <c r="B373" s="428" t="s">
        <v>1827</v>
      </c>
      <c r="C373" s="422" t="s">
        <v>20</v>
      </c>
      <c r="D373" s="529">
        <v>82</v>
      </c>
      <c r="E373" s="480">
        <f t="shared" si="212"/>
        <v>1970.22</v>
      </c>
      <c r="F373" s="479">
        <v>161558.37</v>
      </c>
      <c r="G373" s="767">
        <v>650</v>
      </c>
      <c r="H373" s="768">
        <f t="shared" si="207"/>
        <v>53300</v>
      </c>
      <c r="I373" s="625">
        <f t="shared" si="213"/>
        <v>1320.22</v>
      </c>
      <c r="J373" s="481">
        <f t="shared" si="214"/>
        <v>108258.37</v>
      </c>
      <c r="K373" s="537"/>
    </row>
    <row r="374" spans="1:12" s="514" customFormat="1" ht="21.75" customHeight="1" outlineLevel="1" x14ac:dyDescent="0.3">
      <c r="A374" s="443">
        <f t="shared" si="208"/>
        <v>357</v>
      </c>
      <c r="B374" s="507" t="s">
        <v>1516</v>
      </c>
      <c r="C374" s="508" t="s">
        <v>40</v>
      </c>
      <c r="D374" s="509">
        <v>1</v>
      </c>
      <c r="E374" s="510">
        <f t="shared" ref="E374:E375" si="215">ROUND(F374/D374,2)</f>
        <v>4624</v>
      </c>
      <c r="F374" s="511">
        <v>4624</v>
      </c>
      <c r="G374" s="769">
        <v>4624</v>
      </c>
      <c r="H374" s="768">
        <f t="shared" si="207"/>
        <v>4624</v>
      </c>
      <c r="I374" s="626">
        <f t="shared" ref="I374:I375" si="216">E374-G374</f>
        <v>0</v>
      </c>
      <c r="J374" s="513">
        <f t="shared" ref="J374:J375" si="217">F374-H374</f>
        <v>0</v>
      </c>
      <c r="K374" s="521"/>
    </row>
    <row r="375" spans="1:12" ht="23.25" customHeight="1" outlineLevel="1" x14ac:dyDescent="0.3">
      <c r="A375" s="443">
        <f t="shared" si="208"/>
        <v>358</v>
      </c>
      <c r="B375" s="428" t="s">
        <v>1526</v>
      </c>
      <c r="C375" s="442" t="s">
        <v>17</v>
      </c>
      <c r="D375" s="529">
        <f>0.73*1.26+3.33</f>
        <v>4.2498000000000005</v>
      </c>
      <c r="E375" s="480">
        <f t="shared" si="215"/>
        <v>1063.42</v>
      </c>
      <c r="F375" s="479">
        <f>978.13+3541.19</f>
        <v>4519.32</v>
      </c>
      <c r="G375" s="767">
        <v>5000</v>
      </c>
      <c r="H375" s="768">
        <f t="shared" si="207"/>
        <v>21249.000000000004</v>
      </c>
      <c r="I375" s="625">
        <f t="shared" si="216"/>
        <v>-3936.58</v>
      </c>
      <c r="J375" s="481">
        <f t="shared" si="217"/>
        <v>-16729.680000000004</v>
      </c>
    </row>
    <row r="376" spans="1:12" ht="23.25" customHeight="1" outlineLevel="1" x14ac:dyDescent="0.3">
      <c r="A376" s="443">
        <f t="shared" si="208"/>
        <v>359</v>
      </c>
      <c r="B376" s="428" t="s">
        <v>1405</v>
      </c>
      <c r="C376" s="442" t="s">
        <v>40</v>
      </c>
      <c r="D376" s="493">
        <v>26</v>
      </c>
      <c r="E376" s="480">
        <f>ROUND(F376/D376,2)</f>
        <v>657.29</v>
      </c>
      <c r="F376" s="479">
        <v>17089.47</v>
      </c>
      <c r="G376" s="767">
        <v>750</v>
      </c>
      <c r="H376" s="768">
        <f t="shared" si="207"/>
        <v>19500</v>
      </c>
      <c r="I376" s="625">
        <f>E376-G376</f>
        <v>-92.710000000000036</v>
      </c>
      <c r="J376" s="481">
        <f>F376-H376</f>
        <v>-2410.5299999999988</v>
      </c>
      <c r="K376" s="519"/>
    </row>
    <row r="377" spans="1:12" ht="23.25" customHeight="1" outlineLevel="1" x14ac:dyDescent="0.3">
      <c r="A377" s="443">
        <f t="shared" si="208"/>
        <v>360</v>
      </c>
      <c r="B377" s="428" t="s">
        <v>1524</v>
      </c>
      <c r="C377" s="442" t="s">
        <v>17</v>
      </c>
      <c r="D377" s="501">
        <v>1.534</v>
      </c>
      <c r="E377" s="480">
        <f>592.76*8.61</f>
        <v>5103.6635999999999</v>
      </c>
      <c r="F377" s="479">
        <f>E377*D377</f>
        <v>7829.0199623999997</v>
      </c>
      <c r="G377" s="767">
        <v>6800</v>
      </c>
      <c r="H377" s="768">
        <f t="shared" si="207"/>
        <v>10431.200000000001</v>
      </c>
      <c r="I377" s="625">
        <f>E377-G377</f>
        <v>-1696.3364000000001</v>
      </c>
      <c r="J377" s="481">
        <f>F377-H377</f>
        <v>-2602.180037600001</v>
      </c>
      <c r="K377" s="519"/>
    </row>
    <row r="378" spans="1:12" ht="23.25" customHeight="1" outlineLevel="1" x14ac:dyDescent="0.3">
      <c r="A378" s="443">
        <f t="shared" si="208"/>
        <v>361</v>
      </c>
      <c r="B378" s="428" t="s">
        <v>1525</v>
      </c>
      <c r="C378" s="442" t="s">
        <v>17</v>
      </c>
      <c r="D378" s="529">
        <v>1.5599999999999999E-2</v>
      </c>
      <c r="E378" s="480">
        <f>519.8*8.61</f>
        <v>4475.4779999999992</v>
      </c>
      <c r="F378" s="479">
        <f>E378*D378</f>
        <v>69.817456799999988</v>
      </c>
      <c r="G378" s="767">
        <v>4000</v>
      </c>
      <c r="H378" s="768">
        <f t="shared" si="207"/>
        <v>62.4</v>
      </c>
      <c r="I378" s="625">
        <f t="shared" ref="I378:I379" si="218">E378-G378</f>
        <v>475.47799999999916</v>
      </c>
      <c r="J378" s="481">
        <f t="shared" ref="J378:J379" si="219">F378-H378</f>
        <v>7.4174567999999894</v>
      </c>
    </row>
    <row r="379" spans="1:12" s="514" customFormat="1" ht="19.5" customHeight="1" outlineLevel="1" x14ac:dyDescent="0.3">
      <c r="A379" s="443">
        <f t="shared" si="208"/>
        <v>362</v>
      </c>
      <c r="B379" s="507" t="s">
        <v>1891</v>
      </c>
      <c r="C379" s="508" t="s">
        <v>1385</v>
      </c>
      <c r="D379" s="509">
        <v>1</v>
      </c>
      <c r="E379" s="510">
        <f>ROUND(F379/D379,2)</f>
        <v>777.89</v>
      </c>
      <c r="F379" s="511">
        <f>66391.9/2165156015.91*6874902.82+567.08</f>
        <v>777.89061003510199</v>
      </c>
      <c r="G379" s="771">
        <v>777.89</v>
      </c>
      <c r="H379" s="768">
        <f t="shared" si="207"/>
        <v>777.89</v>
      </c>
      <c r="I379" s="512">
        <f t="shared" si="218"/>
        <v>0</v>
      </c>
      <c r="J379" s="513">
        <f t="shared" si="219"/>
        <v>6.1003510199952871E-4</v>
      </c>
      <c r="K379" s="521"/>
    </row>
    <row r="380" spans="1:12" s="484" customFormat="1" ht="21.75" customHeight="1" x14ac:dyDescent="0.3">
      <c r="A380" s="555"/>
      <c r="B380" s="612" t="s">
        <v>1894</v>
      </c>
      <c r="C380" s="613"/>
      <c r="D380" s="614"/>
      <c r="E380" s="615"/>
      <c r="F380" s="616">
        <f>SUM(F352:F379)</f>
        <v>5890845.5100292359</v>
      </c>
      <c r="G380" s="772"/>
      <c r="H380" s="773">
        <f>SUM(H352:H379)</f>
        <v>6224800.6708324542</v>
      </c>
      <c r="I380" s="617"/>
      <c r="J380" s="616">
        <f>SUM(J352:J379)</f>
        <v>-333955.16080321936</v>
      </c>
      <c r="K380" s="550"/>
      <c r="L380" s="549"/>
    </row>
    <row r="381" spans="1:12" s="484" customFormat="1" ht="21.75" customHeight="1" x14ac:dyDescent="0.3">
      <c r="A381" s="486"/>
      <c r="B381" s="845" t="s">
        <v>1831</v>
      </c>
      <c r="C381" s="846"/>
      <c r="D381" s="846"/>
      <c r="E381" s="846"/>
      <c r="F381" s="846"/>
      <c r="G381" s="846"/>
      <c r="H381" s="846"/>
      <c r="I381" s="846"/>
      <c r="J381" s="847"/>
      <c r="K381" s="491">
        <f>J381+'ТП Р'!F509</f>
        <v>0</v>
      </c>
    </row>
    <row r="382" spans="1:12" ht="23.25" customHeight="1" outlineLevel="1" x14ac:dyDescent="0.3">
      <c r="A382" s="443">
        <f>A379+1</f>
        <v>363</v>
      </c>
      <c r="B382" s="428" t="s">
        <v>1569</v>
      </c>
      <c r="C382" s="442" t="s">
        <v>17</v>
      </c>
      <c r="D382" s="492">
        <f>184.63*1.2</f>
        <v>221.55599999999998</v>
      </c>
      <c r="E382" s="480">
        <f t="shared" ref="E382:E391" si="220">ROUND(F382/D382,2)</f>
        <v>499.4</v>
      </c>
      <c r="F382" s="479">
        <f>110644.45</f>
        <v>110644.45</v>
      </c>
      <c r="G382" s="767">
        <v>1200</v>
      </c>
      <c r="H382" s="768">
        <f>G382*D382</f>
        <v>265867.19999999995</v>
      </c>
      <c r="I382" s="625">
        <f t="shared" ref="I382:I392" si="221">E382-G382</f>
        <v>-700.6</v>
      </c>
      <c r="J382" s="481">
        <f t="shared" ref="J382:J386" si="222">F382-H382</f>
        <v>-155222.74999999994</v>
      </c>
      <c r="K382" s="519"/>
    </row>
    <row r="383" spans="1:12" s="514" customFormat="1" ht="22.5" customHeight="1" outlineLevel="1" x14ac:dyDescent="0.3">
      <c r="A383" s="443">
        <f>A382+1</f>
        <v>364</v>
      </c>
      <c r="B383" s="507" t="s">
        <v>1854</v>
      </c>
      <c r="C383" s="508" t="s">
        <v>17</v>
      </c>
      <c r="D383" s="516">
        <v>51.65</v>
      </c>
      <c r="E383" s="510">
        <f t="shared" si="220"/>
        <v>12957.43</v>
      </c>
      <c r="F383" s="511">
        <v>669251.26</v>
      </c>
      <c r="G383" s="769">
        <v>10208.33</v>
      </c>
      <c r="H383" s="768">
        <f t="shared" ref="H383:H417" si="223">G383*D383</f>
        <v>527260.24450000003</v>
      </c>
      <c r="I383" s="626">
        <f t="shared" si="221"/>
        <v>2749.1000000000004</v>
      </c>
      <c r="J383" s="513">
        <f t="shared" si="222"/>
        <v>141991.01549999998</v>
      </c>
      <c r="K383" s="521"/>
    </row>
    <row r="384" spans="1:12" ht="23.25" customHeight="1" outlineLevel="1" x14ac:dyDescent="0.3">
      <c r="A384" s="443">
        <f t="shared" ref="A384:A416" si="224">A383+1</f>
        <v>365</v>
      </c>
      <c r="B384" s="428" t="s">
        <v>1526</v>
      </c>
      <c r="C384" s="442" t="s">
        <v>17</v>
      </c>
      <c r="D384" s="529">
        <f>285.61*1.17</f>
        <v>334.16370000000001</v>
      </c>
      <c r="E384" s="480">
        <f t="shared" si="220"/>
        <v>1063.42</v>
      </c>
      <c r="F384" s="479">
        <v>355356.73</v>
      </c>
      <c r="G384" s="767">
        <v>5000</v>
      </c>
      <c r="H384" s="768">
        <f t="shared" si="223"/>
        <v>1670818.5</v>
      </c>
      <c r="I384" s="625">
        <f t="shared" si="221"/>
        <v>-3936.58</v>
      </c>
      <c r="J384" s="481">
        <f t="shared" si="222"/>
        <v>-1315461.77</v>
      </c>
      <c r="K384" s="519"/>
    </row>
    <row r="385" spans="1:11" ht="49.5" customHeight="1" outlineLevel="1" x14ac:dyDescent="0.3">
      <c r="A385" s="443">
        <f t="shared" si="224"/>
        <v>366</v>
      </c>
      <c r="B385" s="428" t="s">
        <v>1861</v>
      </c>
      <c r="C385" s="442" t="s">
        <v>1385</v>
      </c>
      <c r="D385" s="529">
        <v>1</v>
      </c>
      <c r="E385" s="480">
        <f t="shared" si="220"/>
        <v>18031.13</v>
      </c>
      <c r="F385" s="479">
        <f>600173.59-582142.46</f>
        <v>18031.130000000005</v>
      </c>
      <c r="G385" s="767">
        <v>18031.13</v>
      </c>
      <c r="H385" s="768">
        <f t="shared" si="223"/>
        <v>18031.13</v>
      </c>
      <c r="I385" s="625">
        <f t="shared" si="221"/>
        <v>0</v>
      </c>
      <c r="J385" s="481">
        <f t="shared" si="222"/>
        <v>0</v>
      </c>
      <c r="K385" s="522" t="s">
        <v>1448</v>
      </c>
    </row>
    <row r="386" spans="1:11" s="514" customFormat="1" ht="22.5" customHeight="1" outlineLevel="1" x14ac:dyDescent="0.3">
      <c r="A386" s="443">
        <f t="shared" si="224"/>
        <v>367</v>
      </c>
      <c r="B386" s="507" t="s">
        <v>1586</v>
      </c>
      <c r="C386" s="508" t="s">
        <v>1385</v>
      </c>
      <c r="D386" s="509">
        <v>16</v>
      </c>
      <c r="E386" s="510">
        <f t="shared" si="220"/>
        <v>1652.4</v>
      </c>
      <c r="F386" s="511">
        <v>26438.400000000001</v>
      </c>
      <c r="G386" s="769">
        <v>16666.669999999998</v>
      </c>
      <c r="H386" s="768">
        <f t="shared" si="223"/>
        <v>266666.71999999997</v>
      </c>
      <c r="I386" s="626">
        <f t="shared" si="221"/>
        <v>-15014.269999999999</v>
      </c>
      <c r="J386" s="513">
        <f t="shared" si="222"/>
        <v>-240228.31999999998</v>
      </c>
      <c r="K386" s="521"/>
    </row>
    <row r="387" spans="1:11" s="514" customFormat="1" ht="33.75" customHeight="1" outlineLevel="1" x14ac:dyDescent="0.3">
      <c r="A387" s="443">
        <f t="shared" si="224"/>
        <v>368</v>
      </c>
      <c r="B387" s="507" t="s">
        <v>1587</v>
      </c>
      <c r="C387" s="508" t="s">
        <v>40</v>
      </c>
      <c r="D387" s="509">
        <v>270</v>
      </c>
      <c r="E387" s="510">
        <f t="shared" si="220"/>
        <v>9718.0499999999993</v>
      </c>
      <c r="F387" s="511">
        <v>2623873.5</v>
      </c>
      <c r="G387" s="769">
        <v>6833.33</v>
      </c>
      <c r="H387" s="768">
        <f t="shared" si="223"/>
        <v>1844999.1</v>
      </c>
      <c r="I387" s="626">
        <f t="shared" si="221"/>
        <v>2884.7199999999993</v>
      </c>
      <c r="J387" s="513">
        <f>F387-H387</f>
        <v>778874.39999999991</v>
      </c>
      <c r="K387" s="521"/>
    </row>
    <row r="388" spans="1:11" s="514" customFormat="1" ht="22.5" customHeight="1" outlineLevel="1" x14ac:dyDescent="0.3">
      <c r="A388" s="443">
        <f t="shared" si="224"/>
        <v>369</v>
      </c>
      <c r="B388" s="507" t="s">
        <v>1588</v>
      </c>
      <c r="C388" s="508" t="s">
        <v>5</v>
      </c>
      <c r="D388" s="516">
        <v>321.74</v>
      </c>
      <c r="E388" s="510">
        <f t="shared" si="220"/>
        <v>9226.7199999999993</v>
      </c>
      <c r="F388" s="511">
        <v>2968604.89</v>
      </c>
      <c r="G388" s="769">
        <v>9041.67</v>
      </c>
      <c r="H388" s="768">
        <f t="shared" si="223"/>
        <v>2909066.9058000003</v>
      </c>
      <c r="I388" s="626">
        <f t="shared" si="221"/>
        <v>185.04999999999927</v>
      </c>
      <c r="J388" s="513">
        <f t="shared" ref="J388:J389" si="225">F388-H388</f>
        <v>59537.984199999832</v>
      </c>
      <c r="K388" s="521"/>
    </row>
    <row r="389" spans="1:11" ht="49.5" customHeight="1" outlineLevel="1" x14ac:dyDescent="0.3">
      <c r="A389" s="443">
        <f t="shared" si="224"/>
        <v>370</v>
      </c>
      <c r="B389" s="428" t="s">
        <v>1862</v>
      </c>
      <c r="C389" s="442" t="s">
        <v>1385</v>
      </c>
      <c r="D389" s="529">
        <v>1</v>
      </c>
      <c r="E389" s="480">
        <f t="shared" si="220"/>
        <v>13969.17</v>
      </c>
      <c r="F389" s="479">
        <f>464969.44-451000.27</f>
        <v>13969.169999999984</v>
      </c>
      <c r="G389" s="767">
        <v>13969.17</v>
      </c>
      <c r="H389" s="768">
        <f t="shared" si="223"/>
        <v>13969.17</v>
      </c>
      <c r="I389" s="625">
        <f t="shared" si="221"/>
        <v>0</v>
      </c>
      <c r="J389" s="481">
        <f t="shared" si="225"/>
        <v>-1.6370904631912708E-11</v>
      </c>
      <c r="K389" s="522" t="s">
        <v>1448</v>
      </c>
    </row>
    <row r="390" spans="1:11" s="514" customFormat="1" ht="33.75" customHeight="1" outlineLevel="1" x14ac:dyDescent="0.3">
      <c r="A390" s="443">
        <f t="shared" si="224"/>
        <v>371</v>
      </c>
      <c r="B390" s="507" t="s">
        <v>1587</v>
      </c>
      <c r="C390" s="508" t="s">
        <v>40</v>
      </c>
      <c r="D390" s="509">
        <v>209</v>
      </c>
      <c r="E390" s="510">
        <f t="shared" si="220"/>
        <v>9718.0499999999993</v>
      </c>
      <c r="F390" s="511">
        <v>2031072.45</v>
      </c>
      <c r="G390" s="769">
        <v>6833.33</v>
      </c>
      <c r="H390" s="768">
        <f t="shared" si="223"/>
        <v>1428165.97</v>
      </c>
      <c r="I390" s="626">
        <f t="shared" si="221"/>
        <v>2884.7199999999993</v>
      </c>
      <c r="J390" s="513">
        <f>F390-H390</f>
        <v>602906.48</v>
      </c>
      <c r="K390" s="521"/>
    </row>
    <row r="391" spans="1:11" s="514" customFormat="1" ht="22.5" customHeight="1" outlineLevel="1" x14ac:dyDescent="0.3">
      <c r="A391" s="443">
        <f t="shared" si="224"/>
        <v>372</v>
      </c>
      <c r="B391" s="507" t="s">
        <v>1588</v>
      </c>
      <c r="C391" s="508" t="s">
        <v>5</v>
      </c>
      <c r="D391" s="516">
        <v>249.26</v>
      </c>
      <c r="E391" s="510">
        <f t="shared" si="220"/>
        <v>9226.7199999999993</v>
      </c>
      <c r="F391" s="511">
        <v>2299852.23</v>
      </c>
      <c r="G391" s="769">
        <v>9041.67</v>
      </c>
      <c r="H391" s="768">
        <f t="shared" si="223"/>
        <v>2253726.6642</v>
      </c>
      <c r="I391" s="626">
        <f t="shared" si="221"/>
        <v>185.04999999999927</v>
      </c>
      <c r="J391" s="513">
        <f t="shared" ref="J391:J392" si="226">F391-H391</f>
        <v>46125.565799999982</v>
      </c>
      <c r="K391" s="521"/>
    </row>
    <row r="392" spans="1:11" ht="46.5" customHeight="1" outlineLevel="1" x14ac:dyDescent="0.3">
      <c r="A392" s="443">
        <f t="shared" si="224"/>
        <v>373</v>
      </c>
      <c r="B392" s="428" t="s">
        <v>1592</v>
      </c>
      <c r="C392" s="443" t="s">
        <v>28</v>
      </c>
      <c r="D392" s="536">
        <f>(14*12+40.8)/1000</f>
        <v>0.20880000000000001</v>
      </c>
      <c r="E392" s="480">
        <f t="shared" ref="E392" si="227">F392/11</f>
        <v>23520.265454545453</v>
      </c>
      <c r="F392" s="479">
        <f>208167.87+50555.05</f>
        <v>258722.91999999998</v>
      </c>
      <c r="G392" s="767">
        <v>23520.265454545453</v>
      </c>
      <c r="H392" s="768">
        <f t="shared" si="223"/>
        <v>4911.0314269090914</v>
      </c>
      <c r="I392" s="625">
        <f t="shared" si="221"/>
        <v>0</v>
      </c>
      <c r="J392" s="481">
        <f t="shared" si="226"/>
        <v>253811.8885730909</v>
      </c>
      <c r="K392" s="519" t="s">
        <v>1401</v>
      </c>
    </row>
    <row r="393" spans="1:11" s="525" customFormat="1" ht="23.25" customHeight="1" outlineLevel="1" x14ac:dyDescent="0.3">
      <c r="A393" s="443">
        <f t="shared" si="224"/>
        <v>374</v>
      </c>
      <c r="B393" s="428" t="s">
        <v>1473</v>
      </c>
      <c r="C393" s="443" t="s">
        <v>16</v>
      </c>
      <c r="D393" s="580">
        <f>0.42+0.12</f>
        <v>0.54</v>
      </c>
      <c r="E393" s="480">
        <f>76.87*8.61</f>
        <v>661.85069999999996</v>
      </c>
      <c r="F393" s="892">
        <f>ROUND((77642.75-49866.32)+(22183.65-14247.53),2)</f>
        <v>35712.550000000003</v>
      </c>
      <c r="G393" s="770">
        <f>76.87*8.61</f>
        <v>661.85069999999996</v>
      </c>
      <c r="H393" s="768">
        <f t="shared" si="223"/>
        <v>357.39937800000001</v>
      </c>
      <c r="I393" s="896">
        <f>(E393+E394+E395+E396+E397+E398+E399)-(G393+G394+G395+G396+G397+G398+G399)</f>
        <v>0</v>
      </c>
      <c r="J393" s="850">
        <v>0</v>
      </c>
      <c r="K393" s="522" t="s">
        <v>1476</v>
      </c>
    </row>
    <row r="394" spans="1:11" s="525" customFormat="1" ht="23.25" customHeight="1" outlineLevel="1" x14ac:dyDescent="0.3">
      <c r="A394" s="443">
        <f t="shared" si="224"/>
        <v>375</v>
      </c>
      <c r="B394" s="428" t="s">
        <v>1474</v>
      </c>
      <c r="C394" s="443" t="s">
        <v>364</v>
      </c>
      <c r="D394" s="526">
        <f>4+14</f>
        <v>18</v>
      </c>
      <c r="E394" s="480">
        <f>44.84*8.61</f>
        <v>386.07240000000002</v>
      </c>
      <c r="F394" s="893"/>
      <c r="G394" s="770">
        <f>44.84*8.61</f>
        <v>386.07240000000002</v>
      </c>
      <c r="H394" s="768">
        <f t="shared" si="223"/>
        <v>6949.3032000000003</v>
      </c>
      <c r="I394" s="897"/>
      <c r="J394" s="891"/>
      <c r="K394" s="522" t="s">
        <v>1476</v>
      </c>
    </row>
    <row r="395" spans="1:11" s="525" customFormat="1" ht="23.25" customHeight="1" outlineLevel="1" x14ac:dyDescent="0.3">
      <c r="A395" s="443">
        <f t="shared" si="224"/>
        <v>376</v>
      </c>
      <c r="B395" s="428" t="s">
        <v>1399</v>
      </c>
      <c r="C395" s="443" t="s">
        <v>364</v>
      </c>
      <c r="D395" s="526">
        <f>4+14</f>
        <v>18</v>
      </c>
      <c r="E395" s="480">
        <f>11.9*8.61</f>
        <v>102.459</v>
      </c>
      <c r="F395" s="893"/>
      <c r="G395" s="770">
        <f>11.9*8.61</f>
        <v>102.459</v>
      </c>
      <c r="H395" s="768">
        <f t="shared" si="223"/>
        <v>1844.2620000000002</v>
      </c>
      <c r="I395" s="897"/>
      <c r="J395" s="891"/>
      <c r="K395" s="522" t="s">
        <v>1476</v>
      </c>
    </row>
    <row r="396" spans="1:11" s="525" customFormat="1" ht="23.25" customHeight="1" outlineLevel="1" x14ac:dyDescent="0.3">
      <c r="A396" s="443">
        <f t="shared" si="224"/>
        <v>377</v>
      </c>
      <c r="B396" s="428" t="s">
        <v>1397</v>
      </c>
      <c r="C396" s="443" t="s">
        <v>16</v>
      </c>
      <c r="D396" s="526">
        <f>12+42</f>
        <v>54</v>
      </c>
      <c r="E396" s="480">
        <f>4.8*8.61</f>
        <v>41.327999999999996</v>
      </c>
      <c r="F396" s="893"/>
      <c r="G396" s="770">
        <f>4.8*8.61</f>
        <v>41.327999999999996</v>
      </c>
      <c r="H396" s="768">
        <f t="shared" si="223"/>
        <v>2231.712</v>
      </c>
      <c r="I396" s="897"/>
      <c r="J396" s="891"/>
      <c r="K396" s="522" t="s">
        <v>1476</v>
      </c>
    </row>
    <row r="397" spans="1:11" s="525" customFormat="1" ht="23.25" customHeight="1" outlineLevel="1" x14ac:dyDescent="0.3">
      <c r="A397" s="443">
        <f t="shared" si="224"/>
        <v>378</v>
      </c>
      <c r="B397" s="428" t="s">
        <v>1396</v>
      </c>
      <c r="C397" s="443" t="s">
        <v>364</v>
      </c>
      <c r="D397" s="580">
        <f>0.04+0.14</f>
        <v>0.18000000000000002</v>
      </c>
      <c r="E397" s="480">
        <f>1482*8.61</f>
        <v>12760.019999999999</v>
      </c>
      <c r="F397" s="893"/>
      <c r="G397" s="770">
        <f>1482*8.61</f>
        <v>12760.019999999999</v>
      </c>
      <c r="H397" s="768">
        <f t="shared" si="223"/>
        <v>2296.8036000000002</v>
      </c>
      <c r="I397" s="897"/>
      <c r="J397" s="891"/>
      <c r="K397" s="522" t="s">
        <v>1476</v>
      </c>
    </row>
    <row r="398" spans="1:11" s="525" customFormat="1" ht="23.25" customHeight="1" outlineLevel="1" x14ac:dyDescent="0.3">
      <c r="A398" s="443">
        <f t="shared" si="224"/>
        <v>379</v>
      </c>
      <c r="B398" s="428" t="s">
        <v>1475</v>
      </c>
      <c r="C398" s="443" t="s">
        <v>364</v>
      </c>
      <c r="D398" s="580">
        <f>0.16+0.56</f>
        <v>0.72000000000000008</v>
      </c>
      <c r="E398" s="480">
        <f>529.18*8.61</f>
        <v>4556.2397999999994</v>
      </c>
      <c r="F398" s="893"/>
      <c r="G398" s="770">
        <f>529.18*8.61</f>
        <v>4556.2397999999994</v>
      </c>
      <c r="H398" s="768">
        <f t="shared" si="223"/>
        <v>3280.4926559999999</v>
      </c>
      <c r="I398" s="897"/>
      <c r="J398" s="891"/>
      <c r="K398" s="522" t="s">
        <v>1476</v>
      </c>
    </row>
    <row r="399" spans="1:11" s="525" customFormat="1" ht="31.5" customHeight="1" outlineLevel="1" x14ac:dyDescent="0.3">
      <c r="A399" s="443">
        <f t="shared" si="224"/>
        <v>380</v>
      </c>
      <c r="B399" s="428" t="s">
        <v>1400</v>
      </c>
      <c r="C399" s="443" t="s">
        <v>1398</v>
      </c>
      <c r="D399" s="526">
        <f>4+14</f>
        <v>18</v>
      </c>
      <c r="E399" s="480">
        <f>121*8.61</f>
        <v>1041.81</v>
      </c>
      <c r="F399" s="894"/>
      <c r="G399" s="770">
        <f>121*8.61</f>
        <v>1041.81</v>
      </c>
      <c r="H399" s="768">
        <f t="shared" si="223"/>
        <v>18752.579999999998</v>
      </c>
      <c r="I399" s="898"/>
      <c r="J399" s="851"/>
      <c r="K399" s="522" t="s">
        <v>1476</v>
      </c>
    </row>
    <row r="400" spans="1:11" ht="23.25" customHeight="1" outlineLevel="1" x14ac:dyDescent="0.3">
      <c r="A400" s="443">
        <f t="shared" si="224"/>
        <v>381</v>
      </c>
      <c r="B400" s="428" t="s">
        <v>1501</v>
      </c>
      <c r="C400" s="442" t="s">
        <v>16</v>
      </c>
      <c r="D400" s="492">
        <v>2962.11</v>
      </c>
      <c r="E400" s="480">
        <f t="shared" ref="E400:E402" si="228">ROUND(F400/D400,2)</f>
        <v>776.02</v>
      </c>
      <c r="F400" s="479">
        <v>2298654.5299999998</v>
      </c>
      <c r="G400" s="767">
        <v>2520</v>
      </c>
      <c r="H400" s="768">
        <f t="shared" si="223"/>
        <v>7464517.2000000002</v>
      </c>
      <c r="I400" s="625">
        <f t="shared" ref="I400:I411" si="229">E400-G400</f>
        <v>-1743.98</v>
      </c>
      <c r="J400" s="481">
        <f t="shared" ref="J400:J411" si="230">F400-H400</f>
        <v>-5165862.67</v>
      </c>
    </row>
    <row r="401" spans="1:11" s="514" customFormat="1" ht="30" customHeight="1" outlineLevel="1" x14ac:dyDescent="0.3">
      <c r="A401" s="443">
        <f t="shared" si="224"/>
        <v>382</v>
      </c>
      <c r="B401" s="551" t="s">
        <v>1481</v>
      </c>
      <c r="C401" s="508" t="s">
        <v>1391</v>
      </c>
      <c r="D401" s="509">
        <v>1</v>
      </c>
      <c r="E401" s="510">
        <f t="shared" si="228"/>
        <v>32748.82</v>
      </c>
      <c r="F401" s="511">
        <v>32748.82</v>
      </c>
      <c r="G401" s="769">
        <v>32748.82</v>
      </c>
      <c r="H401" s="768">
        <f t="shared" si="223"/>
        <v>32748.82</v>
      </c>
      <c r="I401" s="626">
        <f t="shared" si="229"/>
        <v>0</v>
      </c>
      <c r="J401" s="513">
        <f t="shared" si="230"/>
        <v>0</v>
      </c>
      <c r="K401" s="523" t="s">
        <v>1440</v>
      </c>
    </row>
    <row r="402" spans="1:11" s="514" customFormat="1" ht="24" customHeight="1" outlineLevel="1" x14ac:dyDescent="0.3">
      <c r="A402" s="443">
        <f t="shared" si="224"/>
        <v>383</v>
      </c>
      <c r="B402" s="507" t="s">
        <v>1483</v>
      </c>
      <c r="C402" s="508" t="s">
        <v>40</v>
      </c>
      <c r="D402" s="509">
        <v>7</v>
      </c>
      <c r="E402" s="510">
        <f t="shared" si="228"/>
        <v>20564.900000000001</v>
      </c>
      <c r="F402" s="511">
        <v>143954.29999999999</v>
      </c>
      <c r="G402" s="769">
        <v>21833.33</v>
      </c>
      <c r="H402" s="768">
        <f t="shared" si="223"/>
        <v>152833.31</v>
      </c>
      <c r="I402" s="626">
        <f t="shared" si="229"/>
        <v>-1268.4300000000003</v>
      </c>
      <c r="J402" s="513">
        <f t="shared" si="230"/>
        <v>-8879.0100000000093</v>
      </c>
      <c r="K402" s="523"/>
    </row>
    <row r="403" spans="1:11" s="525" customFormat="1" ht="21.75" customHeight="1" outlineLevel="1" x14ac:dyDescent="0.3">
      <c r="A403" s="443">
        <f t="shared" si="224"/>
        <v>384</v>
      </c>
      <c r="B403" s="428" t="s">
        <v>1487</v>
      </c>
      <c r="C403" s="443" t="s">
        <v>28</v>
      </c>
      <c r="D403" s="580">
        <v>0.01</v>
      </c>
      <c r="E403" s="480">
        <f>9249.85*8.61</f>
        <v>79641.208499999993</v>
      </c>
      <c r="F403" s="479">
        <f>ROUND(E403*D403,2)</f>
        <v>796.41</v>
      </c>
      <c r="G403" s="767">
        <v>79641.208499999993</v>
      </c>
      <c r="H403" s="768">
        <f t="shared" si="223"/>
        <v>796.41208499999993</v>
      </c>
      <c r="I403" s="625">
        <f t="shared" si="229"/>
        <v>0</v>
      </c>
      <c r="J403" s="481">
        <f t="shared" si="230"/>
        <v>-2.0849999999654756E-3</v>
      </c>
      <c r="K403" s="522" t="s">
        <v>1486</v>
      </c>
    </row>
    <row r="404" spans="1:11" s="525" customFormat="1" ht="24.75" customHeight="1" outlineLevel="1" x14ac:dyDescent="0.3">
      <c r="A404" s="443">
        <f t="shared" si="224"/>
        <v>385</v>
      </c>
      <c r="B404" s="428" t="s">
        <v>1488</v>
      </c>
      <c r="C404" s="443" t="s">
        <v>28</v>
      </c>
      <c r="D404" s="580">
        <v>0.02</v>
      </c>
      <c r="E404" s="480">
        <f>11856*8.61</f>
        <v>102080.15999999999</v>
      </c>
      <c r="F404" s="479">
        <f>ROUND(E404*D404,2)</f>
        <v>2041.6</v>
      </c>
      <c r="G404" s="767">
        <v>102080.15999999999</v>
      </c>
      <c r="H404" s="768">
        <f t="shared" si="223"/>
        <v>2041.6031999999998</v>
      </c>
      <c r="I404" s="625">
        <f t="shared" si="229"/>
        <v>0</v>
      </c>
      <c r="J404" s="481">
        <f t="shared" si="230"/>
        <v>-3.1999999998788553E-3</v>
      </c>
      <c r="K404" s="522" t="s">
        <v>1486</v>
      </c>
    </row>
    <row r="405" spans="1:11" ht="23.25" customHeight="1" outlineLevel="1" x14ac:dyDescent="0.3">
      <c r="A405" s="443">
        <f t="shared" si="224"/>
        <v>386</v>
      </c>
      <c r="B405" s="551" t="s">
        <v>1484</v>
      </c>
      <c r="C405" s="508" t="s">
        <v>40</v>
      </c>
      <c r="D405" s="509">
        <v>10</v>
      </c>
      <c r="E405" s="510">
        <f t="shared" ref="E405:E406" si="231">F405/11</f>
        <v>70.393636363636361</v>
      </c>
      <c r="F405" s="511">
        <v>774.33</v>
      </c>
      <c r="G405" s="769">
        <v>70.393636363636361</v>
      </c>
      <c r="H405" s="768">
        <f t="shared" si="223"/>
        <v>703.93636363636358</v>
      </c>
      <c r="I405" s="626">
        <f t="shared" si="229"/>
        <v>0</v>
      </c>
      <c r="J405" s="513">
        <f t="shared" si="230"/>
        <v>70.39363636363646</v>
      </c>
      <c r="K405" s="523" t="s">
        <v>1440</v>
      </c>
    </row>
    <row r="406" spans="1:11" ht="23.25" customHeight="1" outlineLevel="1" x14ac:dyDescent="0.3">
      <c r="A406" s="443">
        <f t="shared" si="224"/>
        <v>387</v>
      </c>
      <c r="B406" s="551" t="s">
        <v>1485</v>
      </c>
      <c r="C406" s="508" t="s">
        <v>40</v>
      </c>
      <c r="D406" s="509">
        <v>4</v>
      </c>
      <c r="E406" s="510">
        <f t="shared" si="231"/>
        <v>564.50272727272727</v>
      </c>
      <c r="F406" s="511">
        <v>6209.53</v>
      </c>
      <c r="G406" s="769">
        <v>564.50272727272727</v>
      </c>
      <c r="H406" s="768">
        <f t="shared" si="223"/>
        <v>2258.0109090909091</v>
      </c>
      <c r="I406" s="626">
        <f t="shared" si="229"/>
        <v>0</v>
      </c>
      <c r="J406" s="513">
        <f t="shared" si="230"/>
        <v>3951.5190909090907</v>
      </c>
      <c r="K406" s="523" t="s">
        <v>1440</v>
      </c>
    </row>
    <row r="407" spans="1:11" s="514" customFormat="1" ht="21.75" customHeight="1" outlineLevel="1" x14ac:dyDescent="0.3">
      <c r="A407" s="443">
        <f t="shared" si="224"/>
        <v>388</v>
      </c>
      <c r="B407" s="507" t="s">
        <v>1516</v>
      </c>
      <c r="C407" s="508" t="s">
        <v>40</v>
      </c>
      <c r="D407" s="509">
        <v>2</v>
      </c>
      <c r="E407" s="510">
        <f t="shared" ref="E407:E411" si="232">ROUND(F407/D407,2)</f>
        <v>4624</v>
      </c>
      <c r="F407" s="511">
        <v>9248</v>
      </c>
      <c r="G407" s="769">
        <v>4624</v>
      </c>
      <c r="H407" s="768">
        <f t="shared" si="223"/>
        <v>9248</v>
      </c>
      <c r="I407" s="626">
        <f t="shared" si="229"/>
        <v>0</v>
      </c>
      <c r="J407" s="513">
        <f t="shared" si="230"/>
        <v>0</v>
      </c>
      <c r="K407" s="521"/>
    </row>
    <row r="408" spans="1:11" s="514" customFormat="1" ht="21.75" customHeight="1" outlineLevel="1" x14ac:dyDescent="0.3">
      <c r="A408" s="443">
        <f t="shared" si="224"/>
        <v>389</v>
      </c>
      <c r="B408" s="507" t="s">
        <v>1507</v>
      </c>
      <c r="C408" s="508" t="s">
        <v>5</v>
      </c>
      <c r="D408" s="509">
        <v>1291</v>
      </c>
      <c r="E408" s="510">
        <f t="shared" si="232"/>
        <v>4887.5</v>
      </c>
      <c r="F408" s="511">
        <v>6309762.5</v>
      </c>
      <c r="G408" s="769">
        <v>2666.67</v>
      </c>
      <c r="H408" s="768">
        <f t="shared" si="223"/>
        <v>3442670.97</v>
      </c>
      <c r="I408" s="626">
        <f t="shared" si="229"/>
        <v>2220.83</v>
      </c>
      <c r="J408" s="513">
        <f t="shared" si="230"/>
        <v>2867091.53</v>
      </c>
      <c r="K408" s="521"/>
    </row>
    <row r="409" spans="1:11" s="514" customFormat="1" ht="21.75" customHeight="1" outlineLevel="1" x14ac:dyDescent="0.3">
      <c r="A409" s="443">
        <f t="shared" si="224"/>
        <v>390</v>
      </c>
      <c r="B409" s="507" t="s">
        <v>1508</v>
      </c>
      <c r="C409" s="508" t="s">
        <v>5</v>
      </c>
      <c r="D409" s="509">
        <v>1291</v>
      </c>
      <c r="E409" s="510">
        <f t="shared" si="232"/>
        <v>4887.5</v>
      </c>
      <c r="F409" s="511">
        <v>6309762.5</v>
      </c>
      <c r="G409" s="769">
        <v>2666.67</v>
      </c>
      <c r="H409" s="768">
        <f t="shared" si="223"/>
        <v>3442670.97</v>
      </c>
      <c r="I409" s="626">
        <f t="shared" si="229"/>
        <v>2220.83</v>
      </c>
      <c r="J409" s="513">
        <f t="shared" si="230"/>
        <v>2867091.53</v>
      </c>
      <c r="K409" s="521"/>
    </row>
    <row r="410" spans="1:11" ht="23.25" customHeight="1" outlineLevel="1" x14ac:dyDescent="0.3">
      <c r="A410" s="443">
        <f t="shared" si="224"/>
        <v>391</v>
      </c>
      <c r="B410" s="428" t="s">
        <v>1845</v>
      </c>
      <c r="C410" s="422" t="s">
        <v>20</v>
      </c>
      <c r="D410" s="493">
        <v>1014</v>
      </c>
      <c r="E410" s="480">
        <f t="shared" si="232"/>
        <v>1970.22</v>
      </c>
      <c r="F410" s="479">
        <v>1997807.11</v>
      </c>
      <c r="G410" s="767">
        <v>650</v>
      </c>
      <c r="H410" s="768">
        <f t="shared" si="223"/>
        <v>659100</v>
      </c>
      <c r="I410" s="625">
        <f t="shared" si="229"/>
        <v>1320.22</v>
      </c>
      <c r="J410" s="481">
        <f t="shared" si="230"/>
        <v>1338707.1100000001</v>
      </c>
      <c r="K410" s="537"/>
    </row>
    <row r="411" spans="1:11" ht="23.25" customHeight="1" outlineLevel="1" x14ac:dyDescent="0.3">
      <c r="A411" s="443">
        <f t="shared" si="224"/>
        <v>392</v>
      </c>
      <c r="B411" s="428" t="s">
        <v>1878</v>
      </c>
      <c r="C411" s="442" t="s">
        <v>17</v>
      </c>
      <c r="D411" s="529">
        <f>76.02*1.26</f>
        <v>95.785199999999989</v>
      </c>
      <c r="E411" s="480">
        <f t="shared" si="232"/>
        <v>1182.67</v>
      </c>
      <c r="F411" s="479">
        <f>113282.24</f>
        <v>113282.24000000001</v>
      </c>
      <c r="G411" s="767">
        <v>5000</v>
      </c>
      <c r="H411" s="768">
        <f t="shared" si="223"/>
        <v>478925.99999999994</v>
      </c>
      <c r="I411" s="625">
        <f t="shared" si="229"/>
        <v>-3817.33</v>
      </c>
      <c r="J411" s="481">
        <f t="shared" si="230"/>
        <v>-365643.75999999995</v>
      </c>
    </row>
    <row r="412" spans="1:11" ht="23.25" customHeight="1" outlineLevel="1" x14ac:dyDescent="0.3">
      <c r="A412" s="443">
        <f t="shared" si="224"/>
        <v>393</v>
      </c>
      <c r="B412" s="428" t="s">
        <v>1879</v>
      </c>
      <c r="C412" s="442" t="s">
        <v>17</v>
      </c>
      <c r="D412" s="529">
        <f>16.13*1.26+7.14+0.08</f>
        <v>27.543799999999997</v>
      </c>
      <c r="E412" s="480">
        <f t="shared" ref="E412" si="233">ROUND(F412/D412,2)</f>
        <v>1063.42</v>
      </c>
      <c r="F412" s="479">
        <f>21612.76+7677.9</f>
        <v>29290.659999999996</v>
      </c>
      <c r="G412" s="767">
        <v>5000</v>
      </c>
      <c r="H412" s="768">
        <f t="shared" si="223"/>
        <v>137719</v>
      </c>
      <c r="I412" s="625">
        <f t="shared" ref="I412" si="234">E412-G412</f>
        <v>-3936.58</v>
      </c>
      <c r="J412" s="481">
        <f t="shared" ref="J412" si="235">F412-H412</f>
        <v>-108428.34</v>
      </c>
    </row>
    <row r="413" spans="1:11" ht="23.25" customHeight="1" outlineLevel="1" x14ac:dyDescent="0.3">
      <c r="A413" s="443">
        <f t="shared" si="224"/>
        <v>394</v>
      </c>
      <c r="B413" s="428" t="s">
        <v>1405</v>
      </c>
      <c r="C413" s="442" t="s">
        <v>40</v>
      </c>
      <c r="D413" s="493">
        <v>576</v>
      </c>
      <c r="E413" s="480">
        <f>ROUND(F413/D413,2)</f>
        <v>657.29</v>
      </c>
      <c r="F413" s="479">
        <v>378597.54</v>
      </c>
      <c r="G413" s="767">
        <v>750</v>
      </c>
      <c r="H413" s="768">
        <f t="shared" si="223"/>
        <v>432000</v>
      </c>
      <c r="I413" s="625">
        <f>E413-G413</f>
        <v>-92.710000000000036</v>
      </c>
      <c r="J413" s="481">
        <f>F413-H413</f>
        <v>-53402.460000000021</v>
      </c>
      <c r="K413" s="519"/>
    </row>
    <row r="414" spans="1:11" ht="23.25" customHeight="1" outlineLevel="1" x14ac:dyDescent="0.3">
      <c r="A414" s="443">
        <f t="shared" si="224"/>
        <v>395</v>
      </c>
      <c r="B414" s="428" t="s">
        <v>1524</v>
      </c>
      <c r="C414" s="442" t="s">
        <v>17</v>
      </c>
      <c r="D414" s="501">
        <v>33.984000000000002</v>
      </c>
      <c r="E414" s="480">
        <f>592.76*8.61</f>
        <v>5103.6635999999999</v>
      </c>
      <c r="F414" s="479">
        <f>E414*D414</f>
        <v>173442.90378240001</v>
      </c>
      <c r="G414" s="767">
        <v>6800</v>
      </c>
      <c r="H414" s="768">
        <f t="shared" si="223"/>
        <v>231091.20000000001</v>
      </c>
      <c r="I414" s="625">
        <f>E414-G414</f>
        <v>-1696.3364000000001</v>
      </c>
      <c r="J414" s="481">
        <f>F414-H414</f>
        <v>-57648.2962176</v>
      </c>
      <c r="K414" s="519"/>
    </row>
    <row r="415" spans="1:11" ht="23.25" customHeight="1" outlineLevel="1" x14ac:dyDescent="0.3">
      <c r="A415" s="443">
        <f t="shared" si="224"/>
        <v>396</v>
      </c>
      <c r="B415" s="428" t="s">
        <v>1525</v>
      </c>
      <c r="C415" s="442" t="s">
        <v>17</v>
      </c>
      <c r="D415" s="529">
        <v>0.34560000000000002</v>
      </c>
      <c r="E415" s="480">
        <f>519.8*8.61</f>
        <v>4475.4779999999992</v>
      </c>
      <c r="F415" s="479">
        <f>E415*D415</f>
        <v>1546.7251967999998</v>
      </c>
      <c r="G415" s="767">
        <v>4000</v>
      </c>
      <c r="H415" s="768">
        <f t="shared" si="223"/>
        <v>1382.4</v>
      </c>
      <c r="I415" s="625">
        <f t="shared" ref="I415:I417" si="236">E415-G415</f>
        <v>475.47799999999916</v>
      </c>
      <c r="J415" s="481">
        <f t="shared" ref="J415:J417" si="237">F415-H415</f>
        <v>164.32519679999973</v>
      </c>
    </row>
    <row r="416" spans="1:11" s="514" customFormat="1" ht="33" customHeight="1" outlineLevel="1" x14ac:dyDescent="0.3">
      <c r="A416" s="443">
        <f t="shared" si="224"/>
        <v>397</v>
      </c>
      <c r="B416" s="507" t="s">
        <v>1550</v>
      </c>
      <c r="C416" s="508" t="s">
        <v>1385</v>
      </c>
      <c r="D416" s="509">
        <v>1</v>
      </c>
      <c r="E416" s="510">
        <f>ROUND(F416/D416,2)</f>
        <v>1232500</v>
      </c>
      <c r="F416" s="511">
        <v>1232500</v>
      </c>
      <c r="G416" s="769">
        <v>1208333.33</v>
      </c>
      <c r="H416" s="768">
        <f t="shared" si="223"/>
        <v>1208333.33</v>
      </c>
      <c r="I416" s="626">
        <f t="shared" si="236"/>
        <v>24166.669999999925</v>
      </c>
      <c r="J416" s="513">
        <f t="shared" si="237"/>
        <v>24166.669999999925</v>
      </c>
      <c r="K416" s="521"/>
    </row>
    <row r="417" spans="1:12" s="514" customFormat="1" ht="19.5" customHeight="1" outlineLevel="1" x14ac:dyDescent="0.3">
      <c r="A417" s="443">
        <f t="shared" ref="A417" si="238">A416+1</f>
        <v>398</v>
      </c>
      <c r="B417" s="507" t="s">
        <v>1891</v>
      </c>
      <c r="C417" s="508" t="s">
        <v>1385</v>
      </c>
      <c r="D417" s="509">
        <v>1</v>
      </c>
      <c r="E417" s="510">
        <f>ROUND(F417/D417,2)</f>
        <v>1054.32</v>
      </c>
      <c r="F417" s="511">
        <f>66391.9/2165156015.91*34383288.04</f>
        <v>1054.3220924721413</v>
      </c>
      <c r="G417" s="771">
        <v>1054.32</v>
      </c>
      <c r="H417" s="768">
        <f t="shared" si="223"/>
        <v>1054.32</v>
      </c>
      <c r="I417" s="626">
        <f t="shared" si="236"/>
        <v>0</v>
      </c>
      <c r="J417" s="513">
        <f t="shared" si="237"/>
        <v>2.0924721413848602E-3</v>
      </c>
      <c r="K417" s="521"/>
    </row>
    <row r="418" spans="1:12" s="484" customFormat="1" ht="21.75" customHeight="1" x14ac:dyDescent="0.3">
      <c r="A418" s="555"/>
      <c r="B418" s="612" t="s">
        <v>1897</v>
      </c>
      <c r="C418" s="613"/>
      <c r="D418" s="614"/>
      <c r="E418" s="615"/>
      <c r="F418" s="616">
        <f>SUM(F382:F417)</f>
        <v>30453003.701071672</v>
      </c>
      <c r="G418" s="772"/>
      <c r="H418" s="773">
        <f>SUM(H382:H417)</f>
        <v>28939290.671318635</v>
      </c>
      <c r="I418" s="617"/>
      <c r="J418" s="616">
        <f>SUM(J382:J417)</f>
        <v>1513713.0325870346</v>
      </c>
      <c r="K418" s="550"/>
      <c r="L418" s="549"/>
    </row>
    <row r="419" spans="1:12" s="484" customFormat="1" ht="21.75" customHeight="1" x14ac:dyDescent="0.3">
      <c r="A419" s="486"/>
      <c r="B419" s="845" t="s">
        <v>1849</v>
      </c>
      <c r="C419" s="846"/>
      <c r="D419" s="846"/>
      <c r="E419" s="846"/>
      <c r="F419" s="846"/>
      <c r="G419" s="846"/>
      <c r="H419" s="846"/>
      <c r="I419" s="846"/>
      <c r="J419" s="847"/>
      <c r="K419" s="491">
        <f>F419+'ТП Р'!F557</f>
        <v>0</v>
      </c>
    </row>
    <row r="420" spans="1:12" ht="23.25" customHeight="1" outlineLevel="1" x14ac:dyDescent="0.3">
      <c r="A420" s="443">
        <f>A417+11</f>
        <v>409</v>
      </c>
      <c r="B420" s="428" t="s">
        <v>1569</v>
      </c>
      <c r="C420" s="442" t="s">
        <v>17</v>
      </c>
      <c r="D420" s="492">
        <f>67.91*1.2</f>
        <v>81.49199999999999</v>
      </c>
      <c r="E420" s="480">
        <f t="shared" ref="E420:E429" si="239">ROUND(F420/D420,2)</f>
        <v>499.4</v>
      </c>
      <c r="F420" s="479">
        <f>40696.88</f>
        <v>40696.879999999997</v>
      </c>
      <c r="G420" s="767">
        <v>1200</v>
      </c>
      <c r="H420" s="768">
        <f>G420*D420</f>
        <v>97790.399999999994</v>
      </c>
      <c r="I420" s="625">
        <f t="shared" ref="I420:I430" si="240">E420-G420</f>
        <v>-700.6</v>
      </c>
      <c r="J420" s="481">
        <f t="shared" ref="J420:J424" si="241">F420-H420</f>
        <v>-57093.52</v>
      </c>
      <c r="K420" s="519"/>
    </row>
    <row r="421" spans="1:12" s="514" customFormat="1" ht="22.5" customHeight="1" outlineLevel="1" x14ac:dyDescent="0.3">
      <c r="A421" s="443">
        <f>A420+1</f>
        <v>410</v>
      </c>
      <c r="B421" s="507" t="s">
        <v>1853</v>
      </c>
      <c r="C421" s="508" t="s">
        <v>17</v>
      </c>
      <c r="D421" s="516">
        <v>21.9</v>
      </c>
      <c r="E421" s="510">
        <f t="shared" si="239"/>
        <v>12957.43</v>
      </c>
      <c r="F421" s="511">
        <v>283767.71999999997</v>
      </c>
      <c r="G421" s="769">
        <v>10208.33</v>
      </c>
      <c r="H421" s="768">
        <f t="shared" ref="H421:H448" si="242">G421*D421</f>
        <v>223562.427</v>
      </c>
      <c r="I421" s="626">
        <f t="shared" si="240"/>
        <v>2749.1000000000004</v>
      </c>
      <c r="J421" s="513">
        <f t="shared" si="241"/>
        <v>60205.292999999976</v>
      </c>
      <c r="K421" s="521"/>
    </row>
    <row r="422" spans="1:12" ht="23.25" customHeight="1" outlineLevel="1" x14ac:dyDescent="0.3">
      <c r="A422" s="443">
        <f t="shared" ref="A422:A448" si="243">A421+1</f>
        <v>411</v>
      </c>
      <c r="B422" s="428" t="s">
        <v>1526</v>
      </c>
      <c r="C422" s="442" t="s">
        <v>17</v>
      </c>
      <c r="D422" s="529">
        <f>110.87*1.17</f>
        <v>129.71789999999999</v>
      </c>
      <c r="E422" s="480">
        <f t="shared" si="239"/>
        <v>1063.42</v>
      </c>
      <c r="F422" s="479">
        <v>137944.75</v>
      </c>
      <c r="G422" s="767">
        <v>5000</v>
      </c>
      <c r="H422" s="768">
        <f t="shared" si="242"/>
        <v>648589.49999999988</v>
      </c>
      <c r="I422" s="625">
        <f t="shared" si="240"/>
        <v>-3936.58</v>
      </c>
      <c r="J422" s="481">
        <f t="shared" si="241"/>
        <v>-510644.74999999988</v>
      </c>
      <c r="K422" s="519"/>
    </row>
    <row r="423" spans="1:12" ht="49.5" customHeight="1" outlineLevel="1" x14ac:dyDescent="0.3">
      <c r="A423" s="443">
        <f t="shared" si="243"/>
        <v>412</v>
      </c>
      <c r="B423" s="428" t="s">
        <v>1858</v>
      </c>
      <c r="C423" s="443" t="s">
        <v>1385</v>
      </c>
      <c r="D423" s="526">
        <v>1</v>
      </c>
      <c r="E423" s="480">
        <f t="shared" si="239"/>
        <v>4956.41</v>
      </c>
      <c r="F423" s="479">
        <f>164975.93-160019.52</f>
        <v>4956.4100000000035</v>
      </c>
      <c r="G423" s="767">
        <v>4956.41</v>
      </c>
      <c r="H423" s="768">
        <f t="shared" si="242"/>
        <v>4956.41</v>
      </c>
      <c r="I423" s="625">
        <f t="shared" si="240"/>
        <v>0</v>
      </c>
      <c r="J423" s="481">
        <f t="shared" si="241"/>
        <v>0</v>
      </c>
      <c r="K423" s="522" t="s">
        <v>1448</v>
      </c>
    </row>
    <row r="424" spans="1:12" s="514" customFormat="1" ht="22.5" customHeight="1" outlineLevel="1" x14ac:dyDescent="0.3">
      <c r="A424" s="443">
        <f t="shared" si="243"/>
        <v>413</v>
      </c>
      <c r="B424" s="507" t="s">
        <v>1586</v>
      </c>
      <c r="C424" s="508" t="s">
        <v>1385</v>
      </c>
      <c r="D424" s="509">
        <v>12</v>
      </c>
      <c r="E424" s="510">
        <f t="shared" si="239"/>
        <v>1652.4</v>
      </c>
      <c r="F424" s="511">
        <v>19828.8</v>
      </c>
      <c r="G424" s="769">
        <v>16666.669999999998</v>
      </c>
      <c r="H424" s="768">
        <f t="shared" si="242"/>
        <v>200000.03999999998</v>
      </c>
      <c r="I424" s="626">
        <f t="shared" si="240"/>
        <v>-15014.269999999999</v>
      </c>
      <c r="J424" s="513">
        <f t="shared" si="241"/>
        <v>-180171.24</v>
      </c>
      <c r="K424" s="521"/>
    </row>
    <row r="425" spans="1:12" s="514" customFormat="1" ht="33.75" customHeight="1" outlineLevel="1" x14ac:dyDescent="0.3">
      <c r="A425" s="443">
        <f t="shared" si="243"/>
        <v>414</v>
      </c>
      <c r="B425" s="507" t="s">
        <v>1587</v>
      </c>
      <c r="C425" s="508" t="s">
        <v>40</v>
      </c>
      <c r="D425" s="509">
        <v>74</v>
      </c>
      <c r="E425" s="510">
        <f t="shared" si="239"/>
        <v>9718.0499999999993</v>
      </c>
      <c r="F425" s="511">
        <v>719135.7</v>
      </c>
      <c r="G425" s="769">
        <v>6833.33</v>
      </c>
      <c r="H425" s="768">
        <f t="shared" si="242"/>
        <v>505666.42</v>
      </c>
      <c r="I425" s="626">
        <f t="shared" si="240"/>
        <v>2884.7199999999993</v>
      </c>
      <c r="J425" s="513">
        <f>F425-H425</f>
        <v>213469.27999999997</v>
      </c>
      <c r="K425" s="521"/>
    </row>
    <row r="426" spans="1:12" s="514" customFormat="1" ht="22.5" customHeight="1" outlineLevel="1" x14ac:dyDescent="0.3">
      <c r="A426" s="443">
        <f t="shared" si="243"/>
        <v>415</v>
      </c>
      <c r="B426" s="507" t="s">
        <v>1588</v>
      </c>
      <c r="C426" s="508" t="s">
        <v>5</v>
      </c>
      <c r="D426" s="516">
        <v>88.44</v>
      </c>
      <c r="E426" s="510">
        <f t="shared" si="239"/>
        <v>9226.7199999999993</v>
      </c>
      <c r="F426" s="511">
        <v>816011.12</v>
      </c>
      <c r="G426" s="769">
        <v>9041.67</v>
      </c>
      <c r="H426" s="768">
        <f t="shared" si="242"/>
        <v>799645.29480000003</v>
      </c>
      <c r="I426" s="626">
        <f t="shared" si="240"/>
        <v>185.04999999999927</v>
      </c>
      <c r="J426" s="513">
        <f t="shared" ref="J426:J427" si="244">F426-H426</f>
        <v>16365.825199999963</v>
      </c>
      <c r="K426" s="521"/>
    </row>
    <row r="427" spans="1:12" ht="49.5" customHeight="1" outlineLevel="1" x14ac:dyDescent="0.3">
      <c r="A427" s="443">
        <f t="shared" si="243"/>
        <v>416</v>
      </c>
      <c r="B427" s="428" t="s">
        <v>1864</v>
      </c>
      <c r="C427" s="443" t="s">
        <v>1385</v>
      </c>
      <c r="D427" s="526">
        <v>1</v>
      </c>
      <c r="E427" s="480">
        <f t="shared" si="239"/>
        <v>7873.98</v>
      </c>
      <c r="F427" s="479">
        <f>262088.6-254214.62</f>
        <v>7873.9800000000105</v>
      </c>
      <c r="G427" s="767">
        <v>7873.98</v>
      </c>
      <c r="H427" s="768">
        <f t="shared" si="242"/>
        <v>7873.98</v>
      </c>
      <c r="I427" s="625">
        <f t="shared" si="240"/>
        <v>0</v>
      </c>
      <c r="J427" s="481">
        <f t="shared" si="244"/>
        <v>1.0913936421275139E-11</v>
      </c>
      <c r="K427" s="522" t="s">
        <v>1448</v>
      </c>
    </row>
    <row r="428" spans="1:12" s="514" customFormat="1" ht="33.75" customHeight="1" outlineLevel="1" x14ac:dyDescent="0.3">
      <c r="A428" s="443">
        <f t="shared" si="243"/>
        <v>417</v>
      </c>
      <c r="B428" s="507" t="s">
        <v>1587</v>
      </c>
      <c r="C428" s="508" t="s">
        <v>40</v>
      </c>
      <c r="D428" s="509">
        <v>118</v>
      </c>
      <c r="E428" s="510">
        <f t="shared" si="239"/>
        <v>9718.0499999999993</v>
      </c>
      <c r="F428" s="511">
        <v>1146729.8999999999</v>
      </c>
      <c r="G428" s="769">
        <v>6833.33</v>
      </c>
      <c r="H428" s="768">
        <f t="shared" si="242"/>
        <v>806332.94</v>
      </c>
      <c r="I428" s="626">
        <f t="shared" si="240"/>
        <v>2884.7199999999993</v>
      </c>
      <c r="J428" s="513">
        <f>F428-H428</f>
        <v>340396.95999999996</v>
      </c>
      <c r="K428" s="521"/>
    </row>
    <row r="429" spans="1:12" s="514" customFormat="1" ht="22.5" customHeight="1" outlineLevel="1" x14ac:dyDescent="0.3">
      <c r="A429" s="443">
        <f t="shared" si="243"/>
        <v>418</v>
      </c>
      <c r="B429" s="507" t="s">
        <v>1588</v>
      </c>
      <c r="C429" s="508" t="s">
        <v>5</v>
      </c>
      <c r="D429" s="516">
        <v>140.5</v>
      </c>
      <c r="E429" s="510">
        <f t="shared" si="239"/>
        <v>9226.7199999999993</v>
      </c>
      <c r="F429" s="511">
        <v>1296354.1599999999</v>
      </c>
      <c r="G429" s="769">
        <v>9041.67</v>
      </c>
      <c r="H429" s="768">
        <f t="shared" si="242"/>
        <v>1270354.635</v>
      </c>
      <c r="I429" s="626">
        <f t="shared" si="240"/>
        <v>185.04999999999927</v>
      </c>
      <c r="J429" s="513">
        <f t="shared" ref="J429:J430" si="245">F429-H429</f>
        <v>25999.524999999907</v>
      </c>
      <c r="K429" s="521"/>
    </row>
    <row r="430" spans="1:12" ht="46.5" customHeight="1" outlineLevel="1" x14ac:dyDescent="0.3">
      <c r="A430" s="443">
        <f t="shared" si="243"/>
        <v>419</v>
      </c>
      <c r="B430" s="428" t="s">
        <v>1592</v>
      </c>
      <c r="C430" s="443" t="s">
        <v>28</v>
      </c>
      <c r="D430" s="536">
        <f>(12*12)/1000</f>
        <v>0.14399999999999999</v>
      </c>
      <c r="E430" s="480">
        <f t="shared" ref="E430" si="246">F430/11</f>
        <v>16220.872727272728</v>
      </c>
      <c r="F430" s="479">
        <f>178429.6</f>
        <v>178429.6</v>
      </c>
      <c r="G430" s="767">
        <v>16220.872727272728</v>
      </c>
      <c r="H430" s="768">
        <f t="shared" si="242"/>
        <v>2335.8056727272728</v>
      </c>
      <c r="I430" s="625">
        <f t="shared" si="240"/>
        <v>0</v>
      </c>
      <c r="J430" s="481">
        <f t="shared" si="245"/>
        <v>176093.79432727274</v>
      </c>
      <c r="K430" s="519" t="s">
        <v>1401</v>
      </c>
    </row>
    <row r="431" spans="1:12" s="525" customFormat="1" ht="23.25" customHeight="1" outlineLevel="1" x14ac:dyDescent="0.3">
      <c r="A431" s="443">
        <f t="shared" si="243"/>
        <v>420</v>
      </c>
      <c r="B431" s="428" t="s">
        <v>1473</v>
      </c>
      <c r="C431" s="443" t="s">
        <v>16</v>
      </c>
      <c r="D431" s="580">
        <f>0.36</f>
        <v>0.36</v>
      </c>
      <c r="E431" s="480">
        <f>76.87*8.61</f>
        <v>661.85069999999996</v>
      </c>
      <c r="F431" s="892">
        <f>(66550.92-42742.55)</f>
        <v>23808.369999999995</v>
      </c>
      <c r="G431" s="770">
        <f>76.87*8.61</f>
        <v>661.85069999999996</v>
      </c>
      <c r="H431" s="768">
        <f t="shared" si="242"/>
        <v>238.26625199999998</v>
      </c>
      <c r="I431" s="896">
        <f>(E431+E432+E433+E434+E435+E436+E437)-(G431+G432+G433+G434+G435+G436+G437)</f>
        <v>0</v>
      </c>
      <c r="J431" s="850">
        <f>F431-(H431+H432+H433+H434+H435+H436+H437)</f>
        <v>1.4439999940805137E-3</v>
      </c>
      <c r="K431" s="522" t="s">
        <v>1476</v>
      </c>
    </row>
    <row r="432" spans="1:12" s="525" customFormat="1" ht="23.25" customHeight="1" outlineLevel="1" x14ac:dyDescent="0.3">
      <c r="A432" s="443">
        <f t="shared" si="243"/>
        <v>421</v>
      </c>
      <c r="B432" s="428" t="s">
        <v>1474</v>
      </c>
      <c r="C432" s="443" t="s">
        <v>364</v>
      </c>
      <c r="D432" s="526">
        <f>12</f>
        <v>12</v>
      </c>
      <c r="E432" s="480">
        <f>44.84*8.61</f>
        <v>386.07240000000002</v>
      </c>
      <c r="F432" s="893"/>
      <c r="G432" s="770">
        <f>44.84*8.61</f>
        <v>386.07240000000002</v>
      </c>
      <c r="H432" s="768">
        <f t="shared" si="242"/>
        <v>4632.8688000000002</v>
      </c>
      <c r="I432" s="897"/>
      <c r="J432" s="891"/>
      <c r="K432" s="522" t="s">
        <v>1476</v>
      </c>
    </row>
    <row r="433" spans="1:11" s="525" customFormat="1" ht="23.25" customHeight="1" outlineLevel="1" x14ac:dyDescent="0.3">
      <c r="A433" s="443">
        <f t="shared" si="243"/>
        <v>422</v>
      </c>
      <c r="B433" s="428" t="s">
        <v>1399</v>
      </c>
      <c r="C433" s="443" t="s">
        <v>364</v>
      </c>
      <c r="D433" s="526">
        <f>12</f>
        <v>12</v>
      </c>
      <c r="E433" s="480">
        <f>11.9*8.61</f>
        <v>102.459</v>
      </c>
      <c r="F433" s="893"/>
      <c r="G433" s="770">
        <f>11.9*8.61</f>
        <v>102.459</v>
      </c>
      <c r="H433" s="768">
        <f t="shared" si="242"/>
        <v>1229.508</v>
      </c>
      <c r="I433" s="897"/>
      <c r="J433" s="891"/>
      <c r="K433" s="522" t="s">
        <v>1476</v>
      </c>
    </row>
    <row r="434" spans="1:11" s="525" customFormat="1" ht="23.25" customHeight="1" outlineLevel="1" x14ac:dyDescent="0.3">
      <c r="A434" s="443">
        <f t="shared" si="243"/>
        <v>423</v>
      </c>
      <c r="B434" s="428" t="s">
        <v>1397</v>
      </c>
      <c r="C434" s="443" t="s">
        <v>16</v>
      </c>
      <c r="D434" s="526">
        <f>36</f>
        <v>36</v>
      </c>
      <c r="E434" s="480">
        <f>4.8*8.61</f>
        <v>41.327999999999996</v>
      </c>
      <c r="F434" s="893"/>
      <c r="G434" s="770">
        <f>4.8*8.61</f>
        <v>41.327999999999996</v>
      </c>
      <c r="H434" s="768">
        <f t="shared" si="242"/>
        <v>1487.8079999999998</v>
      </c>
      <c r="I434" s="897"/>
      <c r="J434" s="891"/>
      <c r="K434" s="522" t="s">
        <v>1476</v>
      </c>
    </row>
    <row r="435" spans="1:11" s="525" customFormat="1" ht="23.25" customHeight="1" outlineLevel="1" x14ac:dyDescent="0.3">
      <c r="A435" s="443">
        <f t="shared" si="243"/>
        <v>424</v>
      </c>
      <c r="B435" s="428" t="s">
        <v>1396</v>
      </c>
      <c r="C435" s="443" t="s">
        <v>364</v>
      </c>
      <c r="D435" s="580">
        <f>0.12</f>
        <v>0.12</v>
      </c>
      <c r="E435" s="480">
        <f>1482*8.61</f>
        <v>12760.019999999999</v>
      </c>
      <c r="F435" s="893"/>
      <c r="G435" s="770">
        <f>1482*8.61</f>
        <v>12760.019999999999</v>
      </c>
      <c r="H435" s="768">
        <f t="shared" si="242"/>
        <v>1531.2023999999997</v>
      </c>
      <c r="I435" s="897"/>
      <c r="J435" s="891"/>
      <c r="K435" s="522" t="s">
        <v>1476</v>
      </c>
    </row>
    <row r="436" spans="1:11" s="525" customFormat="1" ht="23.25" customHeight="1" outlineLevel="1" x14ac:dyDescent="0.3">
      <c r="A436" s="443">
        <f t="shared" si="243"/>
        <v>425</v>
      </c>
      <c r="B436" s="428" t="s">
        <v>1475</v>
      </c>
      <c r="C436" s="443" t="s">
        <v>364</v>
      </c>
      <c r="D436" s="580">
        <f>0.48</f>
        <v>0.48</v>
      </c>
      <c r="E436" s="480">
        <f>529.18*8.61</f>
        <v>4556.2397999999994</v>
      </c>
      <c r="F436" s="893"/>
      <c r="G436" s="770">
        <f>529.18*8.61</f>
        <v>4556.2397999999994</v>
      </c>
      <c r="H436" s="768">
        <f t="shared" si="242"/>
        <v>2186.9951039999996</v>
      </c>
      <c r="I436" s="897"/>
      <c r="J436" s="891"/>
      <c r="K436" s="522" t="s">
        <v>1476</v>
      </c>
    </row>
    <row r="437" spans="1:11" s="525" customFormat="1" ht="31.5" customHeight="1" outlineLevel="1" x14ac:dyDescent="0.3">
      <c r="A437" s="443">
        <f t="shared" si="243"/>
        <v>426</v>
      </c>
      <c r="B437" s="428" t="s">
        <v>1400</v>
      </c>
      <c r="C437" s="443" t="s">
        <v>1398</v>
      </c>
      <c r="D437" s="526">
        <f>12</f>
        <v>12</v>
      </c>
      <c r="E437" s="480">
        <f>121*8.61</f>
        <v>1041.81</v>
      </c>
      <c r="F437" s="894"/>
      <c r="G437" s="770">
        <f>121*8.61</f>
        <v>1041.81</v>
      </c>
      <c r="H437" s="768">
        <f t="shared" si="242"/>
        <v>12501.72</v>
      </c>
      <c r="I437" s="898"/>
      <c r="J437" s="851"/>
      <c r="K437" s="522" t="s">
        <v>1476</v>
      </c>
    </row>
    <row r="438" spans="1:11" s="514" customFormat="1" ht="21.75" customHeight="1" outlineLevel="1" x14ac:dyDescent="0.3">
      <c r="A438" s="443">
        <f t="shared" si="243"/>
        <v>427</v>
      </c>
      <c r="B438" s="507" t="s">
        <v>1507</v>
      </c>
      <c r="C438" s="508" t="s">
        <v>5</v>
      </c>
      <c r="D438" s="509">
        <v>547</v>
      </c>
      <c r="E438" s="510">
        <f t="shared" ref="E438" si="247">ROUND(F438/D438,2)</f>
        <v>4887.5</v>
      </c>
      <c r="F438" s="511">
        <v>2673462.5</v>
      </c>
      <c r="G438" s="769">
        <v>2666.67</v>
      </c>
      <c r="H438" s="768">
        <f t="shared" si="242"/>
        <v>1458668.49</v>
      </c>
      <c r="I438" s="626">
        <f t="shared" ref="I438" si="248">E438-G438</f>
        <v>2220.83</v>
      </c>
      <c r="J438" s="513">
        <f t="shared" ref="J438" si="249">F438-H438</f>
        <v>1214794.01</v>
      </c>
      <c r="K438" s="521"/>
    </row>
    <row r="439" spans="1:11" s="514" customFormat="1" ht="21.75" customHeight="1" outlineLevel="1" x14ac:dyDescent="0.3">
      <c r="A439" s="443">
        <f t="shared" si="243"/>
        <v>428</v>
      </c>
      <c r="B439" s="507" t="s">
        <v>1508</v>
      </c>
      <c r="C439" s="508" t="s">
        <v>5</v>
      </c>
      <c r="D439" s="509">
        <v>547</v>
      </c>
      <c r="E439" s="510">
        <f t="shared" ref="E439:E442" si="250">ROUND(F439/D439,2)</f>
        <v>4887.5</v>
      </c>
      <c r="F439" s="511">
        <v>2673462.5</v>
      </c>
      <c r="G439" s="769">
        <v>2666.67</v>
      </c>
      <c r="H439" s="768">
        <f t="shared" si="242"/>
        <v>1458668.49</v>
      </c>
      <c r="I439" s="626">
        <f t="shared" ref="I439:I442" si="251">E439-G439</f>
        <v>2220.83</v>
      </c>
      <c r="J439" s="513">
        <f t="shared" ref="J439:J442" si="252">F439-H439</f>
        <v>1214794.01</v>
      </c>
      <c r="K439" s="521"/>
    </row>
    <row r="440" spans="1:11" ht="23.25" customHeight="1" outlineLevel="1" x14ac:dyDescent="0.3">
      <c r="A440" s="443">
        <f t="shared" si="243"/>
        <v>429</v>
      </c>
      <c r="B440" s="428" t="s">
        <v>1501</v>
      </c>
      <c r="C440" s="442" t="s">
        <v>16</v>
      </c>
      <c r="D440" s="492">
        <v>1255.0899999999999</v>
      </c>
      <c r="E440" s="480">
        <f t="shared" si="250"/>
        <v>776.02</v>
      </c>
      <c r="F440" s="479">
        <v>973974.06</v>
      </c>
      <c r="G440" s="767">
        <v>2520</v>
      </c>
      <c r="H440" s="768">
        <f t="shared" si="242"/>
        <v>3162826.8</v>
      </c>
      <c r="I440" s="625">
        <f t="shared" si="251"/>
        <v>-1743.98</v>
      </c>
      <c r="J440" s="481">
        <f t="shared" si="252"/>
        <v>-2188852.7399999998</v>
      </c>
    </row>
    <row r="441" spans="1:11" ht="23.25" customHeight="1" outlineLevel="1" x14ac:dyDescent="0.3">
      <c r="A441" s="443">
        <f t="shared" si="243"/>
        <v>430</v>
      </c>
      <c r="B441" s="428" t="s">
        <v>1867</v>
      </c>
      <c r="C441" s="422" t="s">
        <v>20</v>
      </c>
      <c r="D441" s="493">
        <v>1361</v>
      </c>
      <c r="E441" s="480">
        <f t="shared" si="250"/>
        <v>1970.22</v>
      </c>
      <c r="F441" s="479">
        <v>2681474.83</v>
      </c>
      <c r="G441" s="767">
        <v>650</v>
      </c>
      <c r="H441" s="768">
        <f t="shared" si="242"/>
        <v>884650</v>
      </c>
      <c r="I441" s="625">
        <f t="shared" si="251"/>
        <v>1320.22</v>
      </c>
      <c r="J441" s="481">
        <f t="shared" si="252"/>
        <v>1796824.83</v>
      </c>
      <c r="K441" s="537"/>
    </row>
    <row r="442" spans="1:11" ht="23.25" customHeight="1" outlineLevel="1" x14ac:dyDescent="0.3">
      <c r="A442" s="443">
        <f t="shared" si="243"/>
        <v>431</v>
      </c>
      <c r="B442" s="428" t="s">
        <v>1868</v>
      </c>
      <c r="C442" s="442" t="s">
        <v>17</v>
      </c>
      <c r="D442" s="529">
        <f>102.06*1.26</f>
        <v>128.59559999999999</v>
      </c>
      <c r="E442" s="480">
        <f t="shared" si="250"/>
        <v>1182.67</v>
      </c>
      <c r="F442" s="479">
        <v>152086.10999999999</v>
      </c>
      <c r="G442" s="767">
        <v>5000</v>
      </c>
      <c r="H442" s="768">
        <f t="shared" si="242"/>
        <v>642978</v>
      </c>
      <c r="I442" s="625">
        <f t="shared" si="251"/>
        <v>-3817.33</v>
      </c>
      <c r="J442" s="481">
        <f t="shared" si="252"/>
        <v>-490891.89</v>
      </c>
    </row>
    <row r="443" spans="1:11" ht="23.25" customHeight="1" outlineLevel="1" x14ac:dyDescent="0.3">
      <c r="A443" s="443">
        <f t="shared" si="243"/>
        <v>432</v>
      </c>
      <c r="B443" s="428" t="s">
        <v>1526</v>
      </c>
      <c r="C443" s="442" t="s">
        <v>17</v>
      </c>
      <c r="D443" s="529">
        <f>5.88*1.26+2.86</f>
        <v>10.268800000000001</v>
      </c>
      <c r="E443" s="480">
        <f t="shared" ref="E443" si="253">ROUND(F443/D443,2)</f>
        <v>1063.42</v>
      </c>
      <c r="F443" s="479">
        <f>3041.38+7878.67</f>
        <v>10920.05</v>
      </c>
      <c r="G443" s="767">
        <v>5000</v>
      </c>
      <c r="H443" s="768">
        <f t="shared" si="242"/>
        <v>51344</v>
      </c>
      <c r="I443" s="625">
        <f t="shared" ref="I443" si="254">E443-G443</f>
        <v>-3936.58</v>
      </c>
      <c r="J443" s="481">
        <f t="shared" ref="J443" si="255">F443-H443</f>
        <v>-40423.949999999997</v>
      </c>
    </row>
    <row r="444" spans="1:11" ht="23.25" customHeight="1" outlineLevel="1" x14ac:dyDescent="0.3">
      <c r="A444" s="443">
        <f t="shared" si="243"/>
        <v>433</v>
      </c>
      <c r="B444" s="428" t="s">
        <v>1405</v>
      </c>
      <c r="C444" s="442" t="s">
        <v>40</v>
      </c>
      <c r="D444" s="493">
        <v>210</v>
      </c>
      <c r="E444" s="480">
        <f>ROUND(F444/D444,2)</f>
        <v>657.29</v>
      </c>
      <c r="F444" s="479">
        <v>138030.35</v>
      </c>
      <c r="G444" s="767">
        <v>750</v>
      </c>
      <c r="H444" s="768">
        <f t="shared" si="242"/>
        <v>157500</v>
      </c>
      <c r="I444" s="625">
        <f>E444-G444</f>
        <v>-92.710000000000036</v>
      </c>
      <c r="J444" s="481">
        <f>F444-H444</f>
        <v>-19469.649999999994</v>
      </c>
      <c r="K444" s="519"/>
    </row>
    <row r="445" spans="1:11" ht="23.25" customHeight="1" outlineLevel="1" x14ac:dyDescent="0.3">
      <c r="A445" s="443">
        <f t="shared" si="243"/>
        <v>434</v>
      </c>
      <c r="B445" s="428" t="s">
        <v>1524</v>
      </c>
      <c r="C445" s="442" t="s">
        <v>17</v>
      </c>
      <c r="D445" s="492">
        <v>12.39</v>
      </c>
      <c r="E445" s="480">
        <f>592.76*8.61</f>
        <v>5103.6635999999999</v>
      </c>
      <c r="F445" s="479">
        <f>D445*E445</f>
        <v>63234.392004000001</v>
      </c>
      <c r="G445" s="767">
        <v>6800</v>
      </c>
      <c r="H445" s="768">
        <f t="shared" si="242"/>
        <v>84252</v>
      </c>
      <c r="I445" s="625">
        <f>E445-G445</f>
        <v>-1696.3364000000001</v>
      </c>
      <c r="J445" s="481">
        <f>F445-H445</f>
        <v>-21017.607995999999</v>
      </c>
      <c r="K445" s="519"/>
    </row>
    <row r="446" spans="1:11" ht="23.25" customHeight="1" outlineLevel="1" x14ac:dyDescent="0.3">
      <c r="A446" s="443">
        <f t="shared" si="243"/>
        <v>435</v>
      </c>
      <c r="B446" s="428" t="s">
        <v>1525</v>
      </c>
      <c r="C446" s="442" t="s">
        <v>17</v>
      </c>
      <c r="D446" s="529">
        <v>0.126</v>
      </c>
      <c r="E446" s="480">
        <f>519.8*8.61</f>
        <v>4475.4779999999992</v>
      </c>
      <c r="F446" s="479">
        <f>D446*E446</f>
        <v>563.91022799999985</v>
      </c>
      <c r="G446" s="767">
        <v>4000</v>
      </c>
      <c r="H446" s="768">
        <f t="shared" si="242"/>
        <v>504</v>
      </c>
      <c r="I446" s="625">
        <f t="shared" ref="I446:I448" si="256">E446-G446</f>
        <v>475.47799999999916</v>
      </c>
      <c r="J446" s="481">
        <f t="shared" ref="J446:J448" si="257">F446-H446</f>
        <v>59.910227999999847</v>
      </c>
    </row>
    <row r="447" spans="1:11" s="514" customFormat="1" ht="21.75" customHeight="1" outlineLevel="1" x14ac:dyDescent="0.3">
      <c r="A447" s="443">
        <f t="shared" si="243"/>
        <v>436</v>
      </c>
      <c r="B447" s="507" t="s">
        <v>1516</v>
      </c>
      <c r="C447" s="508" t="s">
        <v>40</v>
      </c>
      <c r="D447" s="509">
        <v>1</v>
      </c>
      <c r="E447" s="510">
        <f t="shared" ref="E447" si="258">ROUND(F447/D447,2)</f>
        <v>4624</v>
      </c>
      <c r="F447" s="511">
        <v>4624</v>
      </c>
      <c r="G447" s="769">
        <v>4624</v>
      </c>
      <c r="H447" s="768">
        <f t="shared" si="242"/>
        <v>4624</v>
      </c>
      <c r="I447" s="626">
        <f t="shared" si="256"/>
        <v>0</v>
      </c>
      <c r="J447" s="513">
        <f t="shared" si="257"/>
        <v>0</v>
      </c>
      <c r="K447" s="521"/>
    </row>
    <row r="448" spans="1:11" s="514" customFormat="1" ht="19.5" customHeight="1" outlineLevel="1" x14ac:dyDescent="0.3">
      <c r="A448" s="443">
        <f t="shared" si="243"/>
        <v>437</v>
      </c>
      <c r="B448" s="507" t="s">
        <v>1891</v>
      </c>
      <c r="C448" s="508" t="s">
        <v>1385</v>
      </c>
      <c r="D448" s="509">
        <v>1</v>
      </c>
      <c r="E448" s="510">
        <f>ROUND(F448/D448,2)</f>
        <v>511.98</v>
      </c>
      <c r="F448" s="511">
        <f>66391.9/2165156015.91*16696514.39</f>
        <v>511.97849281246397</v>
      </c>
      <c r="G448" s="771">
        <v>511.98</v>
      </c>
      <c r="H448" s="768">
        <f t="shared" si="242"/>
        <v>511.98</v>
      </c>
      <c r="I448" s="626">
        <f t="shared" si="256"/>
        <v>0</v>
      </c>
      <c r="J448" s="513">
        <f t="shared" si="257"/>
        <v>-1.5071875360490594E-3</v>
      </c>
      <c r="K448" s="521"/>
    </row>
    <row r="449" spans="1:12" s="484" customFormat="1" ht="21.75" customHeight="1" x14ac:dyDescent="0.3">
      <c r="A449" s="555"/>
      <c r="B449" s="612" t="s">
        <v>1898</v>
      </c>
      <c r="C449" s="613"/>
      <c r="D449" s="614"/>
      <c r="E449" s="615"/>
      <c r="F449" s="616">
        <f>SUM(F420:F447)</f>
        <v>14047370.092232</v>
      </c>
      <c r="G449" s="772"/>
      <c r="H449" s="773">
        <f>SUM(H420:H448)</f>
        <v>12497443.981028728</v>
      </c>
      <c r="I449" s="617"/>
      <c r="J449" s="616">
        <f>SUM(J420:J448)</f>
        <v>1550438.0896960855</v>
      </c>
      <c r="K449" s="550"/>
      <c r="L449" s="549"/>
    </row>
    <row r="450" spans="1:12" s="483" customFormat="1" ht="27.75" customHeight="1" x14ac:dyDescent="0.35">
      <c r="A450" s="635"/>
      <c r="B450" s="886" t="s">
        <v>1901</v>
      </c>
      <c r="C450" s="887"/>
      <c r="D450" s="887"/>
      <c r="E450" s="636"/>
      <c r="F450" s="637">
        <f>F449+F418+F380+F350+F272+F186+F122+F82</f>
        <v>1953919491.4328127</v>
      </c>
      <c r="G450" s="638"/>
      <c r="H450" s="637">
        <f>H449+H418+H380+H350+H272+H186+H122+H82</f>
        <v>1521515578.8898625</v>
      </c>
      <c r="I450" s="639"/>
      <c r="J450" s="637">
        <f>J449+J418+J380+J350+J272+J186+J122+J82</f>
        <v>432403004.7548784</v>
      </c>
      <c r="K450" s="490"/>
    </row>
    <row r="451" spans="1:12" x14ac:dyDescent="0.3">
      <c r="A451" s="429"/>
      <c r="B451" s="437"/>
      <c r="C451" s="437"/>
      <c r="D451" s="429"/>
      <c r="E451" s="438"/>
      <c r="F451" s="439"/>
      <c r="G451" s="434"/>
      <c r="H451" s="440"/>
      <c r="I451" s="438"/>
      <c r="J451" s="441"/>
    </row>
  </sheetData>
  <mergeCells count="43">
    <mergeCell ref="B6:J6"/>
    <mergeCell ref="B5:J5"/>
    <mergeCell ref="B83:J83"/>
    <mergeCell ref="B123:J123"/>
    <mergeCell ref="B187:J187"/>
    <mergeCell ref="F39:F45"/>
    <mergeCell ref="I39:I45"/>
    <mergeCell ref="J39:J45"/>
    <mergeCell ref="F102:F108"/>
    <mergeCell ref="I102:I108"/>
    <mergeCell ref="J102:J108"/>
    <mergeCell ref="A1:J1"/>
    <mergeCell ref="I2:J3"/>
    <mergeCell ref="E2:F3"/>
    <mergeCell ref="G2:H3"/>
    <mergeCell ref="A2:A4"/>
    <mergeCell ref="B2:B4"/>
    <mergeCell ref="C2:C4"/>
    <mergeCell ref="D2:D4"/>
    <mergeCell ref="B450:D450"/>
    <mergeCell ref="B273:J273"/>
    <mergeCell ref="H307:H313"/>
    <mergeCell ref="B351:J351"/>
    <mergeCell ref="B381:J381"/>
    <mergeCell ref="B419:J419"/>
    <mergeCell ref="F307:F313"/>
    <mergeCell ref="I307:I313"/>
    <mergeCell ref="J307:J313"/>
    <mergeCell ref="F363:F369"/>
    <mergeCell ref="I363:I369"/>
    <mergeCell ref="J363:J369"/>
    <mergeCell ref="F393:F399"/>
    <mergeCell ref="I431:I437"/>
    <mergeCell ref="J431:J437"/>
    <mergeCell ref="I393:I399"/>
    <mergeCell ref="J393:J399"/>
    <mergeCell ref="F431:F437"/>
    <mergeCell ref="F151:F157"/>
    <mergeCell ref="I151:I157"/>
    <mergeCell ref="J151:J157"/>
    <mergeCell ref="F229:F235"/>
    <mergeCell ref="I229:I235"/>
    <mergeCell ref="J229:J235"/>
  </mergeCells>
  <pageMargins left="0.7" right="0.7" top="0.75" bottom="0.75" header="0.3" footer="0.3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72EA4-33F0-4F4C-A72D-DBBC7DC8145F}">
  <sheetPr>
    <tabColor theme="9" tint="0.59999389629810485"/>
  </sheetPr>
  <dimension ref="A1:L47"/>
  <sheetViews>
    <sheetView topLeftCell="A22" zoomScale="60" zoomScaleNormal="60" workbookViewId="0">
      <selection activeCell="G37" sqref="G37:H45"/>
    </sheetView>
  </sheetViews>
  <sheetFormatPr defaultRowHeight="18" x14ac:dyDescent="0.3"/>
  <cols>
    <col min="1" max="1" width="6.109375" customWidth="1"/>
    <col min="2" max="2" width="109.5546875" style="106" customWidth="1"/>
    <col min="3" max="3" width="13" style="106" customWidth="1"/>
    <col min="4" max="4" width="15.109375" customWidth="1"/>
    <col min="5" max="5" width="14.33203125" style="271" customWidth="1"/>
    <col min="6" max="6" width="19.6640625" style="198" customWidth="1"/>
    <col min="7" max="7" width="13.5546875" style="295" customWidth="1"/>
    <col min="8" max="8" width="16.44140625" style="209" customWidth="1"/>
    <col min="9" max="9" width="14" style="271" customWidth="1"/>
    <col min="10" max="10" width="17.33203125" style="211" customWidth="1"/>
    <col min="11" max="11" width="26.109375" style="489" customWidth="1"/>
    <col min="12" max="12" width="26" customWidth="1"/>
    <col min="15" max="15" width="19.109375" customWidth="1"/>
  </cols>
  <sheetData>
    <row r="1" spans="1:12" ht="89.25" customHeight="1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2" ht="13.5" customHeight="1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1377</v>
      </c>
      <c r="H2" s="877"/>
      <c r="I2" s="880" t="s">
        <v>1376</v>
      </c>
      <c r="J2" s="881"/>
    </row>
    <row r="3" spans="1:12" ht="22.5" customHeight="1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2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2" s="483" customFormat="1" ht="19.5" customHeight="1" x14ac:dyDescent="0.35">
      <c r="A5" s="485"/>
      <c r="B5" s="920" t="s">
        <v>1903</v>
      </c>
      <c r="C5" s="921"/>
      <c r="D5" s="921"/>
      <c r="E5" s="921"/>
      <c r="F5" s="921"/>
      <c r="G5" s="921"/>
      <c r="H5" s="921"/>
      <c r="I5" s="921"/>
      <c r="J5" s="921"/>
      <c r="K5" s="490" t="s">
        <v>1904</v>
      </c>
    </row>
    <row r="6" spans="1:12" s="484" customFormat="1" ht="21.75" customHeight="1" x14ac:dyDescent="0.3">
      <c r="A6" s="486"/>
      <c r="B6" s="888" t="s">
        <v>1522</v>
      </c>
      <c r="C6" s="889"/>
      <c r="D6" s="889"/>
      <c r="E6" s="889"/>
      <c r="F6" s="889"/>
      <c r="G6" s="889"/>
      <c r="H6" s="889"/>
      <c r="I6" s="889"/>
      <c r="J6" s="889"/>
      <c r="K6" s="491"/>
    </row>
    <row r="7" spans="1:12" ht="22.5" customHeight="1" x14ac:dyDescent="0.3">
      <c r="A7" s="443">
        <f>A4+1</f>
        <v>1</v>
      </c>
      <c r="B7" s="650" t="s">
        <v>1905</v>
      </c>
      <c r="C7" s="442" t="s">
        <v>20</v>
      </c>
      <c r="D7" s="651">
        <v>3227.5</v>
      </c>
      <c r="E7" s="643">
        <f>ROUND(F7/D7,2)</f>
        <v>0.45</v>
      </c>
      <c r="F7" s="644">
        <f>ROUND(1441.11,2)</f>
        <v>1441.11</v>
      </c>
      <c r="G7" s="652">
        <v>277.87</v>
      </c>
      <c r="H7" s="589">
        <f t="shared" ref="H7" si="0">ROUND(G7*D7,2)</f>
        <v>896825.43</v>
      </c>
      <c r="I7" s="482">
        <f t="shared" ref="I7" si="1">ROUND(E7-G7,2)</f>
        <v>-277.42</v>
      </c>
      <c r="J7" s="481">
        <f t="shared" ref="J7" si="2">F7-H7</f>
        <v>-895384.32000000007</v>
      </c>
    </row>
    <row r="8" spans="1:12" s="484" customFormat="1" ht="21.75" customHeight="1" x14ac:dyDescent="0.3">
      <c r="A8" s="486"/>
      <c r="B8" s="888" t="s">
        <v>1906</v>
      </c>
      <c r="C8" s="889"/>
      <c r="D8" s="889"/>
      <c r="E8" s="889"/>
      <c r="F8" s="889"/>
      <c r="G8" s="889"/>
      <c r="H8" s="889"/>
      <c r="I8" s="889"/>
      <c r="J8" s="889"/>
      <c r="K8" s="491"/>
    </row>
    <row r="9" spans="1:12" s="655" customFormat="1" ht="19.5" customHeight="1" x14ac:dyDescent="0.3">
      <c r="A9" s="653"/>
      <c r="B9" s="918" t="s">
        <v>1907</v>
      </c>
      <c r="C9" s="919"/>
      <c r="D9" s="919"/>
      <c r="E9" s="919"/>
      <c r="F9" s="919"/>
      <c r="G9" s="919"/>
      <c r="H9" s="919"/>
      <c r="I9" s="919"/>
      <c r="J9" s="919"/>
      <c r="K9" s="654"/>
    </row>
    <row r="10" spans="1:12" ht="21" customHeight="1" x14ac:dyDescent="0.3">
      <c r="A10" s="630">
        <f>A7+1</f>
        <v>2</v>
      </c>
      <c r="B10" s="428" t="s">
        <v>1908</v>
      </c>
      <c r="C10" s="422" t="s">
        <v>17</v>
      </c>
      <c r="D10" s="656">
        <f>2.448*6</f>
        <v>14.687999999999999</v>
      </c>
      <c r="E10" s="647">
        <f>ROUND(F10/D10,2)</f>
        <v>834.79</v>
      </c>
      <c r="F10" s="644">
        <v>12261.38</v>
      </c>
      <c r="G10" s="657">
        <v>1179.9000000000001</v>
      </c>
      <c r="H10" s="658">
        <f>ROUND(G10*D10,2)</f>
        <v>17330.37</v>
      </c>
      <c r="I10" s="482">
        <f t="shared" ref="I10:I35" si="3">E10-G10</f>
        <v>-345.11000000000013</v>
      </c>
      <c r="J10" s="481">
        <f>ROUND(F10-H10,2)</f>
        <v>-5068.99</v>
      </c>
    </row>
    <row r="11" spans="1:12" ht="20.25" customHeight="1" x14ac:dyDescent="0.3">
      <c r="A11" s="630">
        <f t="shared" ref="A11:A42" si="4">A10+1</f>
        <v>3</v>
      </c>
      <c r="B11" s="428" t="s">
        <v>1909</v>
      </c>
      <c r="C11" s="442" t="s">
        <v>17</v>
      </c>
      <c r="D11" s="656">
        <f>1.224*6</f>
        <v>7.3439999999999994</v>
      </c>
      <c r="E11" s="647">
        <f>ROUND(F11/D11,2)</f>
        <v>1572.8</v>
      </c>
      <c r="F11" s="644">
        <v>11550.65</v>
      </c>
      <c r="G11" s="657">
        <v>4700</v>
      </c>
      <c r="H11" s="658">
        <f t="shared" ref="H11:H40" si="5">ROUND(G11*D11,2)</f>
        <v>34516.800000000003</v>
      </c>
      <c r="I11" s="482">
        <f t="shared" si="3"/>
        <v>-3127.2</v>
      </c>
      <c r="J11" s="481">
        <f t="shared" ref="J11:J40" si="6">ROUND(F11-H11,2)</f>
        <v>-22966.15</v>
      </c>
    </row>
    <row r="12" spans="1:12" ht="20.25" customHeight="1" x14ac:dyDescent="0.3">
      <c r="A12" s="630">
        <f t="shared" si="4"/>
        <v>4</v>
      </c>
      <c r="B12" s="428" t="s">
        <v>1910</v>
      </c>
      <c r="C12" s="443" t="s">
        <v>17</v>
      </c>
      <c r="D12" s="659">
        <f>10.78*0.15</f>
        <v>1.6169999999999998</v>
      </c>
      <c r="E12" s="547">
        <f t="shared" ref="E12:E39" si="7">ROUND(F12/D12,2)</f>
        <v>0</v>
      </c>
      <c r="F12" s="644"/>
      <c r="G12" s="657">
        <v>12082.41</v>
      </c>
      <c r="H12" s="658">
        <f t="shared" si="5"/>
        <v>19537.259999999998</v>
      </c>
      <c r="I12" s="482">
        <f t="shared" si="3"/>
        <v>-12082.41</v>
      </c>
      <c r="J12" s="481">
        <f t="shared" si="6"/>
        <v>-19537.259999999998</v>
      </c>
      <c r="K12" s="489" t="s">
        <v>1911</v>
      </c>
      <c r="L12" s="539"/>
    </row>
    <row r="13" spans="1:12" s="655" customFormat="1" ht="19.5" customHeight="1" x14ac:dyDescent="0.3">
      <c r="A13" s="653"/>
      <c r="B13" s="918" t="s">
        <v>1912</v>
      </c>
      <c r="C13" s="919"/>
      <c r="D13" s="919"/>
      <c r="E13" s="919"/>
      <c r="F13" s="919"/>
      <c r="G13" s="919"/>
      <c r="H13" s="919"/>
      <c r="I13" s="919"/>
      <c r="J13" s="919"/>
      <c r="K13" s="654"/>
    </row>
    <row r="14" spans="1:12" ht="20.25" customHeight="1" x14ac:dyDescent="0.3">
      <c r="A14" s="910">
        <f>A12+1</f>
        <v>5</v>
      </c>
      <c r="B14" s="660" t="s">
        <v>1913</v>
      </c>
      <c r="C14" s="912" t="s">
        <v>20</v>
      </c>
      <c r="D14" s="914">
        <v>10.78</v>
      </c>
      <c r="E14" s="916">
        <f t="shared" si="7"/>
        <v>2812.22</v>
      </c>
      <c r="F14" s="856">
        <v>30315.68</v>
      </c>
      <c r="G14" s="922">
        <v>2800</v>
      </c>
      <c r="H14" s="924">
        <f t="shared" si="5"/>
        <v>30184</v>
      </c>
      <c r="I14" s="848">
        <f t="shared" si="3"/>
        <v>12.2199999999998</v>
      </c>
      <c r="J14" s="850">
        <f t="shared" si="6"/>
        <v>131.68</v>
      </c>
    </row>
    <row r="15" spans="1:12" ht="21" customHeight="1" x14ac:dyDescent="0.3">
      <c r="A15" s="911"/>
      <c r="B15" s="660" t="s">
        <v>1914</v>
      </c>
      <c r="C15" s="913"/>
      <c r="D15" s="915"/>
      <c r="E15" s="917"/>
      <c r="F15" s="857"/>
      <c r="G15" s="923"/>
      <c r="H15" s="925"/>
      <c r="I15" s="849"/>
      <c r="J15" s="851"/>
    </row>
    <row r="16" spans="1:12" ht="33" customHeight="1" x14ac:dyDescent="0.3">
      <c r="A16" s="630">
        <f>A14+1</f>
        <v>6</v>
      </c>
      <c r="B16" s="660" t="s">
        <v>1915</v>
      </c>
      <c r="C16" s="661" t="s">
        <v>40</v>
      </c>
      <c r="D16" s="662">
        <v>6</v>
      </c>
      <c r="E16" s="647">
        <f t="shared" si="7"/>
        <v>141928.98000000001</v>
      </c>
      <c r="F16" s="644">
        <v>851573.88</v>
      </c>
      <c r="G16" s="657">
        <v>122400</v>
      </c>
      <c r="H16" s="658">
        <f t="shared" si="5"/>
        <v>734400</v>
      </c>
      <c r="I16" s="482">
        <f t="shared" si="3"/>
        <v>19528.98000000001</v>
      </c>
      <c r="J16" s="481">
        <f t="shared" si="6"/>
        <v>117173.88</v>
      </c>
    </row>
    <row r="17" spans="1:12" s="484" customFormat="1" ht="21.75" customHeight="1" x14ac:dyDescent="0.3">
      <c r="A17" s="486"/>
      <c r="B17" s="888" t="s">
        <v>1916</v>
      </c>
      <c r="C17" s="889"/>
      <c r="D17" s="889"/>
      <c r="E17" s="889"/>
      <c r="F17" s="889"/>
      <c r="G17" s="889"/>
      <c r="H17" s="889"/>
      <c r="I17" s="889"/>
      <c r="J17" s="889"/>
      <c r="K17" s="491"/>
    </row>
    <row r="18" spans="1:12" s="655" customFormat="1" ht="19.5" customHeight="1" x14ac:dyDescent="0.3">
      <c r="A18" s="653"/>
      <c r="B18" s="918" t="s">
        <v>1907</v>
      </c>
      <c r="C18" s="919"/>
      <c r="D18" s="919"/>
      <c r="E18" s="919"/>
      <c r="F18" s="919"/>
      <c r="G18" s="919"/>
      <c r="H18" s="919"/>
      <c r="I18" s="919"/>
      <c r="J18" s="919"/>
      <c r="K18" s="654"/>
    </row>
    <row r="19" spans="1:12" ht="21" customHeight="1" x14ac:dyDescent="0.3">
      <c r="A19" s="630">
        <f>A16+1</f>
        <v>7</v>
      </c>
      <c r="B19" s="428" t="s">
        <v>1908</v>
      </c>
      <c r="C19" s="422" t="s">
        <v>17</v>
      </c>
      <c r="D19" s="656">
        <f>2.24*16</f>
        <v>35.840000000000003</v>
      </c>
      <c r="E19" s="647">
        <f>ROUND(F19/D19,2)</f>
        <v>834.78</v>
      </c>
      <c r="F19" s="644">
        <v>29918.43</v>
      </c>
      <c r="G19" s="657">
        <v>1179.9000000000001</v>
      </c>
      <c r="H19" s="658">
        <f>ROUND(G19*D19,2)</f>
        <v>42287.62</v>
      </c>
      <c r="I19" s="482">
        <f t="shared" ref="I19:I21" si="8">E19-G19</f>
        <v>-345.12000000000012</v>
      </c>
      <c r="J19" s="481">
        <f>ROUND(F19-H19,2)</f>
        <v>-12369.19</v>
      </c>
    </row>
    <row r="20" spans="1:12" ht="20.25" customHeight="1" x14ac:dyDescent="0.3">
      <c r="A20" s="630">
        <f t="shared" si="4"/>
        <v>8</v>
      </c>
      <c r="B20" s="428" t="s">
        <v>1909</v>
      </c>
      <c r="C20" s="442" t="s">
        <v>17</v>
      </c>
      <c r="D20" s="656">
        <f>1.122*16</f>
        <v>17.952000000000002</v>
      </c>
      <c r="E20" s="647">
        <f>ROUND(F20/D20,2)</f>
        <v>1572.82</v>
      </c>
      <c r="F20" s="644">
        <v>28235.24</v>
      </c>
      <c r="G20" s="657">
        <v>4700</v>
      </c>
      <c r="H20" s="658">
        <f t="shared" ref="H20:H21" si="9">ROUND(G20*D20,2)</f>
        <v>84374.399999999994</v>
      </c>
      <c r="I20" s="482">
        <f t="shared" si="8"/>
        <v>-3127.1800000000003</v>
      </c>
      <c r="J20" s="481">
        <f t="shared" ref="J20:J21" si="10">ROUND(F20-H20,2)</f>
        <v>-56139.16</v>
      </c>
    </row>
    <row r="21" spans="1:12" ht="20.25" customHeight="1" x14ac:dyDescent="0.3">
      <c r="A21" s="630">
        <f t="shared" si="4"/>
        <v>9</v>
      </c>
      <c r="B21" s="428" t="s">
        <v>1917</v>
      </c>
      <c r="C21" s="443" t="s">
        <v>17</v>
      </c>
      <c r="D21" s="663">
        <f>9.8*0.15</f>
        <v>1.47</v>
      </c>
      <c r="E21" s="547">
        <f t="shared" ref="E21" si="11">ROUND(F21/D21,2)</f>
        <v>0</v>
      </c>
      <c r="F21" s="644"/>
      <c r="G21" s="657">
        <v>12082.41</v>
      </c>
      <c r="H21" s="658">
        <f t="shared" si="9"/>
        <v>17761.14</v>
      </c>
      <c r="I21" s="482">
        <f t="shared" si="8"/>
        <v>-12082.41</v>
      </c>
      <c r="J21" s="481">
        <f t="shared" si="10"/>
        <v>-17761.14</v>
      </c>
      <c r="K21" s="489" t="s">
        <v>1911</v>
      </c>
      <c r="L21" s="539"/>
    </row>
    <row r="22" spans="1:12" s="655" customFormat="1" ht="19.5" customHeight="1" x14ac:dyDescent="0.3">
      <c r="A22" s="653"/>
      <c r="B22" s="918" t="s">
        <v>1912</v>
      </c>
      <c r="C22" s="919"/>
      <c r="D22" s="919"/>
      <c r="E22" s="919"/>
      <c r="F22" s="919"/>
      <c r="G22" s="919"/>
      <c r="H22" s="919"/>
      <c r="I22" s="919"/>
      <c r="J22" s="919"/>
      <c r="K22" s="654"/>
    </row>
    <row r="23" spans="1:12" ht="20.25" customHeight="1" x14ac:dyDescent="0.3">
      <c r="A23" s="910">
        <f>A21+1</f>
        <v>10</v>
      </c>
      <c r="B23" s="660" t="s">
        <v>1918</v>
      </c>
      <c r="C23" s="912" t="s">
        <v>20</v>
      </c>
      <c r="D23" s="926">
        <f>9.8</f>
        <v>9.8000000000000007</v>
      </c>
      <c r="E23" s="916">
        <f t="shared" ref="E23" si="12">ROUND(F23/D23,2)</f>
        <v>7499.15</v>
      </c>
      <c r="F23" s="856">
        <v>73491.679999999993</v>
      </c>
      <c r="G23" s="922">
        <v>1800</v>
      </c>
      <c r="H23" s="924">
        <f t="shared" ref="H23" si="13">ROUND(G23*D23,2)</f>
        <v>17640</v>
      </c>
      <c r="I23" s="848">
        <f t="shared" ref="I23" si="14">E23-G23</f>
        <v>5699.15</v>
      </c>
      <c r="J23" s="850">
        <f t="shared" ref="J23" si="15">ROUND(F23-H23,2)</f>
        <v>55851.68</v>
      </c>
    </row>
    <row r="24" spans="1:12" ht="21" customHeight="1" x14ac:dyDescent="0.3">
      <c r="A24" s="911"/>
      <c r="B24" s="660" t="s">
        <v>1919</v>
      </c>
      <c r="C24" s="913"/>
      <c r="D24" s="927"/>
      <c r="E24" s="917"/>
      <c r="F24" s="857"/>
      <c r="G24" s="923"/>
      <c r="H24" s="925"/>
      <c r="I24" s="849"/>
      <c r="J24" s="851"/>
    </row>
    <row r="25" spans="1:12" ht="33" customHeight="1" x14ac:dyDescent="0.3">
      <c r="A25" s="630">
        <f>A23+1</f>
        <v>11</v>
      </c>
      <c r="B25" s="660" t="s">
        <v>1920</v>
      </c>
      <c r="C25" s="661" t="s">
        <v>40</v>
      </c>
      <c r="D25" s="662">
        <v>16</v>
      </c>
      <c r="E25" s="647">
        <f t="shared" ref="E25" si="16">ROUND(F25/D25,2)</f>
        <v>141928.97</v>
      </c>
      <c r="F25" s="644">
        <v>2270863.5099999998</v>
      </c>
      <c r="G25" s="657">
        <v>122400</v>
      </c>
      <c r="H25" s="658">
        <f t="shared" ref="H25" si="17">ROUND(G25*D25,2)</f>
        <v>1958400</v>
      </c>
      <c r="I25" s="482">
        <f t="shared" ref="I25" si="18">E25-G25</f>
        <v>19528.97</v>
      </c>
      <c r="J25" s="481">
        <f t="shared" ref="J25" si="19">ROUND(F25-H25,2)</f>
        <v>312463.51</v>
      </c>
    </row>
    <row r="26" spans="1:12" s="484" customFormat="1" ht="21.75" customHeight="1" x14ac:dyDescent="0.3">
      <c r="A26" s="486"/>
      <c r="B26" s="888" t="s">
        <v>1921</v>
      </c>
      <c r="C26" s="889"/>
      <c r="D26" s="889"/>
      <c r="E26" s="889"/>
      <c r="F26" s="889"/>
      <c r="G26" s="889"/>
      <c r="H26" s="889"/>
      <c r="I26" s="889"/>
      <c r="J26" s="889"/>
      <c r="K26" s="491"/>
    </row>
    <row r="27" spans="1:12" ht="20.25" customHeight="1" x14ac:dyDescent="0.3">
      <c r="A27" s="630">
        <f>A25+1</f>
        <v>12</v>
      </c>
      <c r="B27" s="428" t="s">
        <v>1922</v>
      </c>
      <c r="C27" s="442" t="s">
        <v>1923</v>
      </c>
      <c r="D27" s="656">
        <v>1125</v>
      </c>
      <c r="E27" s="647">
        <f t="shared" si="7"/>
        <v>950.56</v>
      </c>
      <c r="F27" s="644">
        <f>1411156.55-338755.71-3020.99</f>
        <v>1069379.8500000001</v>
      </c>
      <c r="G27" s="657">
        <v>950.56</v>
      </c>
      <c r="H27" s="658">
        <f t="shared" si="5"/>
        <v>1069380</v>
      </c>
      <c r="I27" s="482">
        <f t="shared" si="3"/>
        <v>0</v>
      </c>
      <c r="J27" s="481">
        <f t="shared" si="6"/>
        <v>-0.15</v>
      </c>
      <c r="K27" s="489" t="s">
        <v>1924</v>
      </c>
    </row>
    <row r="28" spans="1:12" ht="24" customHeight="1" x14ac:dyDescent="0.3">
      <c r="A28" s="664">
        <f>A27+1</f>
        <v>13</v>
      </c>
      <c r="B28" s="428" t="s">
        <v>1925</v>
      </c>
      <c r="C28" s="443" t="s">
        <v>1923</v>
      </c>
      <c r="D28" s="665">
        <v>78</v>
      </c>
      <c r="E28" s="647">
        <f t="shared" si="7"/>
        <v>950.56</v>
      </c>
      <c r="F28" s="644">
        <f>97840.18-23487.05-209.48</f>
        <v>74143.649999999994</v>
      </c>
      <c r="G28" s="666">
        <v>950.56</v>
      </c>
      <c r="H28" s="658">
        <f t="shared" si="5"/>
        <v>74143.679999999993</v>
      </c>
      <c r="I28" s="482">
        <f t="shared" si="3"/>
        <v>0</v>
      </c>
      <c r="J28" s="481">
        <f t="shared" si="6"/>
        <v>-0.03</v>
      </c>
      <c r="L28" s="539"/>
    </row>
    <row r="29" spans="1:12" ht="22.5" customHeight="1" x14ac:dyDescent="0.3">
      <c r="A29" s="664">
        <f t="shared" ref="A29:A33" si="20">A28+1</f>
        <v>14</v>
      </c>
      <c r="B29" s="428" t="s">
        <v>1926</v>
      </c>
      <c r="C29" s="442" t="s">
        <v>17</v>
      </c>
      <c r="D29" s="656">
        <f>1294*0.1</f>
        <v>129.4</v>
      </c>
      <c r="E29" s="647">
        <f t="shared" si="7"/>
        <v>152.38</v>
      </c>
      <c r="F29" s="644">
        <v>19718.490000000002</v>
      </c>
      <c r="G29" s="657">
        <v>1030</v>
      </c>
      <c r="H29" s="658">
        <f t="shared" si="5"/>
        <v>133282</v>
      </c>
      <c r="I29" s="482">
        <f t="shared" si="3"/>
        <v>-877.62</v>
      </c>
      <c r="J29" s="481">
        <f t="shared" si="6"/>
        <v>-113563.51</v>
      </c>
    </row>
    <row r="30" spans="1:12" ht="21" customHeight="1" x14ac:dyDescent="0.3">
      <c r="A30" s="664">
        <f t="shared" si="20"/>
        <v>15</v>
      </c>
      <c r="B30" s="428" t="s">
        <v>1927</v>
      </c>
      <c r="C30" s="442" t="s">
        <v>17</v>
      </c>
      <c r="D30" s="656">
        <v>351.41</v>
      </c>
      <c r="E30" s="647">
        <f t="shared" si="7"/>
        <v>834.78</v>
      </c>
      <c r="F30" s="644">
        <v>293350.49</v>
      </c>
      <c r="G30" s="657">
        <v>1179.9000000000001</v>
      </c>
      <c r="H30" s="658">
        <f t="shared" si="5"/>
        <v>414628.66</v>
      </c>
      <c r="I30" s="482">
        <f t="shared" si="3"/>
        <v>-345.12000000000012</v>
      </c>
      <c r="J30" s="481">
        <f t="shared" si="6"/>
        <v>-121278.17</v>
      </c>
    </row>
    <row r="31" spans="1:12" ht="22.5" customHeight="1" x14ac:dyDescent="0.3">
      <c r="A31" s="664">
        <f t="shared" si="20"/>
        <v>16</v>
      </c>
      <c r="B31" s="428" t="s">
        <v>1928</v>
      </c>
      <c r="C31" s="442" t="s">
        <v>17</v>
      </c>
      <c r="D31" s="656">
        <f>135.1</f>
        <v>135.1</v>
      </c>
      <c r="E31" s="647">
        <f>ROUND(F31/D31,2)</f>
        <v>1694.39</v>
      </c>
      <c r="F31" s="644">
        <v>228911.83</v>
      </c>
      <c r="G31" s="657">
        <v>1500</v>
      </c>
      <c r="H31" s="658">
        <f>ROUND(G31*D31,2)</f>
        <v>202650</v>
      </c>
      <c r="I31" s="482">
        <f>E31-G31</f>
        <v>194.3900000000001</v>
      </c>
      <c r="J31" s="481">
        <f>ROUND(F31-H31,2)</f>
        <v>26261.83</v>
      </c>
      <c r="K31" s="489" t="s">
        <v>1929</v>
      </c>
    </row>
    <row r="32" spans="1:12" ht="22.5" customHeight="1" x14ac:dyDescent="0.3">
      <c r="A32" s="664">
        <f t="shared" si="20"/>
        <v>17</v>
      </c>
      <c r="B32" s="428" t="s">
        <v>1930</v>
      </c>
      <c r="C32" s="442" t="s">
        <v>28</v>
      </c>
      <c r="D32" s="656">
        <v>1.52</v>
      </c>
      <c r="E32" s="647">
        <f t="shared" ref="E32" si="21">ROUND(F32/D32,2)</f>
        <v>14055.35</v>
      </c>
      <c r="F32" s="644">
        <v>21364.13</v>
      </c>
      <c r="G32" s="657">
        <v>10000</v>
      </c>
      <c r="H32" s="658">
        <f t="shared" ref="H32" si="22">ROUND(G32*D32,2)</f>
        <v>15200</v>
      </c>
      <c r="I32" s="482">
        <f t="shared" ref="I32:I33" si="23">E32-G32</f>
        <v>4055.3500000000004</v>
      </c>
      <c r="J32" s="481">
        <f t="shared" ref="J32" si="24">ROUND(F32-H32,2)</f>
        <v>6164.13</v>
      </c>
    </row>
    <row r="33" spans="1:12" ht="24" customHeight="1" x14ac:dyDescent="0.3">
      <c r="A33" s="928">
        <f t="shared" si="20"/>
        <v>18</v>
      </c>
      <c r="B33" s="428" t="s">
        <v>1931</v>
      </c>
      <c r="C33" s="930" t="s">
        <v>20</v>
      </c>
      <c r="D33" s="932">
        <v>1072.5</v>
      </c>
      <c r="E33" s="934">
        <f t="shared" si="7"/>
        <v>468.69</v>
      </c>
      <c r="F33" s="856">
        <v>502673.84</v>
      </c>
      <c r="G33" s="922">
        <v>1800</v>
      </c>
      <c r="H33" s="924">
        <f t="shared" si="5"/>
        <v>1930500</v>
      </c>
      <c r="I33" s="848">
        <f t="shared" si="23"/>
        <v>-1331.31</v>
      </c>
      <c r="J33" s="850">
        <f t="shared" si="6"/>
        <v>-1427826.16</v>
      </c>
    </row>
    <row r="34" spans="1:12" ht="24" customHeight="1" x14ac:dyDescent="0.3">
      <c r="A34" s="929"/>
      <c r="B34" s="428" t="s">
        <v>1932</v>
      </c>
      <c r="C34" s="931"/>
      <c r="D34" s="933"/>
      <c r="E34" s="935"/>
      <c r="F34" s="857"/>
      <c r="G34" s="923"/>
      <c r="H34" s="925"/>
      <c r="I34" s="849"/>
      <c r="J34" s="851"/>
      <c r="L34" s="539"/>
    </row>
    <row r="35" spans="1:12" ht="23.25" customHeight="1" x14ac:dyDescent="0.3">
      <c r="A35" s="664">
        <f>A33+1</f>
        <v>19</v>
      </c>
      <c r="B35" s="428" t="s">
        <v>1933</v>
      </c>
      <c r="C35" s="442" t="s">
        <v>1131</v>
      </c>
      <c r="D35" s="656">
        <v>2489.9299999999998</v>
      </c>
      <c r="E35" s="547">
        <f t="shared" si="7"/>
        <v>841.86</v>
      </c>
      <c r="F35" s="644">
        <v>2096179.87</v>
      </c>
      <c r="G35" s="657">
        <v>600</v>
      </c>
      <c r="H35" s="658">
        <f t="shared" si="5"/>
        <v>1493958</v>
      </c>
      <c r="I35" s="482">
        <f t="shared" si="3"/>
        <v>241.86</v>
      </c>
      <c r="J35" s="481">
        <f t="shared" si="6"/>
        <v>602221.87</v>
      </c>
      <c r="L35" s="539"/>
    </row>
    <row r="36" spans="1:12" s="655" customFormat="1" ht="19.5" customHeight="1" x14ac:dyDescent="0.3">
      <c r="A36" s="653"/>
      <c r="B36" s="918" t="s">
        <v>1934</v>
      </c>
      <c r="C36" s="919"/>
      <c r="D36" s="919"/>
      <c r="E36" s="919"/>
      <c r="F36" s="919"/>
      <c r="G36" s="919"/>
      <c r="H36" s="919"/>
      <c r="I36" s="919"/>
      <c r="J36" s="919"/>
      <c r="K36" s="654"/>
    </row>
    <row r="37" spans="1:12" ht="21.75" customHeight="1" x14ac:dyDescent="0.3">
      <c r="A37" s="664">
        <f>A35+1</f>
        <v>20</v>
      </c>
      <c r="B37" s="428" t="s">
        <v>1935</v>
      </c>
      <c r="C37" s="442" t="s">
        <v>17</v>
      </c>
      <c r="D37" s="656">
        <v>31.26</v>
      </c>
      <c r="E37" s="547">
        <f t="shared" si="7"/>
        <v>15238.1</v>
      </c>
      <c r="F37" s="587">
        <f>476343.07</f>
        <v>476343.07</v>
      </c>
      <c r="G37" s="767">
        <v>1030</v>
      </c>
      <c r="H37" s="768">
        <f t="shared" si="5"/>
        <v>32197.8</v>
      </c>
      <c r="I37" s="482"/>
      <c r="J37" s="481">
        <f t="shared" si="6"/>
        <v>444145.27</v>
      </c>
    </row>
    <row r="38" spans="1:12" ht="21.75" customHeight="1" x14ac:dyDescent="0.3">
      <c r="A38" s="630">
        <f>A37+1</f>
        <v>21</v>
      </c>
      <c r="B38" s="428" t="s">
        <v>1936</v>
      </c>
      <c r="C38" s="442" t="s">
        <v>17</v>
      </c>
      <c r="D38" s="656">
        <f>312.6*0.2</f>
        <v>62.52000000000001</v>
      </c>
      <c r="E38" s="647">
        <f t="shared" si="7"/>
        <v>834.79</v>
      </c>
      <c r="F38" s="587">
        <v>52190.78</v>
      </c>
      <c r="G38" s="767">
        <v>1179.9000000000001</v>
      </c>
      <c r="H38" s="768">
        <f t="shared" si="5"/>
        <v>73767.350000000006</v>
      </c>
      <c r="I38" s="482">
        <f>E38-G38</f>
        <v>-345.11000000000013</v>
      </c>
      <c r="J38" s="481">
        <f t="shared" si="6"/>
        <v>-21576.57</v>
      </c>
    </row>
    <row r="39" spans="1:12" ht="23.25" customHeight="1" x14ac:dyDescent="0.3">
      <c r="A39" s="630">
        <f t="shared" si="4"/>
        <v>22</v>
      </c>
      <c r="B39" s="428" t="s">
        <v>1937</v>
      </c>
      <c r="C39" s="442" t="s">
        <v>17</v>
      </c>
      <c r="D39" s="656">
        <v>46.89</v>
      </c>
      <c r="E39" s="647">
        <f t="shared" si="7"/>
        <v>1816.78</v>
      </c>
      <c r="F39" s="644">
        <f>76400.82+8787.88</f>
        <v>85188.700000000012</v>
      </c>
      <c r="G39" s="767">
        <v>12082.41</v>
      </c>
      <c r="H39" s="768">
        <f t="shared" si="5"/>
        <v>566544.19999999995</v>
      </c>
      <c r="I39" s="482">
        <f>E39-G39</f>
        <v>-10265.629999999999</v>
      </c>
      <c r="J39" s="481">
        <f t="shared" si="6"/>
        <v>-481355.5</v>
      </c>
    </row>
    <row r="40" spans="1:12" ht="34.5" customHeight="1" x14ac:dyDescent="0.3">
      <c r="A40" s="630">
        <f t="shared" si="4"/>
        <v>23</v>
      </c>
      <c r="B40" s="428" t="s">
        <v>1938</v>
      </c>
      <c r="C40" s="930" t="s">
        <v>1131</v>
      </c>
      <c r="D40" s="932">
        <v>372</v>
      </c>
      <c r="E40" s="932">
        <v>372</v>
      </c>
      <c r="F40" s="856">
        <f>466622.35-112015.24-998.93</f>
        <v>353608.18</v>
      </c>
      <c r="G40" s="936">
        <v>2450</v>
      </c>
      <c r="H40" s="899">
        <f t="shared" si="5"/>
        <v>911400</v>
      </c>
      <c r="I40" s="932">
        <v>372</v>
      </c>
      <c r="J40" s="850">
        <f t="shared" si="6"/>
        <v>-557791.81999999995</v>
      </c>
    </row>
    <row r="41" spans="1:12" ht="23.25" customHeight="1" x14ac:dyDescent="0.3">
      <c r="A41" s="630">
        <f t="shared" si="4"/>
        <v>24</v>
      </c>
      <c r="B41" s="428" t="s">
        <v>1939</v>
      </c>
      <c r="C41" s="931"/>
      <c r="D41" s="933"/>
      <c r="E41" s="933"/>
      <c r="F41" s="857"/>
      <c r="G41" s="937"/>
      <c r="H41" s="901"/>
      <c r="I41" s="933"/>
      <c r="J41" s="851"/>
    </row>
    <row r="42" spans="1:12" ht="33.75" customHeight="1" x14ac:dyDescent="0.3">
      <c r="A42" s="928">
        <f t="shared" si="4"/>
        <v>25</v>
      </c>
      <c r="B42" s="428" t="s">
        <v>1940</v>
      </c>
      <c r="C42" s="930" t="s">
        <v>20</v>
      </c>
      <c r="D42" s="932">
        <v>312.60000000000002</v>
      </c>
      <c r="E42" s="934">
        <f t="shared" ref="E42" si="25">ROUND(F42/D42,2)</f>
        <v>468.69</v>
      </c>
      <c r="F42" s="856">
        <v>146514.01</v>
      </c>
      <c r="G42" s="858">
        <v>1800</v>
      </c>
      <c r="H42" s="899">
        <f t="shared" ref="H42" si="26">ROUND(G42*D42,2)</f>
        <v>562680</v>
      </c>
      <c r="I42" s="848">
        <f t="shared" ref="I42" si="27">E42-G42</f>
        <v>-1331.31</v>
      </c>
      <c r="J42" s="850">
        <f t="shared" ref="J42" si="28">ROUND(F42-H42,2)</f>
        <v>-416165.99</v>
      </c>
    </row>
    <row r="43" spans="1:12" ht="34.5" customHeight="1" x14ac:dyDescent="0.3">
      <c r="A43" s="929"/>
      <c r="B43" s="428" t="s">
        <v>1941</v>
      </c>
      <c r="C43" s="931"/>
      <c r="D43" s="933"/>
      <c r="E43" s="935"/>
      <c r="F43" s="857"/>
      <c r="G43" s="859"/>
      <c r="H43" s="901"/>
      <c r="I43" s="849"/>
      <c r="J43" s="851"/>
      <c r="L43" s="539"/>
    </row>
    <row r="44" spans="1:12" ht="23.25" customHeight="1" x14ac:dyDescent="0.3">
      <c r="A44" s="664">
        <f>A42+1</f>
        <v>26</v>
      </c>
      <c r="B44" s="428" t="s">
        <v>1933</v>
      </c>
      <c r="C44" s="442" t="s">
        <v>1131</v>
      </c>
      <c r="D44" s="656">
        <v>220.5</v>
      </c>
      <c r="E44" s="547">
        <f t="shared" ref="E44" si="29">ROUND(F44/D44,2)</f>
        <v>841.86</v>
      </c>
      <c r="F44" s="644">
        <v>185630.98</v>
      </c>
      <c r="G44" s="767">
        <v>600</v>
      </c>
      <c r="H44" s="768">
        <f t="shared" ref="H44" si="30">ROUND(G44*D44,2)</f>
        <v>132300</v>
      </c>
      <c r="I44" s="482">
        <f t="shared" ref="I44" si="31">E44-G44</f>
        <v>241.86</v>
      </c>
      <c r="J44" s="481">
        <f t="shared" ref="J44" si="32">ROUND(F44-H44,2)</f>
        <v>53330.98</v>
      </c>
      <c r="L44" s="539"/>
    </row>
    <row r="45" spans="1:12" s="673" customFormat="1" ht="31.5" customHeight="1" x14ac:dyDescent="0.35">
      <c r="A45" s="667"/>
      <c r="B45" s="938" t="s">
        <v>1942</v>
      </c>
      <c r="C45" s="939"/>
      <c r="D45" s="939"/>
      <c r="E45" s="668"/>
      <c r="F45" s="669">
        <f>SUM(F7:F44)</f>
        <v>8914849.4300000016</v>
      </c>
      <c r="G45" s="781"/>
      <c r="H45" s="782">
        <f>SUM(H7:H44)</f>
        <v>11465888.709999999</v>
      </c>
      <c r="I45" s="670"/>
      <c r="J45" s="669">
        <f>SUM(J7:J44)</f>
        <v>-2551039.2799999998</v>
      </c>
      <c r="K45" s="672"/>
    </row>
    <row r="46" spans="1:12" s="483" customFormat="1" ht="27.75" hidden="1" customHeight="1" x14ac:dyDescent="0.35">
      <c r="A46" s="635"/>
      <c r="B46" s="886" t="s">
        <v>1943</v>
      </c>
      <c r="C46" s="887"/>
      <c r="D46" s="940"/>
      <c r="E46" s="636"/>
      <c r="F46" s="637"/>
      <c r="G46" s="638"/>
      <c r="H46" s="637"/>
      <c r="I46" s="639"/>
      <c r="J46" s="637"/>
      <c r="K46" s="490"/>
    </row>
    <row r="47" spans="1:12" s="483" customFormat="1" ht="27.75" hidden="1" customHeight="1" x14ac:dyDescent="0.35">
      <c r="A47" s="635"/>
      <c r="B47" s="886" t="s">
        <v>1944</v>
      </c>
      <c r="C47" s="887"/>
      <c r="D47" s="887"/>
      <c r="E47" s="636"/>
      <c r="F47" s="637"/>
      <c r="G47" s="638"/>
      <c r="H47" s="637"/>
      <c r="I47" s="639"/>
      <c r="J47" s="637"/>
      <c r="K47" s="490"/>
    </row>
  </sheetData>
  <mergeCells count="65">
    <mergeCell ref="H42:H43"/>
    <mergeCell ref="I42:I43"/>
    <mergeCell ref="J42:J43"/>
    <mergeCell ref="B45:D45"/>
    <mergeCell ref="B46:D46"/>
    <mergeCell ref="F42:F43"/>
    <mergeCell ref="G42:G43"/>
    <mergeCell ref="B47:D47"/>
    <mergeCell ref="A42:A43"/>
    <mergeCell ref="C42:C43"/>
    <mergeCell ref="D42:D43"/>
    <mergeCell ref="E42:E43"/>
    <mergeCell ref="B36:J36"/>
    <mergeCell ref="C40:C41"/>
    <mergeCell ref="D40:D41"/>
    <mergeCell ref="E40:E41"/>
    <mergeCell ref="F40:F41"/>
    <mergeCell ref="G40:G41"/>
    <mergeCell ref="H40:H41"/>
    <mergeCell ref="I40:I41"/>
    <mergeCell ref="J40:J41"/>
    <mergeCell ref="B26:J26"/>
    <mergeCell ref="A33:A34"/>
    <mergeCell ref="C33:C34"/>
    <mergeCell ref="D33:D34"/>
    <mergeCell ref="E33:E34"/>
    <mergeCell ref="F33:F34"/>
    <mergeCell ref="G33:G34"/>
    <mergeCell ref="H33:H34"/>
    <mergeCell ref="I33:I34"/>
    <mergeCell ref="J33:J34"/>
    <mergeCell ref="B22:J22"/>
    <mergeCell ref="A23:A24"/>
    <mergeCell ref="C23:C24"/>
    <mergeCell ref="D23:D24"/>
    <mergeCell ref="E23:E24"/>
    <mergeCell ref="F23:F24"/>
    <mergeCell ref="G23:G24"/>
    <mergeCell ref="H23:H24"/>
    <mergeCell ref="I23:I24"/>
    <mergeCell ref="J23:J24"/>
    <mergeCell ref="B18:J18"/>
    <mergeCell ref="B5:J5"/>
    <mergeCell ref="B6:J6"/>
    <mergeCell ref="B8:J8"/>
    <mergeCell ref="B9:J9"/>
    <mergeCell ref="B13:J13"/>
    <mergeCell ref="G14:G15"/>
    <mergeCell ref="H14:H15"/>
    <mergeCell ref="I14:I15"/>
    <mergeCell ref="J14:J15"/>
    <mergeCell ref="B17:J17"/>
    <mergeCell ref="A14:A15"/>
    <mergeCell ref="C14:C15"/>
    <mergeCell ref="D14:D15"/>
    <mergeCell ref="E14:E15"/>
    <mergeCell ref="F14:F15"/>
    <mergeCell ref="A1:J1"/>
    <mergeCell ref="A2:A4"/>
    <mergeCell ref="B2:B4"/>
    <mergeCell ref="C2:C4"/>
    <mergeCell ref="D2:D4"/>
    <mergeCell ref="E2:F3"/>
    <mergeCell ref="G2:H3"/>
    <mergeCell ref="I2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5631-BBB2-4D70-A881-B978CD50B0C9}">
  <sheetPr>
    <tabColor theme="8" tint="0.59999389629810485"/>
  </sheetPr>
  <dimension ref="A1:K28"/>
  <sheetViews>
    <sheetView topLeftCell="A4" zoomScale="60" zoomScaleNormal="60" workbookViewId="0">
      <selection activeCell="F26" sqref="F26"/>
    </sheetView>
  </sheetViews>
  <sheetFormatPr defaultRowHeight="18" x14ac:dyDescent="0.3"/>
  <cols>
    <col min="1" max="1" width="6.109375" customWidth="1"/>
    <col min="2" max="2" width="105.88671875" style="106" customWidth="1"/>
    <col min="3" max="3" width="13" style="106" customWidth="1"/>
    <col min="4" max="4" width="13.88671875" customWidth="1"/>
    <col min="5" max="5" width="15.33203125" style="271" customWidth="1"/>
    <col min="6" max="6" width="24.88671875" style="198" customWidth="1"/>
    <col min="7" max="7" width="18" style="295" customWidth="1"/>
    <col min="8" max="8" width="22.44140625" style="209" customWidth="1"/>
    <col min="9" max="9" width="15.5546875" style="271" customWidth="1"/>
    <col min="10" max="10" width="20.109375" style="211" customWidth="1"/>
    <col min="11" max="11" width="25.5546875" style="518" customWidth="1"/>
    <col min="12" max="12" width="26" customWidth="1"/>
  </cols>
  <sheetData>
    <row r="1" spans="1:11" ht="93" customHeight="1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1" ht="23.25" customHeight="1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1375</v>
      </c>
      <c r="H2" s="877"/>
      <c r="I2" s="880" t="s">
        <v>1376</v>
      </c>
      <c r="J2" s="881"/>
    </row>
    <row r="3" spans="1:11" ht="9.75" customHeight="1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1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1" s="483" customFormat="1" ht="19.5" customHeight="1" x14ac:dyDescent="0.35">
      <c r="A5" s="485"/>
      <c r="B5" s="920" t="s">
        <v>1903</v>
      </c>
      <c r="C5" s="921"/>
      <c r="D5" s="921"/>
      <c r="E5" s="921"/>
      <c r="F5" s="921"/>
      <c r="G5" s="921"/>
      <c r="H5" s="921"/>
      <c r="I5" s="921"/>
      <c r="J5" s="921"/>
      <c r="K5" s="490"/>
    </row>
    <row r="6" spans="1:11" s="484" customFormat="1" ht="21.75" customHeight="1" x14ac:dyDescent="0.3">
      <c r="A6" s="486"/>
      <c r="B6" s="888" t="s">
        <v>1945</v>
      </c>
      <c r="C6" s="889"/>
      <c r="D6" s="889"/>
      <c r="E6" s="889"/>
      <c r="F6" s="889"/>
      <c r="G6" s="889"/>
      <c r="H6" s="889"/>
      <c r="I6" s="889"/>
      <c r="J6" s="889"/>
      <c r="K6" s="491"/>
    </row>
    <row r="7" spans="1:11" ht="23.25" customHeight="1" x14ac:dyDescent="0.3">
      <c r="A7" s="443">
        <f>A5+1</f>
        <v>1</v>
      </c>
      <c r="B7" s="428" t="s">
        <v>1946</v>
      </c>
      <c r="C7" s="422" t="s">
        <v>17</v>
      </c>
      <c r="D7" s="674">
        <f>(2.448*6)*1.1</f>
        <v>16.1568</v>
      </c>
      <c r="E7" s="647">
        <f t="shared" ref="E7:E27" si="0">ROUND(F7/D7,2)</f>
        <v>516.52</v>
      </c>
      <c r="F7" s="648">
        <v>8345.24</v>
      </c>
      <c r="G7" s="552">
        <v>800</v>
      </c>
      <c r="H7" s="619">
        <f>ROUND(G7*D7,2)</f>
        <v>12925.44</v>
      </c>
      <c r="I7" s="482">
        <f>ROUND(E7-G7,2)</f>
        <v>-283.48</v>
      </c>
      <c r="J7" s="481">
        <f>ROUND(F7-H7,2)</f>
        <v>-4580.2</v>
      </c>
    </row>
    <row r="8" spans="1:11" ht="23.25" customHeight="1" x14ac:dyDescent="0.3">
      <c r="A8" s="443">
        <f>A7+1</f>
        <v>2</v>
      </c>
      <c r="B8" s="428" t="s">
        <v>1947</v>
      </c>
      <c r="C8" s="422" t="s">
        <v>17</v>
      </c>
      <c r="D8" s="675">
        <v>7.4908799999999998</v>
      </c>
      <c r="E8" s="647">
        <f t="shared" si="0"/>
        <v>5256.85</v>
      </c>
      <c r="F8" s="648">
        <f>ROUND(36118+623.71+2636.7,2)</f>
        <v>39378.410000000003</v>
      </c>
      <c r="G8" s="552">
        <v>6100</v>
      </c>
      <c r="H8" s="619">
        <f t="shared" ref="H8:H27" si="1">ROUND(G8*D8,2)</f>
        <v>45694.37</v>
      </c>
      <c r="I8" s="482">
        <f t="shared" ref="I8:J27" si="2">ROUND(E8-G8,2)</f>
        <v>-843.15</v>
      </c>
      <c r="J8" s="481">
        <f t="shared" si="2"/>
        <v>-6315.96</v>
      </c>
    </row>
    <row r="9" spans="1:11" s="514" customFormat="1" ht="30.75" customHeight="1" x14ac:dyDescent="0.3">
      <c r="A9" s="443">
        <f t="shared" ref="A9:A11" si="3">A8+1</f>
        <v>3</v>
      </c>
      <c r="B9" s="428" t="s">
        <v>1948</v>
      </c>
      <c r="C9" s="422" t="s">
        <v>16</v>
      </c>
      <c r="D9" s="676">
        <v>5821.2</v>
      </c>
      <c r="E9" s="547">
        <f t="shared" si="0"/>
        <v>6.13</v>
      </c>
      <c r="F9" s="648">
        <v>35703.86</v>
      </c>
      <c r="G9" s="677">
        <v>9.7200000000000006</v>
      </c>
      <c r="H9" s="619">
        <f t="shared" si="1"/>
        <v>56582.06</v>
      </c>
      <c r="I9" s="482">
        <f t="shared" si="2"/>
        <v>-3.59</v>
      </c>
      <c r="J9" s="481">
        <f t="shared" si="2"/>
        <v>-20878.2</v>
      </c>
      <c r="K9" s="521"/>
    </row>
    <row r="10" spans="1:11" s="514" customFormat="1" ht="21.75" customHeight="1" x14ac:dyDescent="0.3">
      <c r="A10" s="443">
        <f t="shared" si="3"/>
        <v>4</v>
      </c>
      <c r="B10" s="428" t="s">
        <v>1949</v>
      </c>
      <c r="C10" s="422" t="s">
        <v>20</v>
      </c>
      <c r="D10" s="678">
        <v>64.680000000000007</v>
      </c>
      <c r="E10" s="547">
        <f t="shared" si="0"/>
        <v>1015.38</v>
      </c>
      <c r="F10" s="648">
        <v>65674.58</v>
      </c>
      <c r="G10" s="677">
        <v>1176</v>
      </c>
      <c r="H10" s="619">
        <f t="shared" si="1"/>
        <v>76063.679999999993</v>
      </c>
      <c r="I10" s="482">
        <f t="shared" si="2"/>
        <v>-160.62</v>
      </c>
      <c r="J10" s="481">
        <f t="shared" si="2"/>
        <v>-10389.1</v>
      </c>
      <c r="K10" s="521"/>
    </row>
    <row r="11" spans="1:11" s="514" customFormat="1" ht="32.25" customHeight="1" x14ac:dyDescent="0.3">
      <c r="A11" s="443">
        <f t="shared" si="3"/>
        <v>5</v>
      </c>
      <c r="B11" s="507" t="s">
        <v>1950</v>
      </c>
      <c r="C11" s="508" t="s">
        <v>364</v>
      </c>
      <c r="D11" s="679">
        <v>6</v>
      </c>
      <c r="E11" s="680">
        <f t="shared" si="0"/>
        <v>2720000</v>
      </c>
      <c r="F11" s="511">
        <v>16320000</v>
      </c>
      <c r="G11" s="681">
        <v>3645000</v>
      </c>
      <c r="H11" s="620">
        <f>ROUND(G11*D11,2)</f>
        <v>21870000</v>
      </c>
      <c r="I11" s="512">
        <f t="shared" si="2"/>
        <v>-925000</v>
      </c>
      <c r="J11" s="513">
        <f t="shared" si="2"/>
        <v>-5550000</v>
      </c>
      <c r="K11" s="521"/>
    </row>
    <row r="12" spans="1:11" s="484" customFormat="1" ht="21.75" customHeight="1" x14ac:dyDescent="0.3">
      <c r="A12" s="486"/>
      <c r="B12" s="888" t="s">
        <v>1951</v>
      </c>
      <c r="C12" s="889"/>
      <c r="D12" s="889"/>
      <c r="E12" s="889"/>
      <c r="F12" s="889"/>
      <c r="G12" s="889"/>
      <c r="H12" s="889"/>
      <c r="I12" s="889"/>
      <c r="J12" s="889"/>
      <c r="K12" s="491"/>
    </row>
    <row r="13" spans="1:11" s="514" customFormat="1" ht="21.75" customHeight="1" x14ac:dyDescent="0.3">
      <c r="A13" s="443">
        <f>A11+1</f>
        <v>6</v>
      </c>
      <c r="B13" s="428" t="s">
        <v>1946</v>
      </c>
      <c r="C13" s="442" t="s">
        <v>17</v>
      </c>
      <c r="D13" s="682">
        <f>2.24*16*1.1</f>
        <v>39.424000000000007</v>
      </c>
      <c r="E13" s="547">
        <f t="shared" si="0"/>
        <v>516.51</v>
      </c>
      <c r="F13" s="648">
        <v>20363.080000000002</v>
      </c>
      <c r="G13" s="677">
        <v>800</v>
      </c>
      <c r="H13" s="619">
        <f t="shared" si="1"/>
        <v>31539.200000000001</v>
      </c>
      <c r="I13" s="482">
        <f t="shared" si="2"/>
        <v>-283.49</v>
      </c>
      <c r="J13" s="481">
        <f t="shared" si="2"/>
        <v>-11176.12</v>
      </c>
      <c r="K13" s="521"/>
    </row>
    <row r="14" spans="1:11" s="514" customFormat="1" ht="21.75" customHeight="1" x14ac:dyDescent="0.3">
      <c r="A14" s="443">
        <f>A13+1</f>
        <v>7</v>
      </c>
      <c r="B14" s="428" t="s">
        <v>1947</v>
      </c>
      <c r="C14" s="442" t="s">
        <v>17</v>
      </c>
      <c r="D14" s="675">
        <v>18.311039999999998</v>
      </c>
      <c r="E14" s="547">
        <f t="shared" si="0"/>
        <v>5257.23</v>
      </c>
      <c r="F14" s="648">
        <f>ROUND(88288.49+1524.57+6452.21,2)</f>
        <v>96265.27</v>
      </c>
      <c r="G14" s="677">
        <v>6100</v>
      </c>
      <c r="H14" s="619">
        <f t="shared" si="1"/>
        <v>111697.34</v>
      </c>
      <c r="I14" s="482">
        <f t="shared" si="2"/>
        <v>-842.77</v>
      </c>
      <c r="J14" s="481">
        <f t="shared" si="2"/>
        <v>-15432.07</v>
      </c>
      <c r="K14" s="521"/>
    </row>
    <row r="15" spans="1:11" s="514" customFormat="1" ht="30.75" customHeight="1" x14ac:dyDescent="0.3">
      <c r="A15" s="443">
        <f t="shared" ref="A15:A17" si="4">A14+1</f>
        <v>8</v>
      </c>
      <c r="B15" s="428" t="s">
        <v>1948</v>
      </c>
      <c r="C15" s="442" t="s">
        <v>16</v>
      </c>
      <c r="D15" s="676">
        <f>(9.8*16)*1.8*50</f>
        <v>14112</v>
      </c>
      <c r="E15" s="547">
        <f t="shared" si="0"/>
        <v>6.13</v>
      </c>
      <c r="F15" s="648">
        <v>86554.78</v>
      </c>
      <c r="G15" s="677">
        <v>9.7200000000000006</v>
      </c>
      <c r="H15" s="619">
        <f t="shared" si="1"/>
        <v>137168.64000000001</v>
      </c>
      <c r="I15" s="482">
        <f t="shared" si="2"/>
        <v>-3.59</v>
      </c>
      <c r="J15" s="481">
        <f t="shared" si="2"/>
        <v>-50613.86</v>
      </c>
      <c r="K15" s="521"/>
    </row>
    <row r="16" spans="1:11" s="514" customFormat="1" ht="21.75" customHeight="1" x14ac:dyDescent="0.3">
      <c r="A16" s="443">
        <f t="shared" si="4"/>
        <v>9</v>
      </c>
      <c r="B16" s="428" t="s">
        <v>1949</v>
      </c>
      <c r="C16" s="442" t="s">
        <v>20</v>
      </c>
      <c r="D16" s="678">
        <v>156.80000000000001</v>
      </c>
      <c r="E16" s="547">
        <f t="shared" si="0"/>
        <v>1015.38</v>
      </c>
      <c r="F16" s="648">
        <v>159211.13</v>
      </c>
      <c r="G16" s="677">
        <v>1176</v>
      </c>
      <c r="H16" s="619">
        <f t="shared" si="1"/>
        <v>184396.79999999999</v>
      </c>
      <c r="I16" s="482">
        <f t="shared" si="2"/>
        <v>-160.62</v>
      </c>
      <c r="J16" s="481">
        <f t="shared" si="2"/>
        <v>-25185.67</v>
      </c>
      <c r="K16" s="521"/>
    </row>
    <row r="17" spans="1:11" s="514" customFormat="1" ht="32.25" customHeight="1" x14ac:dyDescent="0.3">
      <c r="A17" s="443">
        <f t="shared" si="4"/>
        <v>10</v>
      </c>
      <c r="B17" s="507" t="s">
        <v>1952</v>
      </c>
      <c r="C17" s="508" t="s">
        <v>364</v>
      </c>
      <c r="D17" s="679">
        <v>16</v>
      </c>
      <c r="E17" s="680">
        <f t="shared" si="0"/>
        <v>2516000</v>
      </c>
      <c r="F17" s="511">
        <v>40256000</v>
      </c>
      <c r="G17" s="681">
        <v>3220833.3333333335</v>
      </c>
      <c r="H17" s="620">
        <f t="shared" si="1"/>
        <v>51533333.329999998</v>
      </c>
      <c r="I17" s="512">
        <f t="shared" si="2"/>
        <v>-704833.33</v>
      </c>
      <c r="J17" s="513">
        <f t="shared" si="2"/>
        <v>-11277333.33</v>
      </c>
      <c r="K17" s="521"/>
    </row>
    <row r="18" spans="1:11" s="484" customFormat="1" ht="21.75" customHeight="1" x14ac:dyDescent="0.3">
      <c r="A18" s="486"/>
      <c r="B18" s="888" t="s">
        <v>1921</v>
      </c>
      <c r="C18" s="889"/>
      <c r="D18" s="889"/>
      <c r="E18" s="889"/>
      <c r="F18" s="889"/>
      <c r="G18" s="889"/>
      <c r="H18" s="889"/>
      <c r="I18" s="889"/>
      <c r="J18" s="889"/>
      <c r="K18" s="491"/>
    </row>
    <row r="19" spans="1:11" s="514" customFormat="1" ht="21.75" customHeight="1" x14ac:dyDescent="0.3">
      <c r="A19" s="443">
        <f>A17+1</f>
        <v>11</v>
      </c>
      <c r="B19" s="428" t="s">
        <v>1946</v>
      </c>
      <c r="C19" s="442" t="s">
        <v>17</v>
      </c>
      <c r="D19" s="682">
        <f>386.551+62.52*1.1</f>
        <v>455.32299999999998</v>
      </c>
      <c r="E19" s="547">
        <f t="shared" si="0"/>
        <v>516.51</v>
      </c>
      <c r="F19" s="648">
        <f>199658.93+35521.67</f>
        <v>235180.59999999998</v>
      </c>
      <c r="G19" s="776">
        <v>800</v>
      </c>
      <c r="H19" s="768">
        <f t="shared" si="1"/>
        <v>364258.4</v>
      </c>
      <c r="I19" s="482">
        <f t="shared" si="2"/>
        <v>-283.49</v>
      </c>
      <c r="J19" s="481">
        <f t="shared" si="2"/>
        <v>-129077.8</v>
      </c>
      <c r="K19" s="521"/>
    </row>
    <row r="20" spans="1:11" ht="24" customHeight="1" x14ac:dyDescent="0.3">
      <c r="A20" s="443">
        <f>A19+1</f>
        <v>12</v>
      </c>
      <c r="B20" s="428" t="s">
        <v>1947</v>
      </c>
      <c r="C20" s="442" t="s">
        <v>17</v>
      </c>
      <c r="D20" s="682">
        <f>137.802+47.8278</f>
        <v>185.62979999999999</v>
      </c>
      <c r="E20" s="547">
        <f t="shared" si="0"/>
        <v>5341.09</v>
      </c>
      <c r="F20" s="648">
        <f>664426.12+11473.26+64141.55+230606.54+3982.04+16835.12</f>
        <v>991464.63000000012</v>
      </c>
      <c r="G20" s="777">
        <v>6100</v>
      </c>
      <c r="H20" s="768">
        <f t="shared" si="1"/>
        <v>1132341.78</v>
      </c>
      <c r="I20" s="482">
        <f t="shared" si="2"/>
        <v>-758.91</v>
      </c>
      <c r="J20" s="481">
        <f t="shared" si="2"/>
        <v>-140877.15</v>
      </c>
      <c r="K20" s="520"/>
    </row>
    <row r="21" spans="1:11" s="514" customFormat="1" ht="21.75" customHeight="1" x14ac:dyDescent="0.3">
      <c r="A21" s="443">
        <f>A20+1</f>
        <v>13</v>
      </c>
      <c r="B21" s="428" t="s">
        <v>1953</v>
      </c>
      <c r="C21" s="442" t="s">
        <v>20</v>
      </c>
      <c r="D21" s="683">
        <f>760+312.6</f>
        <v>1072.5999999999999</v>
      </c>
      <c r="E21" s="547">
        <f t="shared" si="0"/>
        <v>121.06</v>
      </c>
      <c r="F21" s="648">
        <f>92003.02+37842.33</f>
        <v>129845.35</v>
      </c>
      <c r="G21" s="776">
        <v>113</v>
      </c>
      <c r="H21" s="768">
        <f t="shared" si="1"/>
        <v>121203.8</v>
      </c>
      <c r="I21" s="482">
        <f t="shared" si="2"/>
        <v>8.06</v>
      </c>
      <c r="J21" s="481">
        <f t="shared" si="2"/>
        <v>8641.5499999999993</v>
      </c>
      <c r="K21" s="521"/>
    </row>
    <row r="22" spans="1:11" s="514" customFormat="1" ht="21.75" customHeight="1" x14ac:dyDescent="0.3">
      <c r="A22" s="443">
        <f t="shared" ref="A22:A27" si="5">A21+1</f>
        <v>14</v>
      </c>
      <c r="B22" s="428" t="s">
        <v>1954</v>
      </c>
      <c r="C22" s="442" t="s">
        <v>17</v>
      </c>
      <c r="D22" s="674">
        <f>104.8725+7.27+34.67784</f>
        <v>146.82033999999999</v>
      </c>
      <c r="E22" s="547">
        <f t="shared" si="0"/>
        <v>5160.46</v>
      </c>
      <c r="F22" s="648">
        <f>535233.93+4650.17+37103.68+322.36+176984.06+1537.66+1828.08</f>
        <v>757659.94000000018</v>
      </c>
      <c r="G22" s="776">
        <v>6400</v>
      </c>
      <c r="H22" s="768">
        <f t="shared" si="1"/>
        <v>939650.18</v>
      </c>
      <c r="I22" s="482">
        <f t="shared" si="2"/>
        <v>-1239.54</v>
      </c>
      <c r="J22" s="481">
        <f t="shared" si="2"/>
        <v>-181990.24</v>
      </c>
      <c r="K22" s="521"/>
    </row>
    <row r="23" spans="1:11" s="514" customFormat="1" ht="21.75" customHeight="1" x14ac:dyDescent="0.3">
      <c r="A23" s="443">
        <f t="shared" si="5"/>
        <v>15</v>
      </c>
      <c r="B23" s="428" t="s">
        <v>1525</v>
      </c>
      <c r="C23" s="442" t="s">
        <v>17</v>
      </c>
      <c r="D23" s="675">
        <f>1.23525+0.08564</f>
        <v>1.3208899999999999</v>
      </c>
      <c r="E23" s="547">
        <f t="shared" si="0"/>
        <v>4475.49</v>
      </c>
      <c r="F23" s="648">
        <f>5528.31+383.32</f>
        <v>5911.63</v>
      </c>
      <c r="G23" s="776">
        <v>10200</v>
      </c>
      <c r="H23" s="768">
        <f t="shared" si="1"/>
        <v>13473.08</v>
      </c>
      <c r="I23" s="482">
        <f t="shared" si="2"/>
        <v>-5724.51</v>
      </c>
      <c r="J23" s="481">
        <f t="shared" si="2"/>
        <v>-7561.45</v>
      </c>
      <c r="K23" s="521"/>
    </row>
    <row r="24" spans="1:11" s="514" customFormat="1" ht="21.75" customHeight="1" x14ac:dyDescent="0.3">
      <c r="A24" s="443">
        <f t="shared" si="5"/>
        <v>16</v>
      </c>
      <c r="B24" s="428" t="s">
        <v>1955</v>
      </c>
      <c r="C24" s="442" t="s">
        <v>364</v>
      </c>
      <c r="D24" s="683">
        <v>1125</v>
      </c>
      <c r="E24" s="547">
        <f t="shared" si="0"/>
        <v>1023.8</v>
      </c>
      <c r="F24" s="648">
        <v>1151772.6200000001</v>
      </c>
      <c r="G24" s="776">
        <v>1323</v>
      </c>
      <c r="H24" s="768">
        <f t="shared" si="1"/>
        <v>1488375</v>
      </c>
      <c r="I24" s="482">
        <f t="shared" si="2"/>
        <v>-299.2</v>
      </c>
      <c r="J24" s="481">
        <f t="shared" si="2"/>
        <v>-336602.38</v>
      </c>
      <c r="K24" s="521"/>
    </row>
    <row r="25" spans="1:11" s="514" customFormat="1" ht="21.75" customHeight="1" x14ac:dyDescent="0.3">
      <c r="A25" s="443">
        <f t="shared" si="5"/>
        <v>17</v>
      </c>
      <c r="B25" s="428" t="s">
        <v>1956</v>
      </c>
      <c r="C25" s="442" t="s">
        <v>364</v>
      </c>
      <c r="D25" s="683">
        <f>78+312</f>
        <v>390</v>
      </c>
      <c r="E25" s="547">
        <f t="shared" si="0"/>
        <v>1279.8900000000001</v>
      </c>
      <c r="F25" s="648">
        <f>118305.53+380852.85</f>
        <v>499158.38</v>
      </c>
      <c r="G25" s="776">
        <v>2200</v>
      </c>
      <c r="H25" s="768">
        <f t="shared" si="1"/>
        <v>858000</v>
      </c>
      <c r="I25" s="482">
        <f t="shared" si="2"/>
        <v>-920.11</v>
      </c>
      <c r="J25" s="481">
        <f t="shared" si="2"/>
        <v>-358841.62</v>
      </c>
      <c r="K25" s="521"/>
    </row>
    <row r="26" spans="1:11" s="514" customFormat="1" ht="34.5" customHeight="1" x14ac:dyDescent="0.3">
      <c r="A26" s="443">
        <f t="shared" si="5"/>
        <v>18</v>
      </c>
      <c r="B26" s="428" t="s">
        <v>1948</v>
      </c>
      <c r="C26" s="442" t="s">
        <v>16</v>
      </c>
      <c r="D26" s="683">
        <f>(1072.5+312)*1.8*50</f>
        <v>124605</v>
      </c>
      <c r="E26" s="547">
        <f t="shared" si="0"/>
        <v>6.14</v>
      </c>
      <c r="F26" s="648">
        <f>592028.34+172557.66</f>
        <v>764586</v>
      </c>
      <c r="G26" s="776">
        <v>9.7200000000000006</v>
      </c>
      <c r="H26" s="768">
        <f t="shared" si="1"/>
        <v>1211160.6000000001</v>
      </c>
      <c r="I26" s="482">
        <f t="shared" si="2"/>
        <v>-3.58</v>
      </c>
      <c r="J26" s="481">
        <f t="shared" si="2"/>
        <v>-446574.6</v>
      </c>
      <c r="K26" s="521"/>
    </row>
    <row r="27" spans="1:11" ht="24" customHeight="1" x14ac:dyDescent="0.3">
      <c r="A27" s="443">
        <f t="shared" si="5"/>
        <v>19</v>
      </c>
      <c r="B27" s="428" t="s">
        <v>1949</v>
      </c>
      <c r="C27" s="442" t="s">
        <v>20</v>
      </c>
      <c r="D27" s="501">
        <f>1072.5+312.6</f>
        <v>1385.1</v>
      </c>
      <c r="E27" s="647">
        <f t="shared" si="0"/>
        <v>1015.38</v>
      </c>
      <c r="F27" s="648">
        <f>1088992.2+317406.96</f>
        <v>1406399.16</v>
      </c>
      <c r="G27" s="777">
        <v>1176</v>
      </c>
      <c r="H27" s="768">
        <f t="shared" si="1"/>
        <v>1628877.6</v>
      </c>
      <c r="I27" s="482">
        <f t="shared" si="2"/>
        <v>-160.62</v>
      </c>
      <c r="J27" s="481">
        <f t="shared" si="2"/>
        <v>-222478.44</v>
      </c>
      <c r="K27" s="519"/>
    </row>
    <row r="28" spans="1:11" s="483" customFormat="1" ht="19.5" customHeight="1" x14ac:dyDescent="0.35">
      <c r="A28" s="485"/>
      <c r="B28" s="920" t="s">
        <v>1957</v>
      </c>
      <c r="C28" s="921"/>
      <c r="D28" s="921"/>
      <c r="E28" s="684"/>
      <c r="F28" s="685">
        <f>SUM(F7:F27)</f>
        <v>63029474.659999996</v>
      </c>
      <c r="G28" s="778"/>
      <c r="H28" s="779">
        <f>SUM(H7:H27)</f>
        <v>81816741.299999997</v>
      </c>
      <c r="I28" s="686"/>
      <c r="J28" s="685">
        <f>SUM(J7:J27)</f>
        <v>-18787266.640000001</v>
      </c>
      <c r="K28" s="490"/>
    </row>
  </sheetData>
  <mergeCells count="13">
    <mergeCell ref="B5:J5"/>
    <mergeCell ref="B6:J6"/>
    <mergeCell ref="B12:J12"/>
    <mergeCell ref="B18:J18"/>
    <mergeCell ref="B28:D28"/>
    <mergeCell ref="A1:J1"/>
    <mergeCell ref="A2:A4"/>
    <mergeCell ref="B2:B4"/>
    <mergeCell ref="C2:C4"/>
    <mergeCell ref="D2:D4"/>
    <mergeCell ref="E2:F3"/>
    <mergeCell ref="G2:H3"/>
    <mergeCell ref="I2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1306-D71E-4FC7-879B-EB4C9C928FF1}">
  <sheetPr>
    <tabColor theme="9" tint="0.59999389629810485"/>
  </sheetPr>
  <dimension ref="A1:L287"/>
  <sheetViews>
    <sheetView topLeftCell="A19" zoomScale="60" zoomScaleNormal="60" workbookViewId="0">
      <selection activeCell="H31" sqref="G8:H32"/>
    </sheetView>
  </sheetViews>
  <sheetFormatPr defaultRowHeight="18" x14ac:dyDescent="0.3"/>
  <cols>
    <col min="1" max="1" width="6.109375" customWidth="1"/>
    <col min="2" max="2" width="109.5546875" style="106" customWidth="1"/>
    <col min="3" max="3" width="13" style="106" customWidth="1"/>
    <col min="4" max="4" width="15.109375" customWidth="1"/>
    <col min="5" max="5" width="14.33203125" style="271" customWidth="1"/>
    <col min="6" max="6" width="19.6640625" style="198" customWidth="1"/>
    <col min="7" max="7" width="17.109375" style="295" customWidth="1"/>
    <col min="8" max="8" width="18.33203125" style="209" customWidth="1"/>
    <col min="9" max="9" width="14" style="271" customWidth="1"/>
    <col min="10" max="10" width="19.88671875" style="211" customWidth="1"/>
    <col min="11" max="11" width="26.109375" style="489" customWidth="1"/>
    <col min="12" max="12" width="26" style="687" customWidth="1"/>
    <col min="15" max="15" width="19.109375" customWidth="1"/>
  </cols>
  <sheetData>
    <row r="1" spans="1:12" ht="89.25" customHeight="1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2" ht="13.5" customHeight="1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1377</v>
      </c>
      <c r="H2" s="877"/>
      <c r="I2" s="880" t="s">
        <v>1376</v>
      </c>
      <c r="J2" s="881"/>
    </row>
    <row r="3" spans="1:12" ht="22.5" customHeight="1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2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2" s="95" customFormat="1" ht="17.399999999999999" x14ac:dyDescent="0.3">
      <c r="A5" s="688"/>
      <c r="B5" s="941" t="s">
        <v>1958</v>
      </c>
      <c r="C5" s="942"/>
      <c r="D5" s="942"/>
      <c r="E5" s="942"/>
      <c r="F5" s="942"/>
      <c r="G5" s="942"/>
      <c r="H5" s="942"/>
      <c r="I5" s="942"/>
      <c r="J5" s="942"/>
    </row>
    <row r="6" spans="1:12" s="692" customFormat="1" ht="21" customHeight="1" x14ac:dyDescent="0.3">
      <c r="A6" s="689"/>
      <c r="B6" s="943" t="s">
        <v>1959</v>
      </c>
      <c r="C6" s="944"/>
      <c r="D6" s="944"/>
      <c r="E6" s="944"/>
      <c r="F6" s="944"/>
      <c r="G6" s="944"/>
      <c r="H6" s="944"/>
      <c r="I6" s="944"/>
      <c r="J6" s="944"/>
      <c r="K6" s="690"/>
      <c r="L6" s="691"/>
    </row>
    <row r="7" spans="1:12" s="692" customFormat="1" ht="21" customHeight="1" x14ac:dyDescent="0.3">
      <c r="A7" s="693"/>
      <c r="B7" s="945" t="s">
        <v>1960</v>
      </c>
      <c r="C7" s="946"/>
      <c r="D7" s="946"/>
      <c r="E7" s="946"/>
      <c r="F7" s="946"/>
      <c r="G7" s="946"/>
      <c r="H7" s="946"/>
      <c r="I7" s="946"/>
      <c r="J7" s="946"/>
      <c r="K7" s="690"/>
      <c r="L7" s="691"/>
    </row>
    <row r="8" spans="1:12" x14ac:dyDescent="0.3">
      <c r="A8" s="630">
        <v>1</v>
      </c>
      <c r="B8" s="694" t="s">
        <v>1961</v>
      </c>
      <c r="C8" s="695" t="s">
        <v>17</v>
      </c>
      <c r="D8" s="696">
        <v>56.24</v>
      </c>
      <c r="E8" s="647">
        <f>ROUND(F8/D8,2)</f>
        <v>1119.67</v>
      </c>
      <c r="F8" s="697">
        <v>62970.32</v>
      </c>
      <c r="G8" s="645">
        <v>2397.5</v>
      </c>
      <c r="H8" s="649">
        <f>ROUND(G8*D8,2)</f>
        <v>134835.4</v>
      </c>
      <c r="I8" s="642">
        <f>ROUND(E8-G8,2)</f>
        <v>-1277.83</v>
      </c>
      <c r="J8" s="698">
        <f>F8-H8</f>
        <v>-71865.079999999987</v>
      </c>
    </row>
    <row r="9" spans="1:12" ht="31.2" x14ac:dyDescent="0.3">
      <c r="A9" s="630">
        <f>A8+1</f>
        <v>2</v>
      </c>
      <c r="B9" s="699" t="s">
        <v>1962</v>
      </c>
      <c r="C9" s="442" t="s">
        <v>17</v>
      </c>
      <c r="D9" s="700">
        <f>33.2/2.06</f>
        <v>16.116504854368934</v>
      </c>
      <c r="E9" s="647">
        <f t="shared" ref="E9:E13" si="0">ROUND(F9/D9,2)</f>
        <v>86.69</v>
      </c>
      <c r="F9" s="697">
        <v>1397.11</v>
      </c>
      <c r="G9" s="552">
        <v>260</v>
      </c>
      <c r="H9" s="619">
        <f t="shared" ref="H9:H30" si="1">ROUND(G9*D9,2)</f>
        <v>4190.29</v>
      </c>
      <c r="I9" s="482">
        <f t="shared" ref="I9:I13" si="2">ROUND(E9-G9,2)</f>
        <v>-173.31</v>
      </c>
      <c r="J9" s="701">
        <f t="shared" ref="J9:J70" si="3">F9-H9</f>
        <v>-2793.1800000000003</v>
      </c>
    </row>
    <row r="10" spans="1:12" x14ac:dyDescent="0.3">
      <c r="A10" s="630">
        <f t="shared" ref="A10:A13" si="4">A9+1</f>
        <v>3</v>
      </c>
      <c r="B10" s="699" t="s">
        <v>1963</v>
      </c>
      <c r="C10" s="702" t="s">
        <v>1964</v>
      </c>
      <c r="D10" s="703">
        <v>33.200000000000003</v>
      </c>
      <c r="E10" s="647">
        <f t="shared" si="0"/>
        <v>187.58</v>
      </c>
      <c r="F10" s="697">
        <v>6227.56</v>
      </c>
      <c r="G10" s="552">
        <v>250</v>
      </c>
      <c r="H10" s="619">
        <f t="shared" si="1"/>
        <v>8300</v>
      </c>
      <c r="I10" s="482">
        <f t="shared" si="2"/>
        <v>-62.42</v>
      </c>
      <c r="J10" s="701">
        <f t="shared" si="3"/>
        <v>-2072.4399999999996</v>
      </c>
    </row>
    <row r="11" spans="1:12" ht="31.5" customHeight="1" x14ac:dyDescent="0.3">
      <c r="A11" s="630">
        <f t="shared" si="4"/>
        <v>4</v>
      </c>
      <c r="B11" s="699" t="s">
        <v>1965</v>
      </c>
      <c r="C11" s="442" t="s">
        <v>17</v>
      </c>
      <c r="D11" s="703">
        <v>40.119999999999997</v>
      </c>
      <c r="E11" s="647">
        <f t="shared" si="0"/>
        <v>106.18</v>
      </c>
      <c r="F11" s="697">
        <f>3478.78+781.02</f>
        <v>4259.8</v>
      </c>
      <c r="G11" s="552">
        <v>260</v>
      </c>
      <c r="H11" s="619">
        <f t="shared" si="1"/>
        <v>10431.200000000001</v>
      </c>
      <c r="I11" s="482">
        <f t="shared" si="2"/>
        <v>-153.82</v>
      </c>
      <c r="J11" s="701">
        <f t="shared" si="3"/>
        <v>-6171.4000000000005</v>
      </c>
      <c r="K11" s="478"/>
    </row>
    <row r="12" spans="1:12" ht="31.5" customHeight="1" x14ac:dyDescent="0.3">
      <c r="A12" s="630">
        <f t="shared" si="4"/>
        <v>5</v>
      </c>
      <c r="B12" s="704" t="s">
        <v>1966</v>
      </c>
      <c r="C12" s="662" t="s">
        <v>1964</v>
      </c>
      <c r="D12" s="703">
        <v>82.65</v>
      </c>
      <c r="E12" s="647">
        <f t="shared" si="0"/>
        <v>47.17</v>
      </c>
      <c r="F12" s="697">
        <v>3898.55</v>
      </c>
      <c r="G12" s="552">
        <v>220</v>
      </c>
      <c r="H12" s="619">
        <f t="shared" si="1"/>
        <v>18183</v>
      </c>
      <c r="I12" s="482">
        <f t="shared" si="2"/>
        <v>-172.83</v>
      </c>
      <c r="J12" s="701">
        <f>F12-H12</f>
        <v>-14284.45</v>
      </c>
      <c r="K12" s="478"/>
    </row>
    <row r="13" spans="1:12" ht="24" customHeight="1" x14ac:dyDescent="0.3">
      <c r="A13" s="630">
        <f t="shared" si="4"/>
        <v>6</v>
      </c>
      <c r="B13" s="704" t="s">
        <v>1967</v>
      </c>
      <c r="C13" s="662" t="s">
        <v>1968</v>
      </c>
      <c r="D13" s="705">
        <v>28</v>
      </c>
      <c r="E13" s="647">
        <f t="shared" si="0"/>
        <v>386.25</v>
      </c>
      <c r="F13" s="697">
        <v>10814.92</v>
      </c>
      <c r="G13" s="552">
        <v>350</v>
      </c>
      <c r="H13" s="619">
        <f t="shared" si="1"/>
        <v>9800</v>
      </c>
      <c r="I13" s="482">
        <f t="shared" si="2"/>
        <v>36.25</v>
      </c>
      <c r="J13" s="701">
        <f>F13-H13</f>
        <v>1014.9200000000001</v>
      </c>
      <c r="K13" s="478"/>
    </row>
    <row r="14" spans="1:12" ht="24" customHeight="1" x14ac:dyDescent="0.3">
      <c r="A14" s="910">
        <f>A13+1</f>
        <v>7</v>
      </c>
      <c r="B14" s="704" t="s">
        <v>1969</v>
      </c>
      <c r="C14" s="702" t="s">
        <v>1968</v>
      </c>
      <c r="D14" s="705">
        <v>76</v>
      </c>
      <c r="E14" s="916">
        <f>ROUND(F14/D14,2)</f>
        <v>118.58</v>
      </c>
      <c r="F14" s="947">
        <f>50186.19-41224.68+50.83</f>
        <v>9012.340000000002</v>
      </c>
      <c r="G14" s="949">
        <v>356.38</v>
      </c>
      <c r="H14" s="951">
        <f t="shared" si="1"/>
        <v>27084.880000000001</v>
      </c>
      <c r="I14" s="848">
        <f>ROUND(E14-G14-G15,2)</f>
        <v>-237.8</v>
      </c>
      <c r="J14" s="953">
        <f>F14-H14-H15</f>
        <v>-18072.54</v>
      </c>
      <c r="K14" s="478"/>
    </row>
    <row r="15" spans="1:12" ht="24" customHeight="1" x14ac:dyDescent="0.3">
      <c r="A15" s="911"/>
      <c r="B15" s="704" t="s">
        <v>1970</v>
      </c>
      <c r="C15" s="442" t="s">
        <v>17</v>
      </c>
      <c r="D15" s="703">
        <v>5.39</v>
      </c>
      <c r="E15" s="917"/>
      <c r="F15" s="948"/>
      <c r="G15" s="950"/>
      <c r="H15" s="952"/>
      <c r="I15" s="849"/>
      <c r="J15" s="954"/>
      <c r="K15" s="478"/>
    </row>
    <row r="16" spans="1:12" ht="24" customHeight="1" x14ac:dyDescent="0.3">
      <c r="A16" s="630">
        <f>A14+1</f>
        <v>8</v>
      </c>
      <c r="B16" s="704" t="s">
        <v>1971</v>
      </c>
      <c r="C16" s="702" t="s">
        <v>1968</v>
      </c>
      <c r="D16" s="705">
        <v>219</v>
      </c>
      <c r="E16" s="647">
        <f t="shared" ref="E16" si="5">ROUND(F16/D16,2)</f>
        <v>109.98</v>
      </c>
      <c r="F16" s="697">
        <f>142876.84-118792.17</f>
        <v>24084.67</v>
      </c>
      <c r="G16" s="552">
        <v>329</v>
      </c>
      <c r="H16" s="619">
        <f t="shared" si="1"/>
        <v>72051</v>
      </c>
      <c r="I16" s="482">
        <f>E16-G16</f>
        <v>-219.01999999999998</v>
      </c>
      <c r="J16" s="701">
        <f>F16-H16</f>
        <v>-47966.33</v>
      </c>
      <c r="K16" s="478"/>
    </row>
    <row r="17" spans="1:11" ht="24" customHeight="1" x14ac:dyDescent="0.3">
      <c r="A17" s="910">
        <f>A16+1</f>
        <v>9</v>
      </c>
      <c r="B17" s="704" t="s">
        <v>1972</v>
      </c>
      <c r="C17" s="702" t="s">
        <v>1968</v>
      </c>
      <c r="D17" s="705">
        <v>30</v>
      </c>
      <c r="E17" s="916">
        <f>ROUND(F17/90,2)</f>
        <v>869.5</v>
      </c>
      <c r="F17" s="947">
        <f>78254.89</f>
        <v>78254.89</v>
      </c>
      <c r="G17" s="949">
        <v>800</v>
      </c>
      <c r="H17" s="951">
        <f>ROUND(G17*D17+D18*G18+D19*G19+D20*G20,2)</f>
        <v>24000</v>
      </c>
      <c r="I17" s="848">
        <f>E17-G17-G19-G20-G18</f>
        <v>69.5</v>
      </c>
      <c r="J17" s="953">
        <f>F17-H17-H19-H20-H18</f>
        <v>54254.89</v>
      </c>
      <c r="K17" s="478"/>
    </row>
    <row r="18" spans="1:11" ht="24" customHeight="1" x14ac:dyDescent="0.3">
      <c r="A18" s="960"/>
      <c r="B18" s="706" t="s">
        <v>1973</v>
      </c>
      <c r="C18" s="702" t="s">
        <v>1968</v>
      </c>
      <c r="D18" s="705">
        <v>60</v>
      </c>
      <c r="E18" s="961"/>
      <c r="F18" s="962"/>
      <c r="G18" s="963"/>
      <c r="H18" s="964"/>
      <c r="I18" s="895"/>
      <c r="J18" s="955"/>
      <c r="K18" s="478"/>
    </row>
    <row r="19" spans="1:11" ht="24" customHeight="1" x14ac:dyDescent="0.3">
      <c r="A19" s="960"/>
      <c r="B19" s="706" t="s">
        <v>1974</v>
      </c>
      <c r="C19" s="702" t="s">
        <v>1975</v>
      </c>
      <c r="D19" s="705">
        <v>12</v>
      </c>
      <c r="E19" s="961"/>
      <c r="F19" s="962"/>
      <c r="G19" s="963"/>
      <c r="H19" s="964"/>
      <c r="I19" s="895"/>
      <c r="J19" s="955"/>
      <c r="K19" s="478"/>
    </row>
    <row r="20" spans="1:11" ht="23.25" customHeight="1" x14ac:dyDescent="0.3">
      <c r="A20" s="911"/>
      <c r="B20" s="706" t="s">
        <v>1976</v>
      </c>
      <c r="C20" s="702" t="s">
        <v>1975</v>
      </c>
      <c r="D20" s="705">
        <v>18</v>
      </c>
      <c r="E20" s="917"/>
      <c r="F20" s="948"/>
      <c r="G20" s="950"/>
      <c r="H20" s="952"/>
      <c r="I20" s="849"/>
      <c r="J20" s="954"/>
      <c r="K20" s="478"/>
    </row>
    <row r="21" spans="1:11" ht="24.75" customHeight="1" x14ac:dyDescent="0.3">
      <c r="A21" s="630">
        <f>A17+1</f>
        <v>10</v>
      </c>
      <c r="B21" s="704" t="s">
        <v>1977</v>
      </c>
      <c r="C21" s="442" t="s">
        <v>17</v>
      </c>
      <c r="D21" s="703">
        <v>10.72</v>
      </c>
      <c r="E21" s="647">
        <f t="shared" ref="E21:E23" si="6">ROUND(F21/D21,2)</f>
        <v>619.16</v>
      </c>
      <c r="F21" s="697">
        <v>6637.38</v>
      </c>
      <c r="G21" s="552">
        <v>1480.83</v>
      </c>
      <c r="H21" s="619">
        <f t="shared" si="1"/>
        <v>15874.5</v>
      </c>
      <c r="I21" s="482">
        <f t="shared" ref="I21:I23" si="7">E21-G21</f>
        <v>-861.67</v>
      </c>
      <c r="J21" s="701">
        <f>F21-H21</f>
        <v>-9237.119999999999</v>
      </c>
      <c r="K21" s="478"/>
    </row>
    <row r="22" spans="1:11" ht="31.5" customHeight="1" x14ac:dyDescent="0.3">
      <c r="A22" s="630">
        <f>A21+1</f>
        <v>11</v>
      </c>
      <c r="B22" s="704" t="s">
        <v>1978</v>
      </c>
      <c r="C22" s="661" t="s">
        <v>17</v>
      </c>
      <c r="D22" s="703">
        <v>40.119999999999997</v>
      </c>
      <c r="E22" s="647">
        <f t="shared" si="6"/>
        <v>86.71</v>
      </c>
      <c r="F22" s="697">
        <v>3478.78</v>
      </c>
      <c r="G22" s="552">
        <v>260</v>
      </c>
      <c r="H22" s="619">
        <f t="shared" si="1"/>
        <v>10431.200000000001</v>
      </c>
      <c r="I22" s="482">
        <f t="shared" si="7"/>
        <v>-173.29000000000002</v>
      </c>
      <c r="J22" s="701">
        <f t="shared" si="3"/>
        <v>-6952.42</v>
      </c>
      <c r="K22" s="478"/>
    </row>
    <row r="23" spans="1:11" ht="33" customHeight="1" x14ac:dyDescent="0.3">
      <c r="A23" s="630">
        <f>A22+1</f>
        <v>12</v>
      </c>
      <c r="B23" s="704" t="s">
        <v>1979</v>
      </c>
      <c r="C23" s="662" t="s">
        <v>1964</v>
      </c>
      <c r="D23" s="703">
        <v>82.65</v>
      </c>
      <c r="E23" s="647">
        <f t="shared" si="6"/>
        <v>47.17</v>
      </c>
      <c r="F23" s="697">
        <v>3898.55</v>
      </c>
      <c r="G23" s="552">
        <v>220</v>
      </c>
      <c r="H23" s="619">
        <f t="shared" si="1"/>
        <v>18183</v>
      </c>
      <c r="I23" s="482">
        <f t="shared" si="7"/>
        <v>-172.82999999999998</v>
      </c>
      <c r="J23" s="701">
        <f t="shared" si="3"/>
        <v>-14284.45</v>
      </c>
      <c r="K23" s="478"/>
    </row>
    <row r="24" spans="1:11" ht="21" customHeight="1" x14ac:dyDescent="0.3">
      <c r="A24" s="910">
        <f>A23+1</f>
        <v>13</v>
      </c>
      <c r="B24" s="707" t="s">
        <v>1980</v>
      </c>
      <c r="C24" s="956" t="s">
        <v>17</v>
      </c>
      <c r="D24" s="958">
        <v>40.119999999999997</v>
      </c>
      <c r="E24" s="916">
        <f>ROUND(F24/D24,2)</f>
        <v>619.13</v>
      </c>
      <c r="F24" s="947">
        <v>24839.68</v>
      </c>
      <c r="G24" s="949">
        <v>1030</v>
      </c>
      <c r="H24" s="951">
        <f>ROUND(G24*D24,2)</f>
        <v>41323.599999999999</v>
      </c>
      <c r="I24" s="848">
        <f>E24-G24-G25</f>
        <v>-410.87</v>
      </c>
      <c r="J24" s="953">
        <f>F24-H24-H25</f>
        <v>-16483.919999999998</v>
      </c>
      <c r="K24" s="478"/>
    </row>
    <row r="25" spans="1:11" ht="21" customHeight="1" x14ac:dyDescent="0.3">
      <c r="A25" s="911"/>
      <c r="B25" s="707" t="s">
        <v>1981</v>
      </c>
      <c r="C25" s="957"/>
      <c r="D25" s="959"/>
      <c r="E25" s="917"/>
      <c r="F25" s="948"/>
      <c r="G25" s="950"/>
      <c r="H25" s="952"/>
      <c r="I25" s="849"/>
      <c r="J25" s="954"/>
      <c r="K25" s="478"/>
    </row>
    <row r="26" spans="1:11" ht="23.25" customHeight="1" x14ac:dyDescent="0.3">
      <c r="A26" s="630">
        <f>A24+1</f>
        <v>14</v>
      </c>
      <c r="B26" s="699" t="s">
        <v>1982</v>
      </c>
      <c r="C26" s="442" t="s">
        <v>17</v>
      </c>
      <c r="D26" s="703">
        <v>10.58</v>
      </c>
      <c r="E26" s="647">
        <f t="shared" ref="E26:E30" si="8">ROUND(F26/D26,2)</f>
        <v>1122.6099999999999</v>
      </c>
      <c r="F26" s="697">
        <v>11877.2</v>
      </c>
      <c r="G26" s="552">
        <v>2397.5</v>
      </c>
      <c r="H26" s="619">
        <f t="shared" si="1"/>
        <v>25365.55</v>
      </c>
      <c r="I26" s="482">
        <f>E26-G26</f>
        <v>-1274.8900000000001</v>
      </c>
      <c r="J26" s="701">
        <f t="shared" si="3"/>
        <v>-13488.349999999999</v>
      </c>
      <c r="K26" s="478"/>
    </row>
    <row r="27" spans="1:11" ht="31.5" customHeight="1" x14ac:dyDescent="0.3">
      <c r="A27" s="630">
        <f>A26+1</f>
        <v>15</v>
      </c>
      <c r="B27" s="699" t="s">
        <v>1983</v>
      </c>
      <c r="C27" s="442" t="s">
        <v>17</v>
      </c>
      <c r="D27" s="703">
        <v>10.58</v>
      </c>
      <c r="E27" s="647">
        <f t="shared" si="8"/>
        <v>96.16</v>
      </c>
      <c r="F27" s="697">
        <f>100+917.34</f>
        <v>1017.34</v>
      </c>
      <c r="G27" s="552">
        <v>260</v>
      </c>
      <c r="H27" s="619">
        <f t="shared" si="1"/>
        <v>2750.8</v>
      </c>
      <c r="I27" s="482">
        <f t="shared" ref="I27:J74" si="9">E27-G27</f>
        <v>-163.84</v>
      </c>
      <c r="J27" s="701">
        <f t="shared" si="3"/>
        <v>-1733.46</v>
      </c>
      <c r="K27" s="478"/>
    </row>
    <row r="28" spans="1:11" ht="31.5" customHeight="1" x14ac:dyDescent="0.3">
      <c r="A28" s="630">
        <f t="shared" ref="A28:A29" si="10">A27+1</f>
        <v>16</v>
      </c>
      <c r="B28" s="699" t="s">
        <v>1984</v>
      </c>
      <c r="C28" s="662" t="s">
        <v>1964</v>
      </c>
      <c r="D28" s="703">
        <f>D27*2.06</f>
        <v>21.794800000000002</v>
      </c>
      <c r="E28" s="647">
        <f t="shared" si="8"/>
        <v>47.16</v>
      </c>
      <c r="F28" s="697">
        <v>1027.82</v>
      </c>
      <c r="G28" s="552">
        <v>220</v>
      </c>
      <c r="H28" s="619">
        <f t="shared" si="1"/>
        <v>4794.8599999999997</v>
      </c>
      <c r="I28" s="482">
        <f t="shared" si="9"/>
        <v>-172.84</v>
      </c>
      <c r="J28" s="701">
        <f t="shared" si="3"/>
        <v>-3767.04</v>
      </c>
      <c r="K28" s="478"/>
    </row>
    <row r="29" spans="1:11" ht="31.5" customHeight="1" x14ac:dyDescent="0.3">
      <c r="A29" s="630">
        <f t="shared" si="10"/>
        <v>17</v>
      </c>
      <c r="B29" s="699" t="s">
        <v>1985</v>
      </c>
      <c r="C29" s="442" t="s">
        <v>17</v>
      </c>
      <c r="D29" s="703">
        <v>10.58</v>
      </c>
      <c r="E29" s="647">
        <f t="shared" si="8"/>
        <v>86.71</v>
      </c>
      <c r="F29" s="697">
        <v>917.34</v>
      </c>
      <c r="G29" s="552">
        <v>260</v>
      </c>
      <c r="H29" s="619">
        <f t="shared" si="1"/>
        <v>2750.8</v>
      </c>
      <c r="I29" s="482">
        <f t="shared" si="9"/>
        <v>-173.29000000000002</v>
      </c>
      <c r="J29" s="701">
        <f t="shared" si="3"/>
        <v>-1833.46</v>
      </c>
      <c r="K29" s="478"/>
    </row>
    <row r="30" spans="1:11" ht="31.5" customHeight="1" x14ac:dyDescent="0.3">
      <c r="A30" s="630">
        <f>A29+1</f>
        <v>18</v>
      </c>
      <c r="B30" s="704" t="s">
        <v>1979</v>
      </c>
      <c r="C30" s="662" t="s">
        <v>1964</v>
      </c>
      <c r="D30" s="703">
        <f>D28</f>
        <v>21.794800000000002</v>
      </c>
      <c r="E30" s="647">
        <f t="shared" si="8"/>
        <v>47.16</v>
      </c>
      <c r="F30" s="697">
        <v>1027.82</v>
      </c>
      <c r="G30" s="552">
        <v>220</v>
      </c>
      <c r="H30" s="619">
        <f t="shared" si="1"/>
        <v>4794.8599999999997</v>
      </c>
      <c r="I30" s="482">
        <f t="shared" si="9"/>
        <v>-172.84</v>
      </c>
      <c r="J30" s="701">
        <f t="shared" si="3"/>
        <v>-3767.04</v>
      </c>
      <c r="K30" s="478"/>
    </row>
    <row r="31" spans="1:11" ht="21" customHeight="1" x14ac:dyDescent="0.3">
      <c r="A31" s="910">
        <f>A30+1</f>
        <v>19</v>
      </c>
      <c r="B31" s="704" t="s">
        <v>1986</v>
      </c>
      <c r="C31" s="956" t="s">
        <v>17</v>
      </c>
      <c r="D31" s="956">
        <v>10.58</v>
      </c>
      <c r="E31" s="916">
        <f>ROUND(F31/D31,2)</f>
        <v>619.15</v>
      </c>
      <c r="F31" s="968">
        <v>6550.59</v>
      </c>
      <c r="G31" s="949">
        <v>1030</v>
      </c>
      <c r="H31" s="951">
        <f>ROUND(G31*D31+G32*D31,2)</f>
        <v>10897.4</v>
      </c>
      <c r="I31" s="848">
        <f t="shared" si="9"/>
        <v>-410.85</v>
      </c>
      <c r="J31" s="953">
        <f>F31-H31-F32</f>
        <v>-4346.8099999999995</v>
      </c>
      <c r="K31" s="478"/>
    </row>
    <row r="32" spans="1:11" ht="21" customHeight="1" x14ac:dyDescent="0.3">
      <c r="A32" s="911"/>
      <c r="B32" s="704" t="s">
        <v>1987</v>
      </c>
      <c r="C32" s="957"/>
      <c r="D32" s="957">
        <v>10.58</v>
      </c>
      <c r="E32" s="917"/>
      <c r="F32" s="969"/>
      <c r="G32" s="950"/>
      <c r="H32" s="952"/>
      <c r="I32" s="849"/>
      <c r="J32" s="954"/>
      <c r="K32" s="478"/>
    </row>
    <row r="33" spans="1:12" s="692" customFormat="1" ht="21" customHeight="1" x14ac:dyDescent="0.3">
      <c r="A33" s="693"/>
      <c r="B33" s="965" t="s">
        <v>1988</v>
      </c>
      <c r="C33" s="966"/>
      <c r="D33" s="966"/>
      <c r="E33" s="966"/>
      <c r="F33" s="966"/>
      <c r="G33" s="966"/>
      <c r="H33" s="966"/>
      <c r="I33" s="966"/>
      <c r="J33" s="967"/>
      <c r="K33" s="690"/>
      <c r="L33" s="691"/>
    </row>
    <row r="34" spans="1:12" ht="20.25" customHeight="1" x14ac:dyDescent="0.3">
      <c r="A34" s="708">
        <f>A31+1</f>
        <v>20</v>
      </c>
      <c r="B34" s="709" t="s">
        <v>1989</v>
      </c>
      <c r="C34" s="710" t="s">
        <v>5</v>
      </c>
      <c r="D34" s="711">
        <v>30</v>
      </c>
      <c r="E34" s="647">
        <f>ROUND(F34/D34,2)</f>
        <v>350.53</v>
      </c>
      <c r="F34" s="697">
        <v>10515.96</v>
      </c>
      <c r="G34" s="793">
        <v>350</v>
      </c>
      <c r="H34" s="768">
        <f t="shared" ref="H34:H51" si="11">ROUND(G34*D34,2)</f>
        <v>10500</v>
      </c>
      <c r="I34" s="642">
        <f>E34-G34</f>
        <v>0.52999999999997272</v>
      </c>
      <c r="J34" s="698">
        <f>F34-H34</f>
        <v>15.959999999999127</v>
      </c>
      <c r="K34" s="478"/>
    </row>
    <row r="35" spans="1:12" ht="31.5" customHeight="1" x14ac:dyDescent="0.3">
      <c r="A35" s="630">
        <f>A34+1</f>
        <v>21</v>
      </c>
      <c r="B35" s="706" t="s">
        <v>1990</v>
      </c>
      <c r="C35" s="662" t="s">
        <v>5</v>
      </c>
      <c r="D35" s="712">
        <v>447</v>
      </c>
      <c r="E35" s="647">
        <f t="shared" ref="E35:E51" si="12">ROUND(F35/D35,2)</f>
        <v>106.91</v>
      </c>
      <c r="F35" s="697">
        <v>47790.32</v>
      </c>
      <c r="G35" s="767">
        <v>322.56</v>
      </c>
      <c r="H35" s="768">
        <f t="shared" si="11"/>
        <v>144184.32000000001</v>
      </c>
      <c r="I35" s="482">
        <f>E35-G35</f>
        <v>-215.65</v>
      </c>
      <c r="J35" s="701">
        <f>F35-H35</f>
        <v>-96394</v>
      </c>
      <c r="K35" s="478"/>
    </row>
    <row r="36" spans="1:12" ht="21" customHeight="1" x14ac:dyDescent="0.3">
      <c r="A36" s="630">
        <f t="shared" ref="A36:A58" si="13">A35+1</f>
        <v>22</v>
      </c>
      <c r="B36" s="706" t="s">
        <v>1991</v>
      </c>
      <c r="C36" s="662" t="s">
        <v>40</v>
      </c>
      <c r="D36" s="712">
        <v>60</v>
      </c>
      <c r="E36" s="647">
        <f t="shared" si="12"/>
        <v>1181.24</v>
      </c>
      <c r="F36" s="697">
        <v>70874.570000000007</v>
      </c>
      <c r="G36" s="767">
        <v>1181.24</v>
      </c>
      <c r="H36" s="768">
        <f>ROUND(G36*D36,2)+0.17</f>
        <v>70874.569999999992</v>
      </c>
      <c r="I36" s="482">
        <f t="shared" si="9"/>
        <v>0</v>
      </c>
      <c r="J36" s="701">
        <f t="shared" si="3"/>
        <v>0</v>
      </c>
    </row>
    <row r="37" spans="1:12" ht="21.75" customHeight="1" x14ac:dyDescent="0.3">
      <c r="A37" s="630">
        <f t="shared" si="13"/>
        <v>23</v>
      </c>
      <c r="B37" s="706" t="s">
        <v>1992</v>
      </c>
      <c r="C37" s="662" t="s">
        <v>5</v>
      </c>
      <c r="D37" s="712">
        <v>27</v>
      </c>
      <c r="E37" s="647">
        <f t="shared" si="12"/>
        <v>224.96</v>
      </c>
      <c r="F37" s="697">
        <v>6073.87</v>
      </c>
      <c r="G37" s="767">
        <v>224.96</v>
      </c>
      <c r="H37" s="768">
        <f>ROUND(G37*D37,2)-0.05</f>
        <v>6073.87</v>
      </c>
      <c r="I37" s="482">
        <f t="shared" si="9"/>
        <v>0</v>
      </c>
      <c r="J37" s="701">
        <f t="shared" si="3"/>
        <v>0</v>
      </c>
    </row>
    <row r="38" spans="1:12" ht="23.25" customHeight="1" x14ac:dyDescent="0.3">
      <c r="A38" s="630">
        <f t="shared" si="13"/>
        <v>24</v>
      </c>
      <c r="B38" s="704" t="s">
        <v>1993</v>
      </c>
      <c r="C38" s="662" t="s">
        <v>1968</v>
      </c>
      <c r="D38" s="705">
        <v>16</v>
      </c>
      <c r="E38" s="647">
        <f t="shared" si="12"/>
        <v>322.56</v>
      </c>
      <c r="F38" s="697">
        <v>5160.9399999999996</v>
      </c>
      <c r="G38" s="767">
        <v>322.56</v>
      </c>
      <c r="H38" s="768">
        <f>ROUND(G38*D38,2)-0.02</f>
        <v>5160.9399999999996</v>
      </c>
      <c r="I38" s="482">
        <f t="shared" si="9"/>
        <v>0</v>
      </c>
      <c r="J38" s="701">
        <f t="shared" si="3"/>
        <v>0</v>
      </c>
    </row>
    <row r="39" spans="1:12" ht="23.25" customHeight="1" x14ac:dyDescent="0.3">
      <c r="A39" s="630">
        <f t="shared" si="13"/>
        <v>25</v>
      </c>
      <c r="B39" s="706" t="s">
        <v>1994</v>
      </c>
      <c r="C39" s="662" t="s">
        <v>1975</v>
      </c>
      <c r="D39" s="705">
        <v>3</v>
      </c>
      <c r="E39" s="647">
        <f t="shared" si="12"/>
        <v>4784.42</v>
      </c>
      <c r="F39" s="697">
        <v>14353.26</v>
      </c>
      <c r="G39" s="767">
        <f>ROUND(E39*2.16,2)</f>
        <v>10334.35</v>
      </c>
      <c r="H39" s="768">
        <f t="shared" si="11"/>
        <v>31003.05</v>
      </c>
      <c r="I39" s="482">
        <f t="shared" si="9"/>
        <v>-5549.93</v>
      </c>
      <c r="J39" s="701">
        <f t="shared" si="3"/>
        <v>-16649.79</v>
      </c>
    </row>
    <row r="40" spans="1:12" ht="20.25" customHeight="1" x14ac:dyDescent="0.3">
      <c r="A40" s="630">
        <f t="shared" si="13"/>
        <v>26</v>
      </c>
      <c r="B40" s="704" t="s">
        <v>1995</v>
      </c>
      <c r="C40" s="662" t="s">
        <v>1975</v>
      </c>
      <c r="D40" s="705">
        <v>12</v>
      </c>
      <c r="E40" s="647">
        <f t="shared" si="12"/>
        <v>2963.03</v>
      </c>
      <c r="F40" s="697">
        <v>35556.35</v>
      </c>
      <c r="G40" s="767">
        <f>ROUND(E40*2.12,2)</f>
        <v>6281.62</v>
      </c>
      <c r="H40" s="768">
        <f t="shared" si="11"/>
        <v>75379.44</v>
      </c>
      <c r="I40" s="482">
        <f t="shared" si="9"/>
        <v>-3318.5899999999997</v>
      </c>
      <c r="J40" s="701">
        <f t="shared" si="3"/>
        <v>-39823.090000000004</v>
      </c>
    </row>
    <row r="41" spans="1:12" ht="24" customHeight="1" x14ac:dyDescent="0.3">
      <c r="A41" s="630">
        <f t="shared" si="13"/>
        <v>27</v>
      </c>
      <c r="B41" s="706" t="s">
        <v>1996</v>
      </c>
      <c r="C41" s="662" t="s">
        <v>1975</v>
      </c>
      <c r="D41" s="705">
        <v>12</v>
      </c>
      <c r="E41" s="647">
        <f t="shared" si="12"/>
        <v>6376.03</v>
      </c>
      <c r="F41" s="697">
        <v>76512.36</v>
      </c>
      <c r="G41" s="767">
        <v>6000</v>
      </c>
      <c r="H41" s="768">
        <f t="shared" si="11"/>
        <v>72000</v>
      </c>
      <c r="I41" s="482">
        <f t="shared" si="9"/>
        <v>376.02999999999975</v>
      </c>
      <c r="J41" s="701">
        <f t="shared" si="3"/>
        <v>4512.3600000000006</v>
      </c>
      <c r="K41" s="478"/>
    </row>
    <row r="42" spans="1:12" s="484" customFormat="1" ht="21.75" customHeight="1" x14ac:dyDescent="0.3">
      <c r="A42" s="630">
        <f t="shared" si="13"/>
        <v>28</v>
      </c>
      <c r="B42" s="704" t="s">
        <v>1997</v>
      </c>
      <c r="C42" s="662" t="s">
        <v>1975</v>
      </c>
      <c r="D42" s="705">
        <v>53</v>
      </c>
      <c r="E42" s="647">
        <f t="shared" si="12"/>
        <v>853.24</v>
      </c>
      <c r="F42" s="697">
        <v>45221.5</v>
      </c>
      <c r="G42" s="767">
        <v>511.94</v>
      </c>
      <c r="H42" s="768">
        <f t="shared" si="11"/>
        <v>27132.82</v>
      </c>
      <c r="I42" s="482">
        <f t="shared" si="9"/>
        <v>341.3</v>
      </c>
      <c r="J42" s="701">
        <f t="shared" si="3"/>
        <v>18088.68</v>
      </c>
      <c r="K42" s="491"/>
      <c r="L42" s="713"/>
    </row>
    <row r="43" spans="1:12" ht="19.5" customHeight="1" x14ac:dyDescent="0.3">
      <c r="A43" s="630">
        <f t="shared" si="13"/>
        <v>29</v>
      </c>
      <c r="B43" s="706" t="s">
        <v>1998</v>
      </c>
      <c r="C43" s="662" t="s">
        <v>1975</v>
      </c>
      <c r="D43" s="705">
        <v>54</v>
      </c>
      <c r="E43" s="647">
        <f t="shared" si="12"/>
        <v>3345.35</v>
      </c>
      <c r="F43" s="714">
        <v>180648.82</v>
      </c>
      <c r="G43" s="767">
        <v>2877.01</v>
      </c>
      <c r="H43" s="768">
        <f t="shared" si="11"/>
        <v>155358.54</v>
      </c>
      <c r="I43" s="482">
        <f t="shared" si="9"/>
        <v>468.33999999999969</v>
      </c>
      <c r="J43" s="701">
        <f t="shared" si="3"/>
        <v>25290.28</v>
      </c>
      <c r="K43" s="478" t="s">
        <v>1999</v>
      </c>
    </row>
    <row r="44" spans="1:12" ht="33" customHeight="1" x14ac:dyDescent="0.3">
      <c r="A44" s="630">
        <f t="shared" si="13"/>
        <v>30</v>
      </c>
      <c r="B44" s="428" t="s">
        <v>2000</v>
      </c>
      <c r="C44" s="662" t="s">
        <v>5</v>
      </c>
      <c r="D44" s="712">
        <v>598</v>
      </c>
      <c r="E44" s="647">
        <f t="shared" si="12"/>
        <v>129.18</v>
      </c>
      <c r="F44" s="697">
        <f>63988.97+13263.14</f>
        <v>77252.11</v>
      </c>
      <c r="G44" s="767">
        <v>454</v>
      </c>
      <c r="H44" s="768">
        <f t="shared" si="11"/>
        <v>271492</v>
      </c>
      <c r="I44" s="482">
        <f t="shared" si="9"/>
        <v>-324.82</v>
      </c>
      <c r="J44" s="701">
        <f t="shared" si="3"/>
        <v>-194239.89</v>
      </c>
    </row>
    <row r="45" spans="1:12" ht="21.75" customHeight="1" x14ac:dyDescent="0.3">
      <c r="A45" s="630">
        <f t="shared" si="13"/>
        <v>31</v>
      </c>
      <c r="B45" s="706" t="s">
        <v>2001</v>
      </c>
      <c r="C45" s="662" t="s">
        <v>40</v>
      </c>
      <c r="D45" s="712">
        <v>3</v>
      </c>
      <c r="E45" s="647">
        <f t="shared" si="12"/>
        <v>752.35</v>
      </c>
      <c r="F45" s="697">
        <v>2257.06</v>
      </c>
      <c r="G45" s="767">
        <f>ROUND(E45*3.92,2)</f>
        <v>2949.21</v>
      </c>
      <c r="H45" s="768">
        <f t="shared" si="11"/>
        <v>8847.6299999999992</v>
      </c>
      <c r="I45" s="482">
        <f t="shared" si="9"/>
        <v>-2196.86</v>
      </c>
      <c r="J45" s="701">
        <f t="shared" si="3"/>
        <v>-6590.57</v>
      </c>
    </row>
    <row r="46" spans="1:12" ht="21.75" customHeight="1" x14ac:dyDescent="0.3">
      <c r="A46" s="630">
        <f t="shared" si="13"/>
        <v>32</v>
      </c>
      <c r="B46" s="706" t="s">
        <v>2002</v>
      </c>
      <c r="C46" s="702" t="s">
        <v>40</v>
      </c>
      <c r="D46" s="712">
        <v>9</v>
      </c>
      <c r="E46" s="647">
        <f t="shared" si="12"/>
        <v>3208.86</v>
      </c>
      <c r="F46" s="697">
        <v>28879.77</v>
      </c>
      <c r="G46" s="767">
        <v>5000</v>
      </c>
      <c r="H46" s="768">
        <f t="shared" si="11"/>
        <v>45000</v>
      </c>
      <c r="I46" s="482">
        <f t="shared" si="9"/>
        <v>-1791.1399999999999</v>
      </c>
      <c r="J46" s="701">
        <f t="shared" si="3"/>
        <v>-16120.23</v>
      </c>
    </row>
    <row r="47" spans="1:12" ht="23.25" customHeight="1" x14ac:dyDescent="0.3">
      <c r="A47" s="630">
        <f t="shared" si="13"/>
        <v>33</v>
      </c>
      <c r="B47" s="706" t="s">
        <v>2003</v>
      </c>
      <c r="C47" s="702" t="s">
        <v>40</v>
      </c>
      <c r="D47" s="712">
        <v>61</v>
      </c>
      <c r="E47" s="647">
        <f t="shared" si="12"/>
        <v>311.49</v>
      </c>
      <c r="F47" s="697">
        <v>19001.02</v>
      </c>
      <c r="G47" s="767">
        <v>511.94</v>
      </c>
      <c r="H47" s="768">
        <f t="shared" si="11"/>
        <v>31228.34</v>
      </c>
      <c r="I47" s="482">
        <f t="shared" si="9"/>
        <v>-200.45</v>
      </c>
      <c r="J47" s="701">
        <f t="shared" si="3"/>
        <v>-12227.32</v>
      </c>
    </row>
    <row r="48" spans="1:12" ht="35.25" customHeight="1" x14ac:dyDescent="0.3">
      <c r="A48" s="630">
        <f t="shared" si="13"/>
        <v>34</v>
      </c>
      <c r="B48" s="704" t="s">
        <v>2004</v>
      </c>
      <c r="C48" s="662" t="s">
        <v>1968</v>
      </c>
      <c r="D48" s="705">
        <v>1397</v>
      </c>
      <c r="E48" s="647">
        <f t="shared" si="12"/>
        <v>479.81</v>
      </c>
      <c r="F48" s="697">
        <v>670300.06000000006</v>
      </c>
      <c r="G48" s="767">
        <v>479</v>
      </c>
      <c r="H48" s="768">
        <f t="shared" si="11"/>
        <v>669163</v>
      </c>
      <c r="I48" s="482">
        <f t="shared" si="9"/>
        <v>0.81000000000000227</v>
      </c>
      <c r="J48" s="701">
        <f t="shared" si="3"/>
        <v>1137.0600000000559</v>
      </c>
    </row>
    <row r="49" spans="1:11" ht="31.2" x14ac:dyDescent="0.3">
      <c r="A49" s="630">
        <f t="shared" si="13"/>
        <v>35</v>
      </c>
      <c r="B49" s="704" t="s">
        <v>2005</v>
      </c>
      <c r="C49" s="661" t="s">
        <v>5</v>
      </c>
      <c r="D49" s="705">
        <v>144</v>
      </c>
      <c r="E49" s="647">
        <f t="shared" si="12"/>
        <v>142.41</v>
      </c>
      <c r="F49" s="697">
        <v>20506.61</v>
      </c>
      <c r="G49" s="767">
        <v>140</v>
      </c>
      <c r="H49" s="768">
        <f t="shared" si="11"/>
        <v>20160</v>
      </c>
      <c r="I49" s="482">
        <f t="shared" si="9"/>
        <v>2.4099999999999966</v>
      </c>
      <c r="J49" s="701">
        <f t="shared" si="3"/>
        <v>346.61000000000058</v>
      </c>
    </row>
    <row r="50" spans="1:11" ht="46.8" x14ac:dyDescent="0.3">
      <c r="A50" s="630">
        <f t="shared" si="13"/>
        <v>36</v>
      </c>
      <c r="B50" s="704" t="s">
        <v>2006</v>
      </c>
      <c r="C50" s="662" t="s">
        <v>1968</v>
      </c>
      <c r="D50" s="705">
        <v>729</v>
      </c>
      <c r="E50" s="647">
        <f t="shared" si="12"/>
        <v>106.91</v>
      </c>
      <c r="F50" s="697">
        <v>77939.929999999993</v>
      </c>
      <c r="G50" s="767">
        <v>322.56</v>
      </c>
      <c r="H50" s="768">
        <f t="shared" si="11"/>
        <v>235146.23999999999</v>
      </c>
      <c r="I50" s="482">
        <f t="shared" si="9"/>
        <v>-215.65</v>
      </c>
      <c r="J50" s="701">
        <f t="shared" si="3"/>
        <v>-157206.31</v>
      </c>
    </row>
    <row r="51" spans="1:11" ht="23.25" customHeight="1" x14ac:dyDescent="0.3">
      <c r="A51" s="630">
        <f t="shared" si="13"/>
        <v>37</v>
      </c>
      <c r="B51" s="704" t="s">
        <v>2007</v>
      </c>
      <c r="C51" s="662" t="s">
        <v>1975</v>
      </c>
      <c r="D51" s="705">
        <v>9</v>
      </c>
      <c r="E51" s="647">
        <f t="shared" si="12"/>
        <v>6364.09</v>
      </c>
      <c r="F51" s="697">
        <f>44543.02/12*D51+31826.03/12*D51</f>
        <v>57276.787499999999</v>
      </c>
      <c r="G51" s="767">
        <v>10425</v>
      </c>
      <c r="H51" s="768">
        <f t="shared" si="11"/>
        <v>93825</v>
      </c>
      <c r="I51" s="482">
        <f t="shared" si="9"/>
        <v>-4060.91</v>
      </c>
      <c r="J51" s="701">
        <f t="shared" si="3"/>
        <v>-36548.212500000001</v>
      </c>
    </row>
    <row r="52" spans="1:11" ht="23.25" customHeight="1" x14ac:dyDescent="0.3">
      <c r="A52" s="910">
        <f>A51+1</f>
        <v>38</v>
      </c>
      <c r="B52" s="704" t="s">
        <v>2008</v>
      </c>
      <c r="C52" s="702" t="s">
        <v>1975</v>
      </c>
      <c r="D52" s="705">
        <v>3</v>
      </c>
      <c r="E52" s="916">
        <f>ROUND(F52/D52,2)</f>
        <v>6105.21</v>
      </c>
      <c r="F52" s="947">
        <f>ROUND(44543.02/12*D52+31826.03/12*D52,2)-776.62</f>
        <v>18315.64</v>
      </c>
      <c r="G52" s="858">
        <f>ROUND(G51*1.15,2)</f>
        <v>11988.75</v>
      </c>
      <c r="H52" s="899">
        <f>ROUND(G52*D52+G53*D53,2)</f>
        <v>35966.25</v>
      </c>
      <c r="I52" s="848">
        <f>E52-G52-G53</f>
        <v>-5883.54</v>
      </c>
      <c r="J52" s="953">
        <f>F52-H52-H53</f>
        <v>-17650.61</v>
      </c>
    </row>
    <row r="53" spans="1:11" x14ac:dyDescent="0.3">
      <c r="A53" s="911"/>
      <c r="B53" s="704" t="s">
        <v>2009</v>
      </c>
      <c r="C53" s="662" t="s">
        <v>1975</v>
      </c>
      <c r="D53" s="705">
        <v>3</v>
      </c>
      <c r="E53" s="917"/>
      <c r="F53" s="948"/>
      <c r="G53" s="859"/>
      <c r="H53" s="901"/>
      <c r="I53" s="849"/>
      <c r="J53" s="954"/>
    </row>
    <row r="54" spans="1:11" x14ac:dyDescent="0.3">
      <c r="A54" s="910">
        <f>A52+1</f>
        <v>39</v>
      </c>
      <c r="B54" s="704" t="s">
        <v>2010</v>
      </c>
      <c r="C54" s="702" t="s">
        <v>1975</v>
      </c>
      <c r="D54" s="705">
        <v>3</v>
      </c>
      <c r="E54" s="916">
        <f>ROUND(F54/D54,2)</f>
        <v>35761.54</v>
      </c>
      <c r="F54" s="947">
        <v>107284.61</v>
      </c>
      <c r="G54" s="858">
        <f>ROUND(E54*1.8,2)</f>
        <v>64370.77</v>
      </c>
      <c r="H54" s="899">
        <f>ROUND(G54*D54+G55*D55,2)</f>
        <v>193112.31</v>
      </c>
      <c r="I54" s="848">
        <f>E54-G54-G55</f>
        <v>-28609.229999999996</v>
      </c>
      <c r="J54" s="953">
        <f>F54-H54-H55</f>
        <v>-85827.7</v>
      </c>
    </row>
    <row r="55" spans="1:11" x14ac:dyDescent="0.3">
      <c r="A55" s="911"/>
      <c r="B55" s="704" t="s">
        <v>2009</v>
      </c>
      <c r="C55" s="662" t="s">
        <v>1975</v>
      </c>
      <c r="D55" s="705">
        <v>3</v>
      </c>
      <c r="E55" s="917"/>
      <c r="F55" s="948"/>
      <c r="G55" s="859"/>
      <c r="H55" s="901"/>
      <c r="I55" s="849"/>
      <c r="J55" s="954"/>
    </row>
    <row r="56" spans="1:11" x14ac:dyDescent="0.3">
      <c r="A56" s="630">
        <f>A54+1</f>
        <v>40</v>
      </c>
      <c r="B56" s="704" t="s">
        <v>2011</v>
      </c>
      <c r="C56" s="662" t="s">
        <v>1975</v>
      </c>
      <c r="D56" s="705">
        <v>3</v>
      </c>
      <c r="E56" s="647">
        <f t="shared" ref="E56:E58" si="14">ROUND(F56/D56,2)</f>
        <v>16809.61</v>
      </c>
      <c r="F56" s="697">
        <v>50428.82</v>
      </c>
      <c r="G56" s="767">
        <v>15000</v>
      </c>
      <c r="H56" s="768">
        <f t="shared" ref="H56:H58" si="15">ROUND(G56*D56,2)</f>
        <v>45000</v>
      </c>
      <c r="I56" s="482">
        <f t="shared" si="9"/>
        <v>1809.6100000000006</v>
      </c>
      <c r="J56" s="701">
        <f t="shared" si="3"/>
        <v>5428.82</v>
      </c>
    </row>
    <row r="57" spans="1:11" x14ac:dyDescent="0.3">
      <c r="A57" s="630">
        <f t="shared" si="13"/>
        <v>41</v>
      </c>
      <c r="B57" s="704" t="s">
        <v>2012</v>
      </c>
      <c r="C57" s="662" t="s">
        <v>1975</v>
      </c>
      <c r="D57" s="705">
        <v>3</v>
      </c>
      <c r="E57" s="647">
        <f t="shared" si="14"/>
        <v>11294.43</v>
      </c>
      <c r="F57" s="697">
        <v>33883.29</v>
      </c>
      <c r="G57" s="767">
        <v>15000</v>
      </c>
      <c r="H57" s="768">
        <f t="shared" si="15"/>
        <v>45000</v>
      </c>
      <c r="I57" s="482">
        <f t="shared" si="9"/>
        <v>-3705.5699999999997</v>
      </c>
      <c r="J57" s="701">
        <f t="shared" si="3"/>
        <v>-11116.71</v>
      </c>
    </row>
    <row r="58" spans="1:11" x14ac:dyDescent="0.3">
      <c r="A58" s="630">
        <f t="shared" si="13"/>
        <v>42</v>
      </c>
      <c r="B58" s="704" t="s">
        <v>2013</v>
      </c>
      <c r="C58" s="702" t="s">
        <v>1975</v>
      </c>
      <c r="D58" s="705">
        <v>1</v>
      </c>
      <c r="E58" s="647">
        <f t="shared" si="14"/>
        <v>73550.600000000006</v>
      </c>
      <c r="F58" s="697">
        <v>73550.600000000006</v>
      </c>
      <c r="G58" s="767">
        <f>ROUND(E58*2.34,2)</f>
        <v>172108.4</v>
      </c>
      <c r="H58" s="768">
        <f t="shared" si="15"/>
        <v>172108.4</v>
      </c>
      <c r="I58" s="482">
        <f t="shared" si="9"/>
        <v>-98557.799999999988</v>
      </c>
      <c r="J58" s="701">
        <f t="shared" si="3"/>
        <v>-98557.799999999988</v>
      </c>
    </row>
    <row r="59" spans="1:11" x14ac:dyDescent="0.3">
      <c r="A59" s="910">
        <f>A58+1</f>
        <v>43</v>
      </c>
      <c r="B59" s="704" t="s">
        <v>2014</v>
      </c>
      <c r="C59" s="662" t="s">
        <v>1975</v>
      </c>
      <c r="D59" s="705">
        <v>219</v>
      </c>
      <c r="E59" s="916">
        <f>ROUND(F59/(D59+D61),2)</f>
        <v>35.520000000000003</v>
      </c>
      <c r="F59" s="947">
        <f>10015.32</f>
        <v>10015.32</v>
      </c>
      <c r="G59" s="858">
        <v>448</v>
      </c>
      <c r="H59" s="899">
        <f>ROUND(G59*D59+D60*G60+D61*G61+D62*G62,2)</f>
        <v>98112</v>
      </c>
      <c r="I59" s="848">
        <f>E59-G59-G60-G61-G62</f>
        <v>-412.48</v>
      </c>
      <c r="J59" s="953">
        <f>F59-H59-H61-H60-H62</f>
        <v>-88096.68</v>
      </c>
    </row>
    <row r="60" spans="1:11" x14ac:dyDescent="0.3">
      <c r="A60" s="960"/>
      <c r="B60" s="704" t="s">
        <v>2015</v>
      </c>
      <c r="C60" s="662" t="s">
        <v>1975</v>
      </c>
      <c r="D60" s="705">
        <v>3</v>
      </c>
      <c r="E60" s="961"/>
      <c r="F60" s="962"/>
      <c r="G60" s="970"/>
      <c r="H60" s="900"/>
      <c r="I60" s="895"/>
      <c r="J60" s="955"/>
    </row>
    <row r="61" spans="1:11" x14ac:dyDescent="0.3">
      <c r="A61" s="960"/>
      <c r="B61" s="704" t="s">
        <v>2016</v>
      </c>
      <c r="C61" s="662" t="s">
        <v>1975</v>
      </c>
      <c r="D61" s="705">
        <v>63</v>
      </c>
      <c r="E61" s="961"/>
      <c r="F61" s="962"/>
      <c r="G61" s="970"/>
      <c r="H61" s="900"/>
      <c r="I61" s="895"/>
      <c r="J61" s="955"/>
    </row>
    <row r="62" spans="1:11" x14ac:dyDescent="0.3">
      <c r="A62" s="911"/>
      <c r="B62" s="706" t="s">
        <v>2017</v>
      </c>
      <c r="C62" s="662" t="s">
        <v>1975</v>
      </c>
      <c r="D62" s="705">
        <v>3</v>
      </c>
      <c r="E62" s="917"/>
      <c r="F62" s="948"/>
      <c r="G62" s="859"/>
      <c r="H62" s="901"/>
      <c r="I62" s="849"/>
      <c r="J62" s="954"/>
    </row>
    <row r="63" spans="1:11" ht="18" customHeight="1" x14ac:dyDescent="0.3">
      <c r="A63" s="630">
        <f>A59+1</f>
        <v>44</v>
      </c>
      <c r="B63" s="715" t="s">
        <v>2018</v>
      </c>
      <c r="C63" s="662" t="s">
        <v>1975</v>
      </c>
      <c r="D63" s="705">
        <v>12</v>
      </c>
      <c r="E63" s="647">
        <f t="shared" ref="E63:E65" si="16">ROUND(F63/D63,2)</f>
        <v>0</v>
      </c>
      <c r="F63" s="697"/>
      <c r="G63" s="767">
        <v>12480</v>
      </c>
      <c r="H63" s="768">
        <f t="shared" ref="H63:H65" si="17">ROUND(G63*D63,2)</f>
        <v>149760</v>
      </c>
      <c r="I63" s="482">
        <f t="shared" si="9"/>
        <v>-12480</v>
      </c>
      <c r="J63" s="701">
        <f t="shared" si="3"/>
        <v>-149760</v>
      </c>
      <c r="K63" s="489" t="s">
        <v>2019</v>
      </c>
    </row>
    <row r="64" spans="1:11" x14ac:dyDescent="0.3">
      <c r="A64" s="630">
        <f>A63+1</f>
        <v>45</v>
      </c>
      <c r="B64" s="704" t="s">
        <v>2020</v>
      </c>
      <c r="C64" s="702" t="s">
        <v>1975</v>
      </c>
      <c r="D64" s="705">
        <v>12</v>
      </c>
      <c r="E64" s="647">
        <f t="shared" si="16"/>
        <v>548.54</v>
      </c>
      <c r="F64" s="697">
        <v>6582.47</v>
      </c>
      <c r="G64" s="767">
        <v>500</v>
      </c>
      <c r="H64" s="768">
        <f t="shared" si="17"/>
        <v>6000</v>
      </c>
      <c r="I64" s="482">
        <f t="shared" si="9"/>
        <v>48.539999999999964</v>
      </c>
      <c r="J64" s="701">
        <f t="shared" si="3"/>
        <v>582.47000000000025</v>
      </c>
    </row>
    <row r="65" spans="1:12" x14ac:dyDescent="0.3">
      <c r="A65" s="630">
        <f t="shared" ref="A65:A66" si="18">A64+1</f>
        <v>46</v>
      </c>
      <c r="B65" s="704" t="s">
        <v>2021</v>
      </c>
      <c r="C65" s="702" t="s">
        <v>1975</v>
      </c>
      <c r="D65" s="705">
        <v>6</v>
      </c>
      <c r="E65" s="647">
        <f t="shared" si="16"/>
        <v>10638.61</v>
      </c>
      <c r="F65" s="697">
        <v>63831.67</v>
      </c>
      <c r="G65" s="767">
        <f>ROUND(E65*0.75,2)</f>
        <v>7978.96</v>
      </c>
      <c r="H65" s="768">
        <f t="shared" si="17"/>
        <v>47873.760000000002</v>
      </c>
      <c r="I65" s="482">
        <f t="shared" si="9"/>
        <v>2659.6500000000005</v>
      </c>
      <c r="J65" s="701">
        <f t="shared" si="3"/>
        <v>15957.909999999996</v>
      </c>
    </row>
    <row r="66" spans="1:12" x14ac:dyDescent="0.3">
      <c r="A66" s="910">
        <f t="shared" si="18"/>
        <v>47</v>
      </c>
      <c r="B66" s="704" t="s">
        <v>2022</v>
      </c>
      <c r="C66" s="662" t="s">
        <v>1975</v>
      </c>
      <c r="D66" s="705">
        <v>1</v>
      </c>
      <c r="E66" s="916">
        <f>ROUND(F66/D66,2)</f>
        <v>11057.88</v>
      </c>
      <c r="F66" s="947">
        <v>11057.88</v>
      </c>
      <c r="G66" s="858">
        <f>ROUND(E66*3.56,2)</f>
        <v>39366.050000000003</v>
      </c>
      <c r="H66" s="899">
        <f>ROUND(G66*D66+G67*D67,2)</f>
        <v>39366.050000000003</v>
      </c>
      <c r="I66" s="848">
        <f>E66-G66-G67</f>
        <v>-28308.170000000006</v>
      </c>
      <c r="J66" s="953">
        <f>F66-H66-H67</f>
        <v>-28308.170000000006</v>
      </c>
    </row>
    <row r="67" spans="1:12" x14ac:dyDescent="0.3">
      <c r="A67" s="911"/>
      <c r="B67" s="704" t="s">
        <v>2009</v>
      </c>
      <c r="C67" s="662" t="s">
        <v>1975</v>
      </c>
      <c r="D67" s="705">
        <v>1</v>
      </c>
      <c r="E67" s="917"/>
      <c r="F67" s="948"/>
      <c r="G67" s="859"/>
      <c r="H67" s="901"/>
      <c r="I67" s="849"/>
      <c r="J67" s="954"/>
    </row>
    <row r="68" spans="1:12" x14ac:dyDescent="0.3">
      <c r="A68" s="910">
        <f>A66+1</f>
        <v>48</v>
      </c>
      <c r="B68" s="704" t="s">
        <v>2023</v>
      </c>
      <c r="C68" s="662" t="s">
        <v>1975</v>
      </c>
      <c r="D68" s="705">
        <v>1</v>
      </c>
      <c r="E68" s="916">
        <f>ROUND(F68/D68,2)</f>
        <v>2766.82</v>
      </c>
      <c r="F68" s="947">
        <v>2766.82</v>
      </c>
      <c r="G68" s="858">
        <v>26842</v>
      </c>
      <c r="H68" s="899">
        <f>ROUND(G68*D68+G69*D69,2)</f>
        <v>26842</v>
      </c>
      <c r="I68" s="848">
        <f>E68-G68-G69</f>
        <v>-24075.18</v>
      </c>
      <c r="J68" s="953">
        <f>F68-H68-H69</f>
        <v>-24075.18</v>
      </c>
    </row>
    <row r="69" spans="1:12" x14ac:dyDescent="0.3">
      <c r="A69" s="911"/>
      <c r="B69" s="704" t="s">
        <v>2009</v>
      </c>
      <c r="C69" s="662" t="s">
        <v>1975</v>
      </c>
      <c r="D69" s="705">
        <v>1</v>
      </c>
      <c r="E69" s="917"/>
      <c r="F69" s="948"/>
      <c r="G69" s="859"/>
      <c r="H69" s="901"/>
      <c r="I69" s="849"/>
      <c r="J69" s="954"/>
    </row>
    <row r="70" spans="1:12" x14ac:dyDescent="0.3">
      <c r="A70" s="630">
        <f>A68+1</f>
        <v>49</v>
      </c>
      <c r="B70" s="704" t="s">
        <v>2024</v>
      </c>
      <c r="C70" s="662" t="s">
        <v>1975</v>
      </c>
      <c r="D70" s="705">
        <v>3</v>
      </c>
      <c r="E70" s="647">
        <f t="shared" ref="E70:E74" si="19">ROUND(F70/D70,2)</f>
        <v>0</v>
      </c>
      <c r="F70" s="697"/>
      <c r="G70" s="767">
        <v>423</v>
      </c>
      <c r="H70" s="768">
        <f t="shared" ref="H70:H74" si="20">ROUND(G70*D70,2)</f>
        <v>1269</v>
      </c>
      <c r="I70" s="482">
        <f t="shared" si="9"/>
        <v>-423</v>
      </c>
      <c r="J70" s="701">
        <f t="shared" si="3"/>
        <v>-1269</v>
      </c>
    </row>
    <row r="71" spans="1:12" s="692" customFormat="1" ht="21" customHeight="1" x14ac:dyDescent="0.3">
      <c r="A71" s="693"/>
      <c r="B71" s="965" t="s">
        <v>2025</v>
      </c>
      <c r="C71" s="966"/>
      <c r="D71" s="966"/>
      <c r="E71" s="966"/>
      <c r="F71" s="966"/>
      <c r="G71" s="966"/>
      <c r="H71" s="966"/>
      <c r="I71" s="966"/>
      <c r="J71" s="967"/>
      <c r="K71" s="716">
        <f>SUM(F8:F70)</f>
        <v>2086031.0775000006</v>
      </c>
      <c r="L71" s="691"/>
    </row>
    <row r="72" spans="1:12" ht="31.2" x14ac:dyDescent="0.3">
      <c r="A72" s="630">
        <f>A70+1</f>
        <v>50</v>
      </c>
      <c r="B72" s="694" t="s">
        <v>2026</v>
      </c>
      <c r="C72" s="710" t="s">
        <v>2027</v>
      </c>
      <c r="D72" s="717">
        <v>3</v>
      </c>
      <c r="E72" s="647">
        <f t="shared" si="19"/>
        <v>50216.03</v>
      </c>
      <c r="F72" s="697">
        <v>150648.1</v>
      </c>
      <c r="G72" s="793">
        <v>157678.32999999999</v>
      </c>
      <c r="H72" s="794">
        <f t="shared" si="20"/>
        <v>473034.99</v>
      </c>
      <c r="I72" s="642">
        <f t="shared" si="9"/>
        <v>-107462.29999999999</v>
      </c>
      <c r="J72" s="698">
        <f t="shared" si="9"/>
        <v>-322386.89</v>
      </c>
    </row>
    <row r="73" spans="1:12" ht="31.2" x14ac:dyDescent="0.3">
      <c r="A73" s="630">
        <f>A72+1</f>
        <v>51</v>
      </c>
      <c r="B73" s="699" t="s">
        <v>2028</v>
      </c>
      <c r="C73" s="702" t="s">
        <v>1975</v>
      </c>
      <c r="D73" s="705">
        <v>3</v>
      </c>
      <c r="E73" s="647">
        <f t="shared" si="19"/>
        <v>47096.42</v>
      </c>
      <c r="F73" s="697">
        <f>141289.34-0.07</f>
        <v>141289.26999999999</v>
      </c>
      <c r="G73" s="767">
        <v>117396.1</v>
      </c>
      <c r="H73" s="768">
        <f t="shared" si="20"/>
        <v>352188.3</v>
      </c>
      <c r="I73" s="482">
        <f t="shared" si="9"/>
        <v>-70299.680000000008</v>
      </c>
      <c r="J73" s="701">
        <f t="shared" si="9"/>
        <v>-210899.03</v>
      </c>
    </row>
    <row r="74" spans="1:12" ht="31.2" x14ac:dyDescent="0.3">
      <c r="A74" s="630">
        <f>A73+1</f>
        <v>52</v>
      </c>
      <c r="B74" s="699" t="s">
        <v>2029</v>
      </c>
      <c r="C74" s="702" t="s">
        <v>1975</v>
      </c>
      <c r="D74" s="705">
        <v>3</v>
      </c>
      <c r="E74" s="647">
        <f t="shared" si="19"/>
        <v>53462.07</v>
      </c>
      <c r="F74" s="697">
        <v>160386.20000000001</v>
      </c>
      <c r="G74" s="767">
        <v>195660.16</v>
      </c>
      <c r="H74" s="768">
        <f t="shared" si="20"/>
        <v>586980.48</v>
      </c>
      <c r="I74" s="482">
        <f t="shared" si="9"/>
        <v>-142198.09</v>
      </c>
      <c r="J74" s="701">
        <f t="shared" si="9"/>
        <v>-426594.27999999997</v>
      </c>
    </row>
    <row r="75" spans="1:12" s="483" customFormat="1" ht="19.5" customHeight="1" x14ac:dyDescent="0.35">
      <c r="A75" s="485"/>
      <c r="B75" s="920" t="s">
        <v>2030</v>
      </c>
      <c r="C75" s="921"/>
      <c r="D75" s="921"/>
      <c r="E75" s="684"/>
      <c r="F75" s="685">
        <f>SUM(F8:F74)</f>
        <v>2538354.6475000009</v>
      </c>
      <c r="G75" s="778"/>
      <c r="H75" s="779">
        <f>SUM(H8:H74)</f>
        <v>4691185.6399999987</v>
      </c>
      <c r="I75" s="686"/>
      <c r="J75" s="685">
        <f>SUM(J8:J74)</f>
        <v>-2152830.9924999997</v>
      </c>
      <c r="K75" s="490">
        <f>K71+[1]Материалы!F73</f>
        <v>31061685.887499999</v>
      </c>
      <c r="L75" s="718">
        <f>406495.26+30655139.8</f>
        <v>31061635.060000002</v>
      </c>
    </row>
    <row r="76" spans="1:12" s="692" customFormat="1" ht="21" customHeight="1" x14ac:dyDescent="0.3">
      <c r="A76" s="689"/>
      <c r="B76" s="943" t="s">
        <v>2031</v>
      </c>
      <c r="C76" s="944"/>
      <c r="D76" s="944"/>
      <c r="E76" s="944"/>
      <c r="F76" s="944"/>
      <c r="G76" s="944"/>
      <c r="H76" s="944"/>
      <c r="I76" s="944"/>
      <c r="J76" s="944"/>
      <c r="K76" s="690"/>
      <c r="L76" s="691">
        <f>L75-K75</f>
        <v>-50.827499996870756</v>
      </c>
    </row>
    <row r="77" spans="1:12" s="692" customFormat="1" ht="21" customHeight="1" x14ac:dyDescent="0.3">
      <c r="A77" s="693"/>
      <c r="B77" s="945" t="s">
        <v>1960</v>
      </c>
      <c r="C77" s="946"/>
      <c r="D77" s="946"/>
      <c r="E77" s="946"/>
      <c r="F77" s="946"/>
      <c r="G77" s="946"/>
      <c r="H77" s="946"/>
      <c r="I77" s="946"/>
      <c r="J77" s="946"/>
      <c r="K77" s="690"/>
      <c r="L77" s="691"/>
    </row>
    <row r="78" spans="1:12" x14ac:dyDescent="0.3">
      <c r="A78" s="630">
        <f>A74+1</f>
        <v>53</v>
      </c>
      <c r="B78" s="719" t="s">
        <v>1961</v>
      </c>
      <c r="C78" s="695" t="s">
        <v>17</v>
      </c>
      <c r="D78" s="696">
        <v>13.03</v>
      </c>
      <c r="E78" s="647">
        <f t="shared" ref="E78:E83" si="21">ROUND(F78/D78,2)</f>
        <v>1117.8900000000001</v>
      </c>
      <c r="F78" s="697">
        <v>14566.05</v>
      </c>
      <c r="G78" s="645">
        <v>2397.5</v>
      </c>
      <c r="H78" s="619">
        <f t="shared" ref="H78:H83" si="22">ROUND(G78*D78,2)</f>
        <v>31239.43</v>
      </c>
      <c r="I78" s="642">
        <f>E78-G78</f>
        <v>-1279.6099999999999</v>
      </c>
      <c r="J78" s="698">
        <f>F78-H78</f>
        <v>-16673.38</v>
      </c>
    </row>
    <row r="79" spans="1:12" ht="31.2" x14ac:dyDescent="0.3">
      <c r="A79" s="630">
        <f>A78+1</f>
        <v>54</v>
      </c>
      <c r="B79" s="720" t="s">
        <v>1962</v>
      </c>
      <c r="C79" s="442" t="s">
        <v>17</v>
      </c>
      <c r="D79" s="703">
        <f>7.7/2.06</f>
        <v>3.737864077669903</v>
      </c>
      <c r="E79" s="647">
        <f t="shared" si="21"/>
        <v>86.7</v>
      </c>
      <c r="F79" s="697">
        <v>324.07</v>
      </c>
      <c r="G79" s="552">
        <v>260</v>
      </c>
      <c r="H79" s="619">
        <f t="shared" si="22"/>
        <v>971.84</v>
      </c>
      <c r="I79" s="482">
        <f>E79-G79</f>
        <v>-173.3</v>
      </c>
      <c r="J79" s="701">
        <f t="shared" ref="J79:J81" si="23">F79-H79</f>
        <v>-647.77</v>
      </c>
    </row>
    <row r="80" spans="1:12" x14ac:dyDescent="0.3">
      <c r="A80" s="630">
        <f>A79+1</f>
        <v>55</v>
      </c>
      <c r="B80" s="720" t="s">
        <v>1963</v>
      </c>
      <c r="C80" s="702" t="s">
        <v>1964</v>
      </c>
      <c r="D80" s="703">
        <v>7.7</v>
      </c>
      <c r="E80" s="647">
        <f t="shared" si="21"/>
        <v>187.58</v>
      </c>
      <c r="F80" s="697">
        <v>1444.4</v>
      </c>
      <c r="G80" s="552">
        <v>250</v>
      </c>
      <c r="H80" s="619">
        <f t="shared" si="22"/>
        <v>1925</v>
      </c>
      <c r="I80" s="482">
        <f t="shared" ref="I80:I82" si="24">E80-G80</f>
        <v>-62.419999999999987</v>
      </c>
      <c r="J80" s="701">
        <f t="shared" si="23"/>
        <v>-480.59999999999991</v>
      </c>
    </row>
    <row r="81" spans="1:11" ht="31.5" customHeight="1" x14ac:dyDescent="0.3">
      <c r="A81" s="630">
        <f t="shared" ref="A81:A83" si="25">A80+1</f>
        <v>56</v>
      </c>
      <c r="B81" s="720" t="s">
        <v>1965</v>
      </c>
      <c r="C81" s="442" t="s">
        <v>17</v>
      </c>
      <c r="D81" s="703">
        <v>9.2899999999999991</v>
      </c>
      <c r="E81" s="647">
        <f t="shared" si="21"/>
        <v>96.19</v>
      </c>
      <c r="F81" s="697">
        <f>88.1+805.54</f>
        <v>893.64</v>
      </c>
      <c r="G81" s="552">
        <v>260</v>
      </c>
      <c r="H81" s="619">
        <f t="shared" si="22"/>
        <v>2415.4</v>
      </c>
      <c r="I81" s="482">
        <f t="shared" si="24"/>
        <v>-163.81</v>
      </c>
      <c r="J81" s="701">
        <f t="shared" si="23"/>
        <v>-1521.7600000000002</v>
      </c>
      <c r="K81" s="478"/>
    </row>
    <row r="82" spans="1:11" ht="31.5" customHeight="1" x14ac:dyDescent="0.3">
      <c r="A82" s="630">
        <f t="shared" si="25"/>
        <v>57</v>
      </c>
      <c r="B82" s="721" t="s">
        <v>1966</v>
      </c>
      <c r="C82" s="662" t="s">
        <v>1964</v>
      </c>
      <c r="D82" s="703">
        <v>19.13</v>
      </c>
      <c r="E82" s="647">
        <f t="shared" si="21"/>
        <v>47.17</v>
      </c>
      <c r="F82" s="697">
        <v>902.32</v>
      </c>
      <c r="G82" s="552">
        <v>220</v>
      </c>
      <c r="H82" s="619">
        <f t="shared" si="22"/>
        <v>4208.6000000000004</v>
      </c>
      <c r="I82" s="482">
        <f t="shared" si="24"/>
        <v>-172.82999999999998</v>
      </c>
      <c r="J82" s="701">
        <f>F82-H82</f>
        <v>-3306.28</v>
      </c>
      <c r="K82" s="478"/>
    </row>
    <row r="83" spans="1:11" ht="24" customHeight="1" x14ac:dyDescent="0.3">
      <c r="A83" s="630">
        <f t="shared" si="25"/>
        <v>58</v>
      </c>
      <c r="B83" s="704" t="s">
        <v>1971</v>
      </c>
      <c r="C83" s="702" t="s">
        <v>1968</v>
      </c>
      <c r="D83" s="705">
        <v>18</v>
      </c>
      <c r="E83" s="647">
        <f t="shared" si="21"/>
        <v>117.91</v>
      </c>
      <c r="F83" s="697">
        <f>11886.06-9763.74</f>
        <v>2122.3199999999997</v>
      </c>
      <c r="G83" s="552">
        <v>356.38</v>
      </c>
      <c r="H83" s="619">
        <f t="shared" si="22"/>
        <v>6414.84</v>
      </c>
      <c r="I83" s="482">
        <f>E83-G83</f>
        <v>-238.47</v>
      </c>
      <c r="J83" s="701">
        <f>F83-H83</f>
        <v>-4292.5200000000004</v>
      </c>
      <c r="K83" s="478"/>
    </row>
    <row r="84" spans="1:11" ht="20.25" customHeight="1" x14ac:dyDescent="0.3">
      <c r="A84" s="910">
        <f>A83+1</f>
        <v>59</v>
      </c>
      <c r="B84" s="704" t="s">
        <v>1969</v>
      </c>
      <c r="C84" s="702" t="s">
        <v>1968</v>
      </c>
      <c r="D84" s="705">
        <v>60</v>
      </c>
      <c r="E84" s="916">
        <f>ROUND(F84/D84,2)</f>
        <v>113.3</v>
      </c>
      <c r="F84" s="947">
        <f>39144.01-32545.8+200</f>
        <v>6798.2100000000028</v>
      </c>
      <c r="G84" s="949">
        <v>329</v>
      </c>
      <c r="H84" s="951">
        <f>ROUND(G84*D84+G85*D85,2)</f>
        <v>19740</v>
      </c>
      <c r="I84" s="848">
        <f>E84-G84-G85</f>
        <v>-215.7</v>
      </c>
      <c r="J84" s="953">
        <f>F84-H84-H85</f>
        <v>-12941.789999999997</v>
      </c>
      <c r="K84" s="478"/>
    </row>
    <row r="85" spans="1:11" ht="20.25" customHeight="1" x14ac:dyDescent="0.3">
      <c r="A85" s="911"/>
      <c r="B85" s="704" t="s">
        <v>1970</v>
      </c>
      <c r="C85" s="442" t="s">
        <v>17</v>
      </c>
      <c r="D85" s="703">
        <v>1.25</v>
      </c>
      <c r="E85" s="917"/>
      <c r="F85" s="948"/>
      <c r="G85" s="950"/>
      <c r="H85" s="952"/>
      <c r="I85" s="849"/>
      <c r="J85" s="954"/>
      <c r="K85" s="478"/>
    </row>
    <row r="86" spans="1:11" ht="20.25" customHeight="1" x14ac:dyDescent="0.3">
      <c r="A86" s="910">
        <f>A84+1</f>
        <v>60</v>
      </c>
      <c r="B86" s="721" t="s">
        <v>1972</v>
      </c>
      <c r="C86" s="702" t="s">
        <v>1968</v>
      </c>
      <c r="D86" s="705">
        <v>10</v>
      </c>
      <c r="E86" s="916">
        <f>ROUND(F86/(D86+D87),2)</f>
        <v>869.51</v>
      </c>
      <c r="F86" s="947">
        <v>26085.35</v>
      </c>
      <c r="G86" s="949">
        <v>800</v>
      </c>
      <c r="H86" s="951">
        <f>ROUND(G86*D86+D87*G87+D88*G88+D89*G89,2)</f>
        <v>8000</v>
      </c>
      <c r="I86" s="848">
        <f>E86-G86-G88-G89-G87</f>
        <v>69.509999999999991</v>
      </c>
      <c r="J86" s="953">
        <f>F86-H86-H88-H89-H87</f>
        <v>18085.349999999999</v>
      </c>
      <c r="K86" s="478"/>
    </row>
    <row r="87" spans="1:11" ht="20.25" customHeight="1" x14ac:dyDescent="0.3">
      <c r="A87" s="960"/>
      <c r="B87" s="722" t="s">
        <v>1973</v>
      </c>
      <c r="C87" s="702" t="s">
        <v>1968</v>
      </c>
      <c r="D87" s="705">
        <v>20</v>
      </c>
      <c r="E87" s="961"/>
      <c r="F87" s="962"/>
      <c r="G87" s="963"/>
      <c r="H87" s="964"/>
      <c r="I87" s="895"/>
      <c r="J87" s="955"/>
      <c r="K87" s="478"/>
    </row>
    <row r="88" spans="1:11" ht="20.25" customHeight="1" x14ac:dyDescent="0.3">
      <c r="A88" s="960"/>
      <c r="B88" s="722" t="s">
        <v>1974</v>
      </c>
      <c r="C88" s="702" t="s">
        <v>1975</v>
      </c>
      <c r="D88" s="705">
        <v>4</v>
      </c>
      <c r="E88" s="961"/>
      <c r="F88" s="962"/>
      <c r="G88" s="963"/>
      <c r="H88" s="964"/>
      <c r="I88" s="895"/>
      <c r="J88" s="955"/>
      <c r="K88" s="478"/>
    </row>
    <row r="89" spans="1:11" ht="20.25" customHeight="1" x14ac:dyDescent="0.3">
      <c r="A89" s="911"/>
      <c r="B89" s="722" t="s">
        <v>1976</v>
      </c>
      <c r="C89" s="702" t="s">
        <v>1975</v>
      </c>
      <c r="D89" s="705">
        <v>6</v>
      </c>
      <c r="E89" s="917"/>
      <c r="F89" s="948"/>
      <c r="G89" s="950"/>
      <c r="H89" s="952"/>
      <c r="I89" s="849"/>
      <c r="J89" s="954"/>
      <c r="K89" s="478"/>
    </row>
    <row r="90" spans="1:11" ht="20.25" customHeight="1" x14ac:dyDescent="0.3">
      <c r="A90" s="630">
        <f>A86+1</f>
        <v>61</v>
      </c>
      <c r="B90" s="704" t="s">
        <v>1977</v>
      </c>
      <c r="C90" s="442" t="s">
        <v>17</v>
      </c>
      <c r="D90" s="703">
        <v>2.4900000000000002</v>
      </c>
      <c r="E90" s="647">
        <f>F90/D90</f>
        <v>619.24497991967871</v>
      </c>
      <c r="F90" s="697">
        <v>1541.92</v>
      </c>
      <c r="G90" s="552">
        <v>1480.83</v>
      </c>
      <c r="H90" s="619">
        <f t="shared" ref="H90:H92" si="26">ROUND(G90*D90,2)</f>
        <v>3687.27</v>
      </c>
      <c r="I90" s="482">
        <f t="shared" ref="I90:J92" si="27">E90-G90</f>
        <v>-861.58502008032121</v>
      </c>
      <c r="J90" s="701">
        <f>F90-H90</f>
        <v>-2145.35</v>
      </c>
      <c r="K90" s="478"/>
    </row>
    <row r="91" spans="1:11" ht="31.5" customHeight="1" x14ac:dyDescent="0.3">
      <c r="A91" s="630">
        <f>A90+1</f>
        <v>62</v>
      </c>
      <c r="B91" s="721" t="s">
        <v>1978</v>
      </c>
      <c r="C91" s="661" t="s">
        <v>17</v>
      </c>
      <c r="D91" s="703">
        <v>9.2899999999999991</v>
      </c>
      <c r="E91" s="647">
        <f t="shared" ref="E91:E99" si="28">ROUND(F91/D91,2)</f>
        <v>86.82</v>
      </c>
      <c r="F91" s="697">
        <v>806.52</v>
      </c>
      <c r="G91" s="552">
        <v>260</v>
      </c>
      <c r="H91" s="619">
        <f t="shared" si="26"/>
        <v>2415.4</v>
      </c>
      <c r="I91" s="482">
        <f t="shared" si="27"/>
        <v>-173.18</v>
      </c>
      <c r="J91" s="701">
        <f t="shared" si="27"/>
        <v>-1608.88</v>
      </c>
      <c r="K91" s="478"/>
    </row>
    <row r="92" spans="1:11" ht="33" customHeight="1" x14ac:dyDescent="0.3">
      <c r="A92" s="630">
        <f>A91+1</f>
        <v>63</v>
      </c>
      <c r="B92" s="721" t="s">
        <v>1979</v>
      </c>
      <c r="C92" s="662" t="s">
        <v>1964</v>
      </c>
      <c r="D92" s="703">
        <v>19.13</v>
      </c>
      <c r="E92" s="647">
        <f t="shared" si="28"/>
        <v>47.17</v>
      </c>
      <c r="F92" s="697">
        <v>902.32</v>
      </c>
      <c r="G92" s="552">
        <v>220</v>
      </c>
      <c r="H92" s="619">
        <f t="shared" si="26"/>
        <v>4208.6000000000004</v>
      </c>
      <c r="I92" s="482">
        <f t="shared" si="27"/>
        <v>-172.82999999999998</v>
      </c>
      <c r="J92" s="701">
        <f t="shared" si="27"/>
        <v>-3306.28</v>
      </c>
      <c r="K92" s="478"/>
    </row>
    <row r="93" spans="1:11" ht="21" customHeight="1" x14ac:dyDescent="0.3">
      <c r="A93" s="910">
        <f>A92+1</f>
        <v>64</v>
      </c>
      <c r="B93" s="723" t="s">
        <v>1980</v>
      </c>
      <c r="C93" s="956" t="s">
        <v>17</v>
      </c>
      <c r="D93" s="958">
        <v>9.2899999999999991</v>
      </c>
      <c r="E93" s="972">
        <f t="shared" si="28"/>
        <v>619.12</v>
      </c>
      <c r="F93" s="947">
        <v>5751.63</v>
      </c>
      <c r="G93" s="949">
        <v>1030</v>
      </c>
      <c r="H93" s="951">
        <f>ROUND(G93*D93,2)</f>
        <v>9568.7000000000007</v>
      </c>
      <c r="I93" s="848">
        <f>E93-G93-G94</f>
        <v>-410.88</v>
      </c>
      <c r="J93" s="953">
        <f>F93-H93-H94</f>
        <v>-3817.0700000000006</v>
      </c>
      <c r="K93" s="478"/>
    </row>
    <row r="94" spans="1:11" ht="21" customHeight="1" x14ac:dyDescent="0.3">
      <c r="A94" s="911"/>
      <c r="B94" s="723" t="s">
        <v>1981</v>
      </c>
      <c r="C94" s="957"/>
      <c r="D94" s="959"/>
      <c r="E94" s="973"/>
      <c r="F94" s="948"/>
      <c r="G94" s="950"/>
      <c r="H94" s="952"/>
      <c r="I94" s="849"/>
      <c r="J94" s="954"/>
      <c r="K94" s="478"/>
    </row>
    <row r="95" spans="1:11" ht="23.25" customHeight="1" x14ac:dyDescent="0.3">
      <c r="A95" s="630">
        <f>A93+1</f>
        <v>65</v>
      </c>
      <c r="B95" s="720" t="s">
        <v>1982</v>
      </c>
      <c r="C95" s="442" t="s">
        <v>17</v>
      </c>
      <c r="D95" s="703">
        <v>7.06</v>
      </c>
      <c r="E95" s="647">
        <f t="shared" si="28"/>
        <v>1136.27</v>
      </c>
      <c r="F95" s="697">
        <f>7955.44+66.6</f>
        <v>8022.04</v>
      </c>
      <c r="G95" s="552">
        <v>2397.5</v>
      </c>
      <c r="H95" s="619">
        <f t="shared" ref="H95" si="29">G95*D95</f>
        <v>16926.349999999999</v>
      </c>
      <c r="I95" s="482">
        <f>E95-G95</f>
        <v>-1261.23</v>
      </c>
      <c r="J95" s="701">
        <f t="shared" ref="J95:J99" si="30">F95-H95</f>
        <v>-8904.3099999999977</v>
      </c>
      <c r="K95" s="478"/>
    </row>
    <row r="96" spans="1:11" ht="31.5" customHeight="1" x14ac:dyDescent="0.3">
      <c r="A96" s="630">
        <f>A95+1</f>
        <v>66</v>
      </c>
      <c r="B96" s="720" t="s">
        <v>1983</v>
      </c>
      <c r="C96" s="442" t="s">
        <v>17</v>
      </c>
      <c r="D96" s="703">
        <f>D95</f>
        <v>7.06</v>
      </c>
      <c r="E96" s="647">
        <f t="shared" si="28"/>
        <v>86.7</v>
      </c>
      <c r="F96" s="697">
        <v>612.11</v>
      </c>
      <c r="G96" s="552">
        <v>260</v>
      </c>
      <c r="H96" s="619">
        <f t="shared" ref="H96:H99" si="31">ROUND(G96*D96,2)</f>
        <v>1835.6</v>
      </c>
      <c r="I96" s="482">
        <f t="shared" ref="I96:I100" si="32">E96-G96</f>
        <v>-173.3</v>
      </c>
      <c r="J96" s="701">
        <f t="shared" si="30"/>
        <v>-1223.4899999999998</v>
      </c>
      <c r="K96" s="478"/>
    </row>
    <row r="97" spans="1:12" ht="31.5" customHeight="1" x14ac:dyDescent="0.3">
      <c r="A97" s="630">
        <f t="shared" ref="A97:A98" si="33">A96+1</f>
        <v>67</v>
      </c>
      <c r="B97" s="720" t="s">
        <v>1984</v>
      </c>
      <c r="C97" s="662" t="s">
        <v>1964</v>
      </c>
      <c r="D97" s="703">
        <f>D95*2.06</f>
        <v>14.5436</v>
      </c>
      <c r="E97" s="647">
        <f t="shared" si="28"/>
        <v>47.15</v>
      </c>
      <c r="F97" s="697">
        <v>685.79</v>
      </c>
      <c r="G97" s="552">
        <v>220</v>
      </c>
      <c r="H97" s="619">
        <f t="shared" si="31"/>
        <v>3199.59</v>
      </c>
      <c r="I97" s="482">
        <f t="shared" si="32"/>
        <v>-172.85</v>
      </c>
      <c r="J97" s="701">
        <f t="shared" si="30"/>
        <v>-2513.8000000000002</v>
      </c>
      <c r="K97" s="478"/>
    </row>
    <row r="98" spans="1:12" ht="31.5" customHeight="1" x14ac:dyDescent="0.3">
      <c r="A98" s="630">
        <f t="shared" si="33"/>
        <v>68</v>
      </c>
      <c r="B98" s="720" t="s">
        <v>1985</v>
      </c>
      <c r="C98" s="442" t="s">
        <v>17</v>
      </c>
      <c r="D98" s="703">
        <f>D95</f>
        <v>7.06</v>
      </c>
      <c r="E98" s="647">
        <f t="shared" si="28"/>
        <v>86.7</v>
      </c>
      <c r="F98" s="697">
        <v>612.11</v>
      </c>
      <c r="G98" s="552">
        <v>260</v>
      </c>
      <c r="H98" s="619">
        <f t="shared" si="31"/>
        <v>1835.6</v>
      </c>
      <c r="I98" s="482">
        <f t="shared" si="32"/>
        <v>-173.3</v>
      </c>
      <c r="J98" s="701">
        <f t="shared" si="30"/>
        <v>-1223.4899999999998</v>
      </c>
      <c r="K98" s="478"/>
    </row>
    <row r="99" spans="1:12" ht="31.5" customHeight="1" x14ac:dyDescent="0.3">
      <c r="A99" s="630">
        <f>A98+1</f>
        <v>69</v>
      </c>
      <c r="B99" s="721" t="s">
        <v>1979</v>
      </c>
      <c r="C99" s="662" t="s">
        <v>1964</v>
      </c>
      <c r="D99" s="703">
        <f>D95*2.06</f>
        <v>14.5436</v>
      </c>
      <c r="E99" s="647">
        <f t="shared" si="28"/>
        <v>47.15</v>
      </c>
      <c r="F99" s="697">
        <v>685.79</v>
      </c>
      <c r="G99" s="552">
        <v>220</v>
      </c>
      <c r="H99" s="619">
        <f t="shared" si="31"/>
        <v>3199.59</v>
      </c>
      <c r="I99" s="482">
        <f t="shared" si="32"/>
        <v>-172.85</v>
      </c>
      <c r="J99" s="701">
        <f t="shared" si="30"/>
        <v>-2513.8000000000002</v>
      </c>
      <c r="K99" s="478"/>
    </row>
    <row r="100" spans="1:12" ht="21" customHeight="1" x14ac:dyDescent="0.3">
      <c r="A100" s="910">
        <f>A99+1</f>
        <v>70</v>
      </c>
      <c r="B100" s="721" t="s">
        <v>1986</v>
      </c>
      <c r="C100" s="956" t="s">
        <v>17</v>
      </c>
      <c r="D100" s="971">
        <f>D96</f>
        <v>7.06</v>
      </c>
      <c r="E100" s="916">
        <f>ROUND(F100/D100,2)</f>
        <v>619.12</v>
      </c>
      <c r="F100" s="968">
        <v>4371</v>
      </c>
      <c r="G100" s="949">
        <v>1030</v>
      </c>
      <c r="H100" s="951">
        <f>ROUND(G100*D100,2)</f>
        <v>7271.8</v>
      </c>
      <c r="I100" s="848">
        <f t="shared" si="32"/>
        <v>-410.88</v>
      </c>
      <c r="J100" s="953">
        <f>F100-H100-F101</f>
        <v>-2900.8</v>
      </c>
      <c r="K100" s="478"/>
    </row>
    <row r="101" spans="1:12" ht="19.5" customHeight="1" x14ac:dyDescent="0.3">
      <c r="A101" s="911"/>
      <c r="B101" s="721" t="s">
        <v>1987</v>
      </c>
      <c r="C101" s="957"/>
      <c r="D101" s="957"/>
      <c r="E101" s="917"/>
      <c r="F101" s="969"/>
      <c r="G101" s="950"/>
      <c r="H101" s="952"/>
      <c r="I101" s="849"/>
      <c r="J101" s="954"/>
      <c r="K101" s="478"/>
    </row>
    <row r="102" spans="1:12" s="692" customFormat="1" ht="21" customHeight="1" x14ac:dyDescent="0.3">
      <c r="A102" s="693"/>
      <c r="B102" s="965" t="s">
        <v>1988</v>
      </c>
      <c r="C102" s="966"/>
      <c r="D102" s="966"/>
      <c r="E102" s="966"/>
      <c r="F102" s="966"/>
      <c r="G102" s="966"/>
      <c r="H102" s="966"/>
      <c r="I102" s="966"/>
      <c r="J102" s="967"/>
      <c r="K102" s="690"/>
      <c r="L102" s="691"/>
    </row>
    <row r="103" spans="1:12" ht="20.25" customHeight="1" x14ac:dyDescent="0.3">
      <c r="A103" s="708">
        <f>A100+1</f>
        <v>71</v>
      </c>
      <c r="B103" s="709" t="s">
        <v>1989</v>
      </c>
      <c r="C103" s="710" t="s">
        <v>5</v>
      </c>
      <c r="D103" s="711">
        <v>20</v>
      </c>
      <c r="E103" s="647">
        <f t="shared" ref="E103:E120" si="34">ROUND(F103/D103,2)</f>
        <v>350.54</v>
      </c>
      <c r="F103" s="697">
        <v>7010.74</v>
      </c>
      <c r="G103" s="793">
        <v>350</v>
      </c>
      <c r="H103" s="768">
        <f t="shared" ref="H103:H120" si="35">ROUND(G103*D103,2)</f>
        <v>7000</v>
      </c>
      <c r="I103" s="642">
        <f>E103-G103</f>
        <v>0.54000000000002046</v>
      </c>
      <c r="J103" s="724">
        <f>F103-H103</f>
        <v>10.739999999999782</v>
      </c>
      <c r="K103" s="478"/>
    </row>
    <row r="104" spans="1:12" ht="31.5" customHeight="1" x14ac:dyDescent="0.3">
      <c r="A104" s="630">
        <f>A103+1</f>
        <v>72</v>
      </c>
      <c r="B104" s="706" t="s">
        <v>2032</v>
      </c>
      <c r="C104" s="662" t="s">
        <v>5</v>
      </c>
      <c r="D104" s="712">
        <v>116</v>
      </c>
      <c r="E104" s="647">
        <f t="shared" si="34"/>
        <v>106.92</v>
      </c>
      <c r="F104" s="697">
        <v>12402.49</v>
      </c>
      <c r="G104" s="767">
        <v>322.56</v>
      </c>
      <c r="H104" s="768">
        <f t="shared" si="35"/>
        <v>37416.959999999999</v>
      </c>
      <c r="I104" s="482">
        <f>E104-G104</f>
        <v>-215.64</v>
      </c>
      <c r="J104" s="725">
        <f>F104-H104</f>
        <v>-25014.47</v>
      </c>
      <c r="K104" s="478"/>
    </row>
    <row r="105" spans="1:12" ht="21" customHeight="1" x14ac:dyDescent="0.3">
      <c r="A105" s="630">
        <f t="shared" ref="A105:A120" si="36">A104+1</f>
        <v>73</v>
      </c>
      <c r="B105" s="706" t="s">
        <v>2033</v>
      </c>
      <c r="C105" s="662" t="s">
        <v>40</v>
      </c>
      <c r="D105" s="712">
        <v>40</v>
      </c>
      <c r="E105" s="647">
        <f t="shared" si="34"/>
        <v>1181.24</v>
      </c>
      <c r="F105" s="697">
        <v>47249.75</v>
      </c>
      <c r="G105" s="767">
        <v>1181.24</v>
      </c>
      <c r="H105" s="768">
        <f t="shared" si="35"/>
        <v>47249.599999999999</v>
      </c>
      <c r="I105" s="482">
        <f t="shared" ref="I105:J120" si="37">E105-G105</f>
        <v>0</v>
      </c>
      <c r="J105" s="725">
        <f t="shared" si="37"/>
        <v>0.15000000000145519</v>
      </c>
    </row>
    <row r="106" spans="1:12" ht="21.75" customHeight="1" x14ac:dyDescent="0.3">
      <c r="A106" s="630">
        <f t="shared" si="36"/>
        <v>74</v>
      </c>
      <c r="B106" s="706" t="s">
        <v>1992</v>
      </c>
      <c r="C106" s="662" t="s">
        <v>5</v>
      </c>
      <c r="D106" s="712">
        <v>18</v>
      </c>
      <c r="E106" s="647">
        <f t="shared" si="34"/>
        <v>224.96</v>
      </c>
      <c r="F106" s="697">
        <v>4049.2</v>
      </c>
      <c r="G106" s="767">
        <v>224.96</v>
      </c>
      <c r="H106" s="768">
        <f t="shared" si="35"/>
        <v>4049.28</v>
      </c>
      <c r="I106" s="482">
        <f t="shared" si="37"/>
        <v>0</v>
      </c>
      <c r="J106" s="725">
        <f t="shared" si="37"/>
        <v>-8.0000000000381988E-2</v>
      </c>
    </row>
    <row r="107" spans="1:12" ht="23.25" customHeight="1" x14ac:dyDescent="0.3">
      <c r="A107" s="630">
        <f t="shared" si="36"/>
        <v>75</v>
      </c>
      <c r="B107" s="704" t="s">
        <v>1993</v>
      </c>
      <c r="C107" s="662" t="s">
        <v>1968</v>
      </c>
      <c r="D107" s="705">
        <v>8</v>
      </c>
      <c r="E107" s="647">
        <f t="shared" si="34"/>
        <v>322.56</v>
      </c>
      <c r="F107" s="697">
        <v>2580.5100000000002</v>
      </c>
      <c r="G107" s="767">
        <v>322.56</v>
      </c>
      <c r="H107" s="768">
        <f t="shared" si="35"/>
        <v>2580.48</v>
      </c>
      <c r="I107" s="482">
        <f t="shared" si="37"/>
        <v>0</v>
      </c>
      <c r="J107" s="725">
        <f t="shared" si="37"/>
        <v>3.0000000000200089E-2</v>
      </c>
    </row>
    <row r="108" spans="1:12" ht="23.25" customHeight="1" x14ac:dyDescent="0.3">
      <c r="A108" s="630">
        <f t="shared" si="36"/>
        <v>76</v>
      </c>
      <c r="B108" s="706" t="s">
        <v>1994</v>
      </c>
      <c r="C108" s="662" t="s">
        <v>1975</v>
      </c>
      <c r="D108" s="705">
        <v>1</v>
      </c>
      <c r="E108" s="647">
        <f t="shared" si="34"/>
        <v>4784.1400000000003</v>
      </c>
      <c r="F108" s="697">
        <v>4784.1400000000003</v>
      </c>
      <c r="G108" s="767">
        <f>ROUND(E108*2.16,2)</f>
        <v>10333.74</v>
      </c>
      <c r="H108" s="768">
        <f t="shared" si="35"/>
        <v>10333.74</v>
      </c>
      <c r="I108" s="482">
        <f t="shared" si="37"/>
        <v>-5549.5999999999995</v>
      </c>
      <c r="J108" s="725">
        <f t="shared" si="37"/>
        <v>-5549.5999999999995</v>
      </c>
    </row>
    <row r="109" spans="1:12" ht="20.25" customHeight="1" x14ac:dyDescent="0.3">
      <c r="A109" s="630">
        <f t="shared" si="36"/>
        <v>77</v>
      </c>
      <c r="B109" s="704" t="s">
        <v>1995</v>
      </c>
      <c r="C109" s="662" t="s">
        <v>1975</v>
      </c>
      <c r="D109" s="705">
        <v>4</v>
      </c>
      <c r="E109" s="647">
        <f t="shared" si="34"/>
        <v>2963.03</v>
      </c>
      <c r="F109" s="697">
        <v>11852.1</v>
      </c>
      <c r="G109" s="767">
        <f>ROUND(E109*2.12,2)</f>
        <v>6281.62</v>
      </c>
      <c r="H109" s="768">
        <f t="shared" si="35"/>
        <v>25126.48</v>
      </c>
      <c r="I109" s="482">
        <f t="shared" si="37"/>
        <v>-3318.5899999999997</v>
      </c>
      <c r="J109" s="725">
        <f t="shared" si="37"/>
        <v>-13274.38</v>
      </c>
    </row>
    <row r="110" spans="1:12" ht="24" customHeight="1" x14ac:dyDescent="0.3">
      <c r="A110" s="630">
        <f t="shared" si="36"/>
        <v>78</v>
      </c>
      <c r="B110" s="706" t="s">
        <v>1996</v>
      </c>
      <c r="C110" s="662" t="s">
        <v>1975</v>
      </c>
      <c r="D110" s="705">
        <v>4</v>
      </c>
      <c r="E110" s="647">
        <f t="shared" si="34"/>
        <v>6376.09</v>
      </c>
      <c r="F110" s="697">
        <v>25504.37</v>
      </c>
      <c r="G110" s="767">
        <v>6000</v>
      </c>
      <c r="H110" s="768">
        <f t="shared" si="35"/>
        <v>24000</v>
      </c>
      <c r="I110" s="482">
        <f t="shared" si="37"/>
        <v>376.09000000000015</v>
      </c>
      <c r="J110" s="725">
        <f t="shared" si="37"/>
        <v>1504.369999999999</v>
      </c>
      <c r="K110" s="478"/>
    </row>
    <row r="111" spans="1:12" s="484" customFormat="1" ht="21.75" customHeight="1" x14ac:dyDescent="0.3">
      <c r="A111" s="630">
        <f t="shared" si="36"/>
        <v>79</v>
      </c>
      <c r="B111" s="704" t="s">
        <v>1997</v>
      </c>
      <c r="C111" s="662" t="s">
        <v>1975</v>
      </c>
      <c r="D111" s="705">
        <v>18</v>
      </c>
      <c r="E111" s="647">
        <f t="shared" si="34"/>
        <v>853.25</v>
      </c>
      <c r="F111" s="697">
        <v>15358.48</v>
      </c>
      <c r="G111" s="767">
        <v>511.94</v>
      </c>
      <c r="H111" s="768">
        <f t="shared" si="35"/>
        <v>9214.92</v>
      </c>
      <c r="I111" s="482">
        <f t="shared" si="37"/>
        <v>341.31</v>
      </c>
      <c r="J111" s="725">
        <f t="shared" si="37"/>
        <v>6143.5599999999995</v>
      </c>
      <c r="K111" s="491"/>
      <c r="L111" s="713"/>
    </row>
    <row r="112" spans="1:12" ht="19.5" customHeight="1" x14ac:dyDescent="0.3">
      <c r="A112" s="630">
        <f t="shared" si="36"/>
        <v>80</v>
      </c>
      <c r="B112" s="706" t="s">
        <v>1998</v>
      </c>
      <c r="C112" s="662" t="s">
        <v>1975</v>
      </c>
      <c r="D112" s="705">
        <v>16</v>
      </c>
      <c r="E112" s="647">
        <f t="shared" si="34"/>
        <v>3345.34</v>
      </c>
      <c r="F112" s="714">
        <v>53525.38</v>
      </c>
      <c r="G112" s="767">
        <v>2877.01</v>
      </c>
      <c r="H112" s="768">
        <f t="shared" si="35"/>
        <v>46032.160000000003</v>
      </c>
      <c r="I112" s="482">
        <f t="shared" si="37"/>
        <v>468.32999999999993</v>
      </c>
      <c r="J112" s="725">
        <f t="shared" si="37"/>
        <v>7493.2199999999939</v>
      </c>
      <c r="K112" s="478"/>
    </row>
    <row r="113" spans="1:10" ht="24" customHeight="1" x14ac:dyDescent="0.3">
      <c r="A113" s="630">
        <f t="shared" si="36"/>
        <v>81</v>
      </c>
      <c r="B113" s="428" t="s">
        <v>2034</v>
      </c>
      <c r="C113" s="662" t="s">
        <v>1975</v>
      </c>
      <c r="D113" s="712">
        <v>8</v>
      </c>
      <c r="E113" s="647">
        <f t="shared" si="34"/>
        <v>2782.15</v>
      </c>
      <c r="F113" s="697">
        <v>22257.16</v>
      </c>
      <c r="G113" s="767">
        <v>454</v>
      </c>
      <c r="H113" s="768">
        <f t="shared" si="35"/>
        <v>3632</v>
      </c>
      <c r="I113" s="482">
        <f t="shared" si="37"/>
        <v>2328.15</v>
      </c>
      <c r="J113" s="725">
        <f t="shared" si="37"/>
        <v>18625.16</v>
      </c>
    </row>
    <row r="114" spans="1:10" ht="21.75" customHeight="1" x14ac:dyDescent="0.3">
      <c r="A114" s="630">
        <f t="shared" si="36"/>
        <v>82</v>
      </c>
      <c r="B114" s="706" t="s">
        <v>2001</v>
      </c>
      <c r="C114" s="662" t="s">
        <v>40</v>
      </c>
      <c r="D114" s="712">
        <v>1</v>
      </c>
      <c r="E114" s="647">
        <f t="shared" si="34"/>
        <v>752.49</v>
      </c>
      <c r="F114" s="697">
        <v>752.49</v>
      </c>
      <c r="G114" s="767">
        <v>2949.21</v>
      </c>
      <c r="H114" s="768">
        <f t="shared" si="35"/>
        <v>2949.21</v>
      </c>
      <c r="I114" s="482">
        <f t="shared" si="37"/>
        <v>-2196.7200000000003</v>
      </c>
      <c r="J114" s="725">
        <f t="shared" si="37"/>
        <v>-2196.7200000000003</v>
      </c>
    </row>
    <row r="115" spans="1:10" ht="21.75" customHeight="1" x14ac:dyDescent="0.3">
      <c r="A115" s="630">
        <f t="shared" si="36"/>
        <v>83</v>
      </c>
      <c r="B115" s="706" t="s">
        <v>2002</v>
      </c>
      <c r="C115" s="702" t="s">
        <v>40</v>
      </c>
      <c r="D115" s="712">
        <v>3</v>
      </c>
      <c r="E115" s="647">
        <f t="shared" si="34"/>
        <v>3208.92</v>
      </c>
      <c r="F115" s="697">
        <v>9626.77</v>
      </c>
      <c r="G115" s="767">
        <v>5000</v>
      </c>
      <c r="H115" s="768">
        <f t="shared" si="35"/>
        <v>15000</v>
      </c>
      <c r="I115" s="482">
        <f t="shared" si="37"/>
        <v>-1791.08</v>
      </c>
      <c r="J115" s="725">
        <f t="shared" si="37"/>
        <v>-5373.23</v>
      </c>
    </row>
    <row r="116" spans="1:10" ht="23.25" customHeight="1" x14ac:dyDescent="0.3">
      <c r="A116" s="630">
        <f t="shared" si="36"/>
        <v>84</v>
      </c>
      <c r="B116" s="706" t="s">
        <v>2035</v>
      </c>
      <c r="C116" s="702" t="s">
        <v>40</v>
      </c>
      <c r="D116" s="712">
        <v>19</v>
      </c>
      <c r="E116" s="647">
        <f t="shared" si="34"/>
        <v>311.47000000000003</v>
      </c>
      <c r="F116" s="697">
        <v>5918</v>
      </c>
      <c r="G116" s="767">
        <v>511.94</v>
      </c>
      <c r="H116" s="768">
        <f t="shared" si="35"/>
        <v>9726.86</v>
      </c>
      <c r="I116" s="482">
        <f t="shared" si="37"/>
        <v>-200.46999999999997</v>
      </c>
      <c r="J116" s="725">
        <f t="shared" si="37"/>
        <v>-3808.8600000000006</v>
      </c>
    </row>
    <row r="117" spans="1:10" ht="35.25" customHeight="1" x14ac:dyDescent="0.3">
      <c r="A117" s="630">
        <f t="shared" si="36"/>
        <v>85</v>
      </c>
      <c r="B117" s="704" t="s">
        <v>2036</v>
      </c>
      <c r="C117" s="662" t="s">
        <v>1968</v>
      </c>
      <c r="D117" s="705">
        <v>452</v>
      </c>
      <c r="E117" s="647">
        <f t="shared" si="34"/>
        <v>479.81</v>
      </c>
      <c r="F117" s="697">
        <v>216875.54</v>
      </c>
      <c r="G117" s="767">
        <v>479</v>
      </c>
      <c r="H117" s="768">
        <f t="shared" si="35"/>
        <v>216508</v>
      </c>
      <c r="I117" s="482">
        <f t="shared" si="37"/>
        <v>0.81000000000000227</v>
      </c>
      <c r="J117" s="725">
        <f t="shared" si="37"/>
        <v>367.54000000000815</v>
      </c>
    </row>
    <row r="118" spans="1:10" ht="31.2" x14ac:dyDescent="0.3">
      <c r="A118" s="630">
        <f t="shared" si="36"/>
        <v>86</v>
      </c>
      <c r="B118" s="704" t="s">
        <v>2005</v>
      </c>
      <c r="C118" s="661" t="s">
        <v>5</v>
      </c>
      <c r="D118" s="705">
        <v>72</v>
      </c>
      <c r="E118" s="647">
        <f t="shared" si="34"/>
        <v>142.41</v>
      </c>
      <c r="F118" s="697">
        <v>10253.32</v>
      </c>
      <c r="G118" s="767">
        <v>140</v>
      </c>
      <c r="H118" s="768">
        <f t="shared" si="35"/>
        <v>10080</v>
      </c>
      <c r="I118" s="482">
        <f t="shared" si="37"/>
        <v>2.4099999999999966</v>
      </c>
      <c r="J118" s="725">
        <f t="shared" si="37"/>
        <v>173.31999999999971</v>
      </c>
    </row>
    <row r="119" spans="1:10" ht="46.8" x14ac:dyDescent="0.3">
      <c r="A119" s="630">
        <f t="shared" si="36"/>
        <v>87</v>
      </c>
      <c r="B119" s="704" t="s">
        <v>2037</v>
      </c>
      <c r="C119" s="662" t="s">
        <v>1968</v>
      </c>
      <c r="D119" s="705">
        <v>281</v>
      </c>
      <c r="E119" s="647">
        <f t="shared" si="34"/>
        <v>106.91</v>
      </c>
      <c r="F119" s="697">
        <v>30042.720000000001</v>
      </c>
      <c r="G119" s="767">
        <v>322.56</v>
      </c>
      <c r="H119" s="768">
        <f t="shared" si="35"/>
        <v>90639.360000000001</v>
      </c>
      <c r="I119" s="482">
        <f t="shared" si="37"/>
        <v>-215.65</v>
      </c>
      <c r="J119" s="725">
        <f t="shared" si="37"/>
        <v>-60596.639999999999</v>
      </c>
    </row>
    <row r="120" spans="1:10" ht="23.25" customHeight="1" x14ac:dyDescent="0.3">
      <c r="A120" s="630">
        <f t="shared" si="36"/>
        <v>88</v>
      </c>
      <c r="B120" s="704" t="s">
        <v>2007</v>
      </c>
      <c r="C120" s="662" t="s">
        <v>1975</v>
      </c>
      <c r="D120" s="705">
        <v>3</v>
      </c>
      <c r="E120" s="647">
        <f t="shared" si="34"/>
        <v>6364.04</v>
      </c>
      <c r="F120" s="697">
        <f>(14847.18+10608.97)/4*D120</f>
        <v>19092.112500000003</v>
      </c>
      <c r="G120" s="767">
        <v>10425</v>
      </c>
      <c r="H120" s="768">
        <f t="shared" si="35"/>
        <v>31275</v>
      </c>
      <c r="I120" s="482">
        <f t="shared" si="37"/>
        <v>-4060.96</v>
      </c>
      <c r="J120" s="725">
        <f t="shared" si="37"/>
        <v>-12182.887499999997</v>
      </c>
    </row>
    <row r="121" spans="1:10" ht="23.25" customHeight="1" x14ac:dyDescent="0.3">
      <c r="A121" s="910">
        <f>A120+1</f>
        <v>89</v>
      </c>
      <c r="B121" s="704" t="s">
        <v>2008</v>
      </c>
      <c r="C121" s="702" t="s">
        <v>1975</v>
      </c>
      <c r="D121" s="705">
        <v>1</v>
      </c>
      <c r="E121" s="916">
        <f>ROUND(F121/D121,2)</f>
        <v>6364.18</v>
      </c>
      <c r="F121" s="947">
        <f>ROUND((14847.18+10608.97)/4*D121,2)+0.14</f>
        <v>6364.18</v>
      </c>
      <c r="G121" s="858">
        <v>11988.75</v>
      </c>
      <c r="H121" s="899">
        <f>ROUND((G121*D121+D122*G122),2)</f>
        <v>11988.75</v>
      </c>
      <c r="I121" s="848">
        <f>E121-G121-G122</f>
        <v>-5624.57</v>
      </c>
      <c r="J121" s="974">
        <f>F121-H121-H122</f>
        <v>-5624.57</v>
      </c>
    </row>
    <row r="122" spans="1:10" x14ac:dyDescent="0.3">
      <c r="A122" s="911"/>
      <c r="B122" s="704" t="s">
        <v>2009</v>
      </c>
      <c r="C122" s="662" t="s">
        <v>1975</v>
      </c>
      <c r="D122" s="705">
        <v>1</v>
      </c>
      <c r="E122" s="917"/>
      <c r="F122" s="948"/>
      <c r="G122" s="859"/>
      <c r="H122" s="901"/>
      <c r="I122" s="849"/>
      <c r="J122" s="975"/>
    </row>
    <row r="123" spans="1:10" x14ac:dyDescent="0.3">
      <c r="A123" s="910">
        <f>A121+1</f>
        <v>90</v>
      </c>
      <c r="B123" s="704" t="s">
        <v>2010</v>
      </c>
      <c r="C123" s="702" t="s">
        <v>1975</v>
      </c>
      <c r="D123" s="705">
        <v>1</v>
      </c>
      <c r="E123" s="916">
        <f>ROUND(F123/D123,2)</f>
        <v>35761.83</v>
      </c>
      <c r="F123" s="947">
        <v>35761.83</v>
      </c>
      <c r="G123" s="858">
        <v>64370.77</v>
      </c>
      <c r="H123" s="899">
        <f>ROUND((G123*D123+D124*G124),2)</f>
        <v>64370.77</v>
      </c>
      <c r="I123" s="848">
        <f>E123-G123-G124</f>
        <v>-28608.939999999995</v>
      </c>
      <c r="J123" s="974">
        <f>F123-H123-H124</f>
        <v>-28608.939999999995</v>
      </c>
    </row>
    <row r="124" spans="1:10" x14ac:dyDescent="0.3">
      <c r="A124" s="911"/>
      <c r="B124" s="704" t="s">
        <v>2009</v>
      </c>
      <c r="C124" s="662" t="s">
        <v>1975</v>
      </c>
      <c r="D124" s="705">
        <v>1</v>
      </c>
      <c r="E124" s="917"/>
      <c r="F124" s="948"/>
      <c r="G124" s="859"/>
      <c r="H124" s="901"/>
      <c r="I124" s="849"/>
      <c r="J124" s="975"/>
    </row>
    <row r="125" spans="1:10" x14ac:dyDescent="0.3">
      <c r="A125" s="630">
        <f>A123+1</f>
        <v>91</v>
      </c>
      <c r="B125" s="704" t="s">
        <v>2011</v>
      </c>
      <c r="C125" s="662" t="s">
        <v>1975</v>
      </c>
      <c r="D125" s="705">
        <v>1</v>
      </c>
      <c r="E125" s="647">
        <f t="shared" ref="E125:E127" si="38">ROUND(F125/D125,2)</f>
        <v>16809.91</v>
      </c>
      <c r="F125" s="697">
        <v>16809.91</v>
      </c>
      <c r="G125" s="767">
        <v>15000</v>
      </c>
      <c r="H125" s="768">
        <f t="shared" ref="H125:H127" si="39">ROUND(G125*D125,2)</f>
        <v>15000</v>
      </c>
      <c r="I125" s="482">
        <f t="shared" ref="I125:J127" si="40">E125-G125</f>
        <v>1809.9099999999999</v>
      </c>
      <c r="J125" s="725">
        <f t="shared" si="40"/>
        <v>1809.9099999999999</v>
      </c>
    </row>
    <row r="126" spans="1:10" x14ac:dyDescent="0.3">
      <c r="A126" s="630">
        <f t="shared" ref="A126:A127" si="41">A125+1</f>
        <v>92</v>
      </c>
      <c r="B126" s="704" t="s">
        <v>2012</v>
      </c>
      <c r="C126" s="662" t="s">
        <v>1975</v>
      </c>
      <c r="D126" s="705">
        <v>1</v>
      </c>
      <c r="E126" s="647">
        <f t="shared" si="38"/>
        <v>11294.21</v>
      </c>
      <c r="F126" s="697">
        <v>11294.21</v>
      </c>
      <c r="G126" s="767">
        <v>15000</v>
      </c>
      <c r="H126" s="768">
        <f t="shared" si="39"/>
        <v>15000</v>
      </c>
      <c r="I126" s="482">
        <f t="shared" si="40"/>
        <v>-3705.7900000000009</v>
      </c>
      <c r="J126" s="725">
        <f t="shared" si="40"/>
        <v>-3705.7900000000009</v>
      </c>
    </row>
    <row r="127" spans="1:10" x14ac:dyDescent="0.3">
      <c r="A127" s="630">
        <f t="shared" si="41"/>
        <v>93</v>
      </c>
      <c r="B127" s="704" t="s">
        <v>2013</v>
      </c>
      <c r="C127" s="702" t="s">
        <v>1975</v>
      </c>
      <c r="D127" s="705">
        <v>1</v>
      </c>
      <c r="E127" s="647">
        <f t="shared" si="38"/>
        <v>73550.600000000006</v>
      </c>
      <c r="F127" s="697">
        <v>73550.600000000006</v>
      </c>
      <c r="G127" s="767">
        <v>172108.4</v>
      </c>
      <c r="H127" s="768">
        <f t="shared" si="39"/>
        <v>172108.4</v>
      </c>
      <c r="I127" s="482">
        <f t="shared" si="40"/>
        <v>-98557.799999999988</v>
      </c>
      <c r="J127" s="725">
        <f t="shared" si="40"/>
        <v>-98557.799999999988</v>
      </c>
    </row>
    <row r="128" spans="1:10" x14ac:dyDescent="0.3">
      <c r="A128" s="910">
        <f>A127+1</f>
        <v>94</v>
      </c>
      <c r="B128" s="704" t="s">
        <v>2014</v>
      </c>
      <c r="C128" s="662" t="s">
        <v>1975</v>
      </c>
      <c r="D128" s="705">
        <v>73</v>
      </c>
      <c r="E128" s="916">
        <f>ROUND(F128/(D128+D130),2)</f>
        <v>35.520000000000003</v>
      </c>
      <c r="F128" s="947">
        <v>3338.67</v>
      </c>
      <c r="G128" s="858">
        <v>448</v>
      </c>
      <c r="H128" s="899">
        <f>ROUND(G128*D128+D129*G129+D130*G130+D131*G131,2)</f>
        <v>32704</v>
      </c>
      <c r="I128" s="848">
        <f>E128-G128-G129-G130-G131</f>
        <v>-412.48</v>
      </c>
      <c r="J128" s="974">
        <f>F128-H128-H130-H129-H131</f>
        <v>-29365.33</v>
      </c>
    </row>
    <row r="129" spans="1:12" x14ac:dyDescent="0.3">
      <c r="A129" s="960"/>
      <c r="B129" s="704" t="s">
        <v>2038</v>
      </c>
      <c r="C129" s="662" t="s">
        <v>1975</v>
      </c>
      <c r="D129" s="705">
        <v>1</v>
      </c>
      <c r="E129" s="961"/>
      <c r="F129" s="962"/>
      <c r="G129" s="970"/>
      <c r="H129" s="900"/>
      <c r="I129" s="895"/>
      <c r="J129" s="976"/>
    </row>
    <row r="130" spans="1:12" x14ac:dyDescent="0.3">
      <c r="A130" s="960"/>
      <c r="B130" s="704" t="s">
        <v>2016</v>
      </c>
      <c r="C130" s="662" t="s">
        <v>1975</v>
      </c>
      <c r="D130" s="705">
        <v>21</v>
      </c>
      <c r="E130" s="961"/>
      <c r="F130" s="962"/>
      <c r="G130" s="970"/>
      <c r="H130" s="900"/>
      <c r="I130" s="895"/>
      <c r="J130" s="976"/>
    </row>
    <row r="131" spans="1:12" x14ac:dyDescent="0.3">
      <c r="A131" s="911"/>
      <c r="B131" s="704" t="s">
        <v>2039</v>
      </c>
      <c r="C131" s="662" t="s">
        <v>1975</v>
      </c>
      <c r="D131" s="705">
        <v>1</v>
      </c>
      <c r="E131" s="917"/>
      <c r="F131" s="948"/>
      <c r="G131" s="859"/>
      <c r="H131" s="901"/>
      <c r="I131" s="849"/>
      <c r="J131" s="975"/>
    </row>
    <row r="132" spans="1:12" ht="21.75" customHeight="1" x14ac:dyDescent="0.3">
      <c r="A132" s="630">
        <f>A128+1</f>
        <v>95</v>
      </c>
      <c r="B132" s="715" t="s">
        <v>2018</v>
      </c>
      <c r="C132" s="662" t="s">
        <v>1975</v>
      </c>
      <c r="D132" s="705">
        <v>4</v>
      </c>
      <c r="E132" s="647">
        <f t="shared" ref="E132:E134" si="42">ROUND(F132/D132,2)</f>
        <v>0</v>
      </c>
      <c r="F132" s="697"/>
      <c r="G132" s="767">
        <v>12480</v>
      </c>
      <c r="H132" s="768">
        <f t="shared" ref="H132:H134" si="43">ROUND(G132*D132,2)</f>
        <v>49920</v>
      </c>
      <c r="I132" s="482">
        <f t="shared" ref="I132:J134" si="44">E132-G132</f>
        <v>-12480</v>
      </c>
      <c r="J132" s="725">
        <f t="shared" si="44"/>
        <v>-49920</v>
      </c>
      <c r="K132" s="489" t="s">
        <v>2019</v>
      </c>
    </row>
    <row r="133" spans="1:12" x14ac:dyDescent="0.3">
      <c r="A133" s="630">
        <f>A132+1</f>
        <v>96</v>
      </c>
      <c r="B133" s="704" t="s">
        <v>2020</v>
      </c>
      <c r="C133" s="702" t="s">
        <v>1975</v>
      </c>
      <c r="D133" s="705">
        <v>4</v>
      </c>
      <c r="E133" s="647">
        <f t="shared" si="42"/>
        <v>548.54</v>
      </c>
      <c r="F133" s="697">
        <v>2194.16</v>
      </c>
      <c r="G133" s="767">
        <v>500</v>
      </c>
      <c r="H133" s="768">
        <f t="shared" si="43"/>
        <v>2000</v>
      </c>
      <c r="I133" s="482">
        <f t="shared" si="44"/>
        <v>48.539999999999964</v>
      </c>
      <c r="J133" s="725">
        <f t="shared" si="44"/>
        <v>194.15999999999985</v>
      </c>
    </row>
    <row r="134" spans="1:12" x14ac:dyDescent="0.3">
      <c r="A134" s="630">
        <f t="shared" ref="A134:A135" si="45">A133+1</f>
        <v>97</v>
      </c>
      <c r="B134" s="704" t="s">
        <v>2021</v>
      </c>
      <c r="C134" s="702" t="s">
        <v>1975</v>
      </c>
      <c r="D134" s="705">
        <v>2</v>
      </c>
      <c r="E134" s="647">
        <f t="shared" si="42"/>
        <v>10638.49</v>
      </c>
      <c r="F134" s="697">
        <v>21276.97</v>
      </c>
      <c r="G134" s="767">
        <v>7978.96</v>
      </c>
      <c r="H134" s="768">
        <f t="shared" si="43"/>
        <v>15957.92</v>
      </c>
      <c r="I134" s="482">
        <f t="shared" si="44"/>
        <v>2659.5299999999997</v>
      </c>
      <c r="J134" s="725">
        <f t="shared" si="44"/>
        <v>5319.0500000000011</v>
      </c>
    </row>
    <row r="135" spans="1:12" x14ac:dyDescent="0.3">
      <c r="A135" s="910">
        <f t="shared" si="45"/>
        <v>98</v>
      </c>
      <c r="B135" s="704" t="s">
        <v>2022</v>
      </c>
      <c r="C135" s="662" t="s">
        <v>1975</v>
      </c>
      <c r="D135" s="705">
        <v>1</v>
      </c>
      <c r="E135" s="916">
        <f>ROUND(F135/D135,2)</f>
        <v>11057.88</v>
      </c>
      <c r="F135" s="947">
        <v>11057.88</v>
      </c>
      <c r="G135" s="858">
        <v>39366.050000000003</v>
      </c>
      <c r="H135" s="899">
        <f>ROUND((G135*D135+D136*G136),2)</f>
        <v>39366.050000000003</v>
      </c>
      <c r="I135" s="848">
        <f>E135-G135-G136</f>
        <v>-28308.170000000006</v>
      </c>
      <c r="J135" s="974">
        <f>F135-H135-H136</f>
        <v>-28308.170000000006</v>
      </c>
    </row>
    <row r="136" spans="1:12" x14ac:dyDescent="0.3">
      <c r="A136" s="911"/>
      <c r="B136" s="704" t="s">
        <v>2009</v>
      </c>
      <c r="C136" s="662" t="s">
        <v>1975</v>
      </c>
      <c r="D136" s="705">
        <v>1</v>
      </c>
      <c r="E136" s="917"/>
      <c r="F136" s="948"/>
      <c r="G136" s="859"/>
      <c r="H136" s="901"/>
      <c r="I136" s="849"/>
      <c r="J136" s="975"/>
    </row>
    <row r="137" spans="1:12" x14ac:dyDescent="0.3">
      <c r="A137" s="910">
        <f>A135+1</f>
        <v>99</v>
      </c>
      <c r="B137" s="704" t="s">
        <v>2023</v>
      </c>
      <c r="C137" s="662" t="s">
        <v>1975</v>
      </c>
      <c r="D137" s="705">
        <v>1</v>
      </c>
      <c r="E137" s="916">
        <f>ROUND(F137/D137,2)</f>
        <v>2766.82</v>
      </c>
      <c r="F137" s="947">
        <v>2766.82</v>
      </c>
      <c r="G137" s="858">
        <v>26842</v>
      </c>
      <c r="H137" s="899">
        <f>ROUND((G137*D137+D138*G138),2)</f>
        <v>26842</v>
      </c>
      <c r="I137" s="848">
        <f>E137-G137-G138</f>
        <v>-24075.18</v>
      </c>
      <c r="J137" s="974">
        <f>F137-H137-H138</f>
        <v>-24075.18</v>
      </c>
    </row>
    <row r="138" spans="1:12" x14ac:dyDescent="0.3">
      <c r="A138" s="911"/>
      <c r="B138" s="704" t="s">
        <v>2009</v>
      </c>
      <c r="C138" s="662" t="s">
        <v>1975</v>
      </c>
      <c r="D138" s="705">
        <v>1</v>
      </c>
      <c r="E138" s="917"/>
      <c r="F138" s="948"/>
      <c r="G138" s="859"/>
      <c r="H138" s="901"/>
      <c r="I138" s="849"/>
      <c r="J138" s="975"/>
    </row>
    <row r="139" spans="1:12" x14ac:dyDescent="0.3">
      <c r="A139" s="630">
        <f>A137+1</f>
        <v>100</v>
      </c>
      <c r="B139" s="726" t="s">
        <v>2024</v>
      </c>
      <c r="C139" s="662" t="s">
        <v>1975</v>
      </c>
      <c r="D139" s="705">
        <v>2</v>
      </c>
      <c r="E139" s="647">
        <f t="shared" ref="E139" si="46">ROUND(F139/D139,2)</f>
        <v>0</v>
      </c>
      <c r="F139" s="697"/>
      <c r="G139" s="767">
        <v>423</v>
      </c>
      <c r="H139" s="768">
        <f t="shared" ref="H139" si="47">ROUND(G139*D139,2)</f>
        <v>846</v>
      </c>
      <c r="I139" s="482">
        <f t="shared" ref="I139:J143" si="48">E139-G139</f>
        <v>-423</v>
      </c>
      <c r="J139" s="725">
        <f t="shared" si="48"/>
        <v>-846</v>
      </c>
    </row>
    <row r="140" spans="1:12" s="692" customFormat="1" ht="21" customHeight="1" x14ac:dyDescent="0.3">
      <c r="A140" s="693"/>
      <c r="B140" s="965" t="s">
        <v>2025</v>
      </c>
      <c r="C140" s="966"/>
      <c r="D140" s="966"/>
      <c r="E140" s="966"/>
      <c r="F140" s="966"/>
      <c r="G140" s="966"/>
      <c r="H140" s="966"/>
      <c r="I140" s="966"/>
      <c r="J140" s="967"/>
      <c r="K140" s="716">
        <f>SUM(F78:F139)</f>
        <v>760678.09250000003</v>
      </c>
      <c r="L140" s="691"/>
    </row>
    <row r="141" spans="1:12" ht="31.2" x14ac:dyDescent="0.3">
      <c r="A141" s="630">
        <f>A139+1</f>
        <v>101</v>
      </c>
      <c r="B141" s="694" t="s">
        <v>2026</v>
      </c>
      <c r="C141" s="710" t="s">
        <v>2027</v>
      </c>
      <c r="D141" s="717">
        <v>1</v>
      </c>
      <c r="E141" s="647">
        <f t="shared" ref="E141:E143" si="49">ROUND(F141/D141,2)</f>
        <v>50216.05</v>
      </c>
      <c r="F141" s="697">
        <v>50216.05</v>
      </c>
      <c r="G141" s="793">
        <v>157678.32999999999</v>
      </c>
      <c r="H141" s="768">
        <f t="shared" ref="H141:H143" si="50">ROUND(G141*D141,2)</f>
        <v>157678.32999999999</v>
      </c>
      <c r="I141" s="642">
        <f t="shared" si="48"/>
        <v>-107462.27999999998</v>
      </c>
      <c r="J141" s="724">
        <f t="shared" si="48"/>
        <v>-107462.27999999998</v>
      </c>
    </row>
    <row r="142" spans="1:12" ht="31.2" x14ac:dyDescent="0.3">
      <c r="A142" s="630">
        <f>A141+1</f>
        <v>102</v>
      </c>
      <c r="B142" s="699" t="s">
        <v>2028</v>
      </c>
      <c r="C142" s="702" t="s">
        <v>1975</v>
      </c>
      <c r="D142" s="705">
        <v>1</v>
      </c>
      <c r="E142" s="647">
        <f t="shared" si="49"/>
        <v>47096.45</v>
      </c>
      <c r="F142" s="697">
        <v>47096.45</v>
      </c>
      <c r="G142" s="767">
        <v>117396.1</v>
      </c>
      <c r="H142" s="768">
        <f t="shared" si="50"/>
        <v>117396.1</v>
      </c>
      <c r="I142" s="482">
        <f t="shared" si="48"/>
        <v>-70299.650000000009</v>
      </c>
      <c r="J142" s="725">
        <f t="shared" si="48"/>
        <v>-70299.650000000009</v>
      </c>
    </row>
    <row r="143" spans="1:12" ht="31.2" x14ac:dyDescent="0.3">
      <c r="A143" s="630">
        <f>A142+1</f>
        <v>103</v>
      </c>
      <c r="B143" s="699" t="s">
        <v>2029</v>
      </c>
      <c r="C143" s="702" t="s">
        <v>1975</v>
      </c>
      <c r="D143" s="705">
        <v>1</v>
      </c>
      <c r="E143" s="647">
        <f t="shared" si="49"/>
        <v>53462.09</v>
      </c>
      <c r="F143" s="697">
        <v>53462.09</v>
      </c>
      <c r="G143" s="767">
        <v>195660.16</v>
      </c>
      <c r="H143" s="768">
        <f t="shared" si="50"/>
        <v>195660.16</v>
      </c>
      <c r="I143" s="482">
        <f t="shared" si="48"/>
        <v>-142198.07</v>
      </c>
      <c r="J143" s="725">
        <f t="shared" si="48"/>
        <v>-142198.07</v>
      </c>
      <c r="K143" s="499">
        <f>108926.24+11837794.95</f>
        <v>11946721.189999999</v>
      </c>
    </row>
    <row r="144" spans="1:12" s="483" customFormat="1" ht="19.5" customHeight="1" x14ac:dyDescent="0.35">
      <c r="A144" s="485"/>
      <c r="B144" s="920" t="s">
        <v>2040</v>
      </c>
      <c r="C144" s="921"/>
      <c r="D144" s="921"/>
      <c r="E144" s="684"/>
      <c r="F144" s="685">
        <f>SUM(F78:F143)</f>
        <v>911452.6825</v>
      </c>
      <c r="G144" s="778"/>
      <c r="H144" s="779">
        <f>SUM(H78:H143)</f>
        <v>1638716.1400000001</v>
      </c>
      <c r="I144" s="686"/>
      <c r="J144" s="685">
        <f>SUM(J78:J143)</f>
        <v>-727263.45750000002</v>
      </c>
      <c r="K144" s="490">
        <f>K140+[1]Материалы!F135</f>
        <v>11946921.192500001</v>
      </c>
      <c r="L144" s="718"/>
    </row>
    <row r="145" spans="1:12" s="692" customFormat="1" ht="21" customHeight="1" x14ac:dyDescent="0.3">
      <c r="A145" s="689"/>
      <c r="B145" s="943" t="s">
        <v>2041</v>
      </c>
      <c r="C145" s="944"/>
      <c r="D145" s="944"/>
      <c r="E145" s="944"/>
      <c r="F145" s="944"/>
      <c r="G145" s="944"/>
      <c r="H145" s="944"/>
      <c r="I145" s="944"/>
      <c r="J145" s="977"/>
      <c r="K145" s="690"/>
      <c r="L145" s="691"/>
    </row>
    <row r="146" spans="1:12" s="692" customFormat="1" ht="21" customHeight="1" x14ac:dyDescent="0.3">
      <c r="A146" s="693"/>
      <c r="B146" s="945" t="s">
        <v>2042</v>
      </c>
      <c r="C146" s="946"/>
      <c r="D146" s="946"/>
      <c r="E146" s="946"/>
      <c r="F146" s="946"/>
      <c r="G146" s="946"/>
      <c r="H146" s="946"/>
      <c r="I146" s="946"/>
      <c r="J146" s="978"/>
      <c r="K146" s="690"/>
      <c r="L146" s="691"/>
    </row>
    <row r="147" spans="1:12" x14ac:dyDescent="0.3">
      <c r="A147" s="630">
        <f>A143+1</f>
        <v>104</v>
      </c>
      <c r="B147" s="719" t="s">
        <v>1961</v>
      </c>
      <c r="C147" s="695" t="s">
        <v>17</v>
      </c>
      <c r="D147" s="696">
        <v>15.52</v>
      </c>
      <c r="E147" s="647">
        <f t="shared" ref="E147:E153" si="51">ROUND(F147/D147,2)</f>
        <v>1119</v>
      </c>
      <c r="F147" s="697">
        <v>17366.849999999999</v>
      </c>
      <c r="G147" s="645">
        <v>2397.5</v>
      </c>
      <c r="H147" s="619">
        <f t="shared" ref="H147:H154" si="52">ROUND(G147*D147,2)</f>
        <v>37209.199999999997</v>
      </c>
      <c r="I147" s="642">
        <f>E147-G147</f>
        <v>-1278.5</v>
      </c>
      <c r="J147" s="698">
        <f>F147-H147</f>
        <v>-19842.349999999999</v>
      </c>
    </row>
    <row r="148" spans="1:12" ht="31.2" x14ac:dyDescent="0.3">
      <c r="A148" s="630">
        <f>A147+1</f>
        <v>105</v>
      </c>
      <c r="B148" s="720" t="s">
        <v>1962</v>
      </c>
      <c r="C148" s="442" t="s">
        <v>17</v>
      </c>
      <c r="D148" s="703">
        <f>9.15/2.06</f>
        <v>4.441747572815534</v>
      </c>
      <c r="E148" s="647">
        <f t="shared" si="51"/>
        <v>96.04</v>
      </c>
      <c r="F148" s="697">
        <f>41.55+385.05</f>
        <v>426.6</v>
      </c>
      <c r="G148" s="552">
        <v>260</v>
      </c>
      <c r="H148" s="619">
        <f t="shared" si="52"/>
        <v>1154.8499999999999</v>
      </c>
      <c r="I148" s="482">
        <f>E148-G148</f>
        <v>-163.95999999999998</v>
      </c>
      <c r="J148" s="701">
        <f t="shared" ref="J148:J150" si="53">F148-H148</f>
        <v>-728.24999999999989</v>
      </c>
    </row>
    <row r="149" spans="1:12" x14ac:dyDescent="0.3">
      <c r="A149" s="630">
        <f t="shared" ref="A149:A153" si="54">A148+1</f>
        <v>106</v>
      </c>
      <c r="B149" s="720" t="s">
        <v>1963</v>
      </c>
      <c r="C149" s="702" t="s">
        <v>1964</v>
      </c>
      <c r="D149" s="703">
        <v>9.15</v>
      </c>
      <c r="E149" s="647">
        <f t="shared" si="51"/>
        <v>187.57</v>
      </c>
      <c r="F149" s="697">
        <v>1716.3</v>
      </c>
      <c r="G149" s="552">
        <v>250</v>
      </c>
      <c r="H149" s="619">
        <f t="shared" si="52"/>
        <v>2287.5</v>
      </c>
      <c r="I149" s="482">
        <f t="shared" ref="I149:I151" si="55">E149-G149</f>
        <v>-62.430000000000007</v>
      </c>
      <c r="J149" s="701">
        <f t="shared" si="53"/>
        <v>-571.20000000000005</v>
      </c>
    </row>
    <row r="150" spans="1:12" ht="31.5" customHeight="1" x14ac:dyDescent="0.3">
      <c r="A150" s="630">
        <f t="shared" si="54"/>
        <v>107</v>
      </c>
      <c r="B150" s="720" t="s">
        <v>1965</v>
      </c>
      <c r="C150" s="442" t="s">
        <v>17</v>
      </c>
      <c r="D150" s="703">
        <v>11.08</v>
      </c>
      <c r="E150" s="647">
        <f t="shared" si="51"/>
        <v>86.86</v>
      </c>
      <c r="F150" s="697">
        <v>962.45</v>
      </c>
      <c r="G150" s="552">
        <v>260</v>
      </c>
      <c r="H150" s="619">
        <f t="shared" si="52"/>
        <v>2880.8</v>
      </c>
      <c r="I150" s="482">
        <f t="shared" si="55"/>
        <v>-173.14</v>
      </c>
      <c r="J150" s="701">
        <f t="shared" si="53"/>
        <v>-1918.3500000000001</v>
      </c>
      <c r="K150" s="478"/>
    </row>
    <row r="151" spans="1:12" ht="31.5" customHeight="1" x14ac:dyDescent="0.3">
      <c r="A151" s="630">
        <f t="shared" si="54"/>
        <v>108</v>
      </c>
      <c r="B151" s="721" t="s">
        <v>1966</v>
      </c>
      <c r="C151" s="662" t="s">
        <v>1964</v>
      </c>
      <c r="D151" s="700">
        <f>11.08*2.06</f>
        <v>22.8248</v>
      </c>
      <c r="E151" s="647">
        <f t="shared" si="51"/>
        <v>47.17</v>
      </c>
      <c r="F151" s="697">
        <v>1076.58</v>
      </c>
      <c r="G151" s="552">
        <v>220</v>
      </c>
      <c r="H151" s="619">
        <f t="shared" si="52"/>
        <v>5021.46</v>
      </c>
      <c r="I151" s="482">
        <f t="shared" si="55"/>
        <v>-172.82999999999998</v>
      </c>
      <c r="J151" s="701">
        <f>F151-H151</f>
        <v>-3944.88</v>
      </c>
      <c r="K151" s="478"/>
    </row>
    <row r="152" spans="1:12" ht="24" customHeight="1" x14ac:dyDescent="0.3">
      <c r="A152" s="630">
        <f t="shared" si="54"/>
        <v>109</v>
      </c>
      <c r="B152" s="704" t="s">
        <v>1967</v>
      </c>
      <c r="C152" s="662" t="s">
        <v>1968</v>
      </c>
      <c r="D152" s="705">
        <v>4</v>
      </c>
      <c r="E152" s="647">
        <f t="shared" si="51"/>
        <v>386.29</v>
      </c>
      <c r="F152" s="697">
        <v>1545.16</v>
      </c>
      <c r="G152" s="552">
        <v>350</v>
      </c>
      <c r="H152" s="619">
        <f t="shared" si="52"/>
        <v>1400</v>
      </c>
      <c r="I152" s="482">
        <f t="shared" ref="I152" si="56">ROUND(E152-G152,2)</f>
        <v>36.29</v>
      </c>
      <c r="J152" s="701">
        <f>F152-H152</f>
        <v>145.16000000000008</v>
      </c>
      <c r="K152" s="478"/>
    </row>
    <row r="153" spans="1:12" ht="24" customHeight="1" x14ac:dyDescent="0.3">
      <c r="A153" s="630">
        <f t="shared" si="54"/>
        <v>110</v>
      </c>
      <c r="B153" s="704" t="s">
        <v>1971</v>
      </c>
      <c r="C153" s="702" t="s">
        <v>1968</v>
      </c>
      <c r="D153" s="705">
        <v>24</v>
      </c>
      <c r="E153" s="647">
        <f t="shared" si="51"/>
        <v>126.23</v>
      </c>
      <c r="F153" s="697">
        <f>15847.81-13018.32+200</f>
        <v>3029.49</v>
      </c>
      <c r="G153" s="552">
        <v>356.38</v>
      </c>
      <c r="H153" s="619">
        <f t="shared" si="52"/>
        <v>8553.1200000000008</v>
      </c>
      <c r="I153" s="482">
        <f>E153-G153</f>
        <v>-230.14999999999998</v>
      </c>
      <c r="J153" s="701">
        <f>F153-H153</f>
        <v>-5523.630000000001</v>
      </c>
      <c r="K153" s="478"/>
    </row>
    <row r="154" spans="1:12" ht="20.25" customHeight="1" x14ac:dyDescent="0.3">
      <c r="A154" s="910">
        <f>A153+1</f>
        <v>111</v>
      </c>
      <c r="B154" s="704" t="s">
        <v>1969</v>
      </c>
      <c r="C154" s="702" t="s">
        <v>1968</v>
      </c>
      <c r="D154" s="705">
        <v>63</v>
      </c>
      <c r="E154" s="916">
        <f>ROUND(F154/D154,2)</f>
        <v>109.97</v>
      </c>
      <c r="F154" s="947">
        <f>41101.34-34173.09</f>
        <v>6928.25</v>
      </c>
      <c r="G154" s="949">
        <v>329</v>
      </c>
      <c r="H154" s="951">
        <f t="shared" si="52"/>
        <v>20727</v>
      </c>
      <c r="I154" s="848">
        <f>E154-G154-G155</f>
        <v>-219.03</v>
      </c>
      <c r="J154" s="953">
        <f>F154-H154-H155</f>
        <v>-13798.75</v>
      </c>
      <c r="K154" s="478"/>
    </row>
    <row r="155" spans="1:12" ht="20.25" customHeight="1" x14ac:dyDescent="0.3">
      <c r="A155" s="911"/>
      <c r="B155" s="704" t="s">
        <v>1970</v>
      </c>
      <c r="C155" s="442" t="s">
        <v>17</v>
      </c>
      <c r="D155" s="703">
        <v>1.49</v>
      </c>
      <c r="E155" s="917"/>
      <c r="F155" s="948"/>
      <c r="G155" s="950"/>
      <c r="H155" s="952"/>
      <c r="I155" s="849"/>
      <c r="J155" s="954"/>
      <c r="K155" s="478"/>
    </row>
    <row r="156" spans="1:12" ht="20.25" customHeight="1" x14ac:dyDescent="0.3">
      <c r="A156" s="910">
        <f>A154+1</f>
        <v>112</v>
      </c>
      <c r="B156" s="721" t="s">
        <v>1972</v>
      </c>
      <c r="C156" s="702" t="s">
        <v>1968</v>
      </c>
      <c r="D156" s="705">
        <v>10</v>
      </c>
      <c r="E156" s="916">
        <f>ROUND(F156/30,2)</f>
        <v>869.51</v>
      </c>
      <c r="F156" s="947">
        <v>26085.35</v>
      </c>
      <c r="G156" s="949">
        <v>800</v>
      </c>
      <c r="H156" s="951">
        <f>ROUND(G156*D156+D157*G157+D158*G158+D159*G159,2)</f>
        <v>8000</v>
      </c>
      <c r="I156" s="848">
        <f>E156-G156-G158-G159-G157</f>
        <v>69.509999999999991</v>
      </c>
      <c r="J156" s="953">
        <f>F156-H156-H158-H159-H157</f>
        <v>18085.349999999999</v>
      </c>
      <c r="K156" s="478"/>
    </row>
    <row r="157" spans="1:12" ht="20.25" customHeight="1" x14ac:dyDescent="0.3">
      <c r="A157" s="960"/>
      <c r="B157" s="722" t="s">
        <v>1973</v>
      </c>
      <c r="C157" s="702" t="s">
        <v>1968</v>
      </c>
      <c r="D157" s="705">
        <v>20</v>
      </c>
      <c r="E157" s="961"/>
      <c r="F157" s="962"/>
      <c r="G157" s="963"/>
      <c r="H157" s="964"/>
      <c r="I157" s="895"/>
      <c r="J157" s="955"/>
      <c r="K157" s="478"/>
    </row>
    <row r="158" spans="1:12" ht="20.25" customHeight="1" x14ac:dyDescent="0.3">
      <c r="A158" s="960"/>
      <c r="B158" s="722" t="s">
        <v>1974</v>
      </c>
      <c r="C158" s="702" t="s">
        <v>1975</v>
      </c>
      <c r="D158" s="705">
        <v>4</v>
      </c>
      <c r="E158" s="961"/>
      <c r="F158" s="962"/>
      <c r="G158" s="963"/>
      <c r="H158" s="964"/>
      <c r="I158" s="895"/>
      <c r="J158" s="955"/>
      <c r="K158" s="478"/>
    </row>
    <row r="159" spans="1:12" ht="20.25" customHeight="1" x14ac:dyDescent="0.3">
      <c r="A159" s="911"/>
      <c r="B159" s="722" t="s">
        <v>1976</v>
      </c>
      <c r="C159" s="702" t="s">
        <v>1975</v>
      </c>
      <c r="D159" s="705">
        <v>6</v>
      </c>
      <c r="E159" s="917"/>
      <c r="F159" s="948"/>
      <c r="G159" s="950"/>
      <c r="H159" s="952"/>
      <c r="I159" s="849"/>
      <c r="J159" s="954"/>
      <c r="K159" s="478"/>
    </row>
    <row r="160" spans="1:12" ht="20.25" customHeight="1" x14ac:dyDescent="0.3">
      <c r="A160" s="630">
        <f>A156+1</f>
        <v>113</v>
      </c>
      <c r="B160" s="704" t="s">
        <v>1977</v>
      </c>
      <c r="C160" s="442" t="s">
        <v>17</v>
      </c>
      <c r="D160" s="703">
        <v>2.96</v>
      </c>
      <c r="E160" s="647">
        <f t="shared" ref="E160:E163" si="57">ROUND(F160/D160,2)</f>
        <v>619.03</v>
      </c>
      <c r="F160" s="697">
        <v>1832.32</v>
      </c>
      <c r="G160" s="552">
        <v>1480.83</v>
      </c>
      <c r="H160" s="619">
        <f t="shared" ref="H160" si="58">ROUND(G160*D160,2)</f>
        <v>4383.26</v>
      </c>
      <c r="I160" s="482">
        <f t="shared" ref="I160:J162" si="59">E160-G160</f>
        <v>-861.8</v>
      </c>
      <c r="J160" s="701">
        <f>F160-H160</f>
        <v>-2550.9400000000005</v>
      </c>
      <c r="K160" s="478"/>
    </row>
    <row r="161" spans="1:12" ht="31.5" customHeight="1" x14ac:dyDescent="0.3">
      <c r="A161" s="630">
        <f>A160+1</f>
        <v>114</v>
      </c>
      <c r="B161" s="721" t="s">
        <v>1978</v>
      </c>
      <c r="C161" s="661" t="s">
        <v>17</v>
      </c>
      <c r="D161" s="703">
        <v>11.08</v>
      </c>
      <c r="E161" s="647">
        <f t="shared" si="57"/>
        <v>86.69</v>
      </c>
      <c r="F161" s="697">
        <v>960.49</v>
      </c>
      <c r="G161" s="552">
        <v>260</v>
      </c>
      <c r="H161" s="619">
        <f>ROUND(G161*D161,2)</f>
        <v>2880.8</v>
      </c>
      <c r="I161" s="482">
        <f t="shared" si="59"/>
        <v>-173.31</v>
      </c>
      <c r="J161" s="701">
        <f t="shared" si="59"/>
        <v>-1920.3100000000002</v>
      </c>
      <c r="K161" s="478"/>
    </row>
    <row r="162" spans="1:12" ht="33" customHeight="1" x14ac:dyDescent="0.3">
      <c r="A162" s="630">
        <f>A161+1</f>
        <v>115</v>
      </c>
      <c r="B162" s="721" t="s">
        <v>1979</v>
      </c>
      <c r="C162" s="662" t="s">
        <v>1964</v>
      </c>
      <c r="D162" s="700">
        <f>D161*2.06</f>
        <v>22.8248</v>
      </c>
      <c r="E162" s="647">
        <f t="shared" si="57"/>
        <v>47.17</v>
      </c>
      <c r="F162" s="697">
        <v>1076.58</v>
      </c>
      <c r="G162" s="552">
        <v>220</v>
      </c>
      <c r="H162" s="619">
        <f>ROUND(G162*D162,2)</f>
        <v>5021.46</v>
      </c>
      <c r="I162" s="482">
        <f t="shared" si="59"/>
        <v>-172.82999999999998</v>
      </c>
      <c r="J162" s="701">
        <f t="shared" si="59"/>
        <v>-3944.88</v>
      </c>
      <c r="K162" s="478"/>
    </row>
    <row r="163" spans="1:12" ht="21" customHeight="1" x14ac:dyDescent="0.3">
      <c r="A163" s="910">
        <f>A162+1</f>
        <v>116</v>
      </c>
      <c r="B163" s="723" t="s">
        <v>1980</v>
      </c>
      <c r="C163" s="956" t="s">
        <v>17</v>
      </c>
      <c r="D163" s="958">
        <v>11.08</v>
      </c>
      <c r="E163" s="972">
        <f t="shared" si="57"/>
        <v>619.16999999999996</v>
      </c>
      <c r="F163" s="947">
        <f>6860.43</f>
        <v>6860.43</v>
      </c>
      <c r="G163" s="949">
        <v>1030</v>
      </c>
      <c r="H163" s="951">
        <f>ROUND(G163*D163,2)</f>
        <v>11412.4</v>
      </c>
      <c r="I163" s="848">
        <f>E163-G163-G164</f>
        <v>-410.83000000000004</v>
      </c>
      <c r="J163" s="953">
        <f>F163-H163-H164</f>
        <v>-4551.9699999999993</v>
      </c>
      <c r="K163" s="478"/>
    </row>
    <row r="164" spans="1:12" ht="21" customHeight="1" x14ac:dyDescent="0.3">
      <c r="A164" s="911"/>
      <c r="B164" s="723" t="s">
        <v>1981</v>
      </c>
      <c r="C164" s="957"/>
      <c r="D164" s="959"/>
      <c r="E164" s="973"/>
      <c r="F164" s="948"/>
      <c r="G164" s="950"/>
      <c r="H164" s="952"/>
      <c r="I164" s="849"/>
      <c r="J164" s="954"/>
      <c r="K164" s="478"/>
    </row>
    <row r="165" spans="1:12" ht="23.25" customHeight="1" x14ac:dyDescent="0.3">
      <c r="A165" s="630">
        <f>A163+1</f>
        <v>117</v>
      </c>
      <c r="B165" s="720" t="s">
        <v>1982</v>
      </c>
      <c r="C165" s="442" t="s">
        <v>17</v>
      </c>
      <c r="D165" s="703">
        <v>3.53</v>
      </c>
      <c r="E165" s="647">
        <f t="shared" ref="E165:E169" si="60">ROUND(F165/D165,2)</f>
        <v>1110.98</v>
      </c>
      <c r="F165" s="697">
        <v>3921.76</v>
      </c>
      <c r="G165" s="552">
        <v>2397.5</v>
      </c>
      <c r="H165" s="619">
        <f t="shared" ref="H165:H168" si="61">ROUND(G165*D165,2)</f>
        <v>8463.18</v>
      </c>
      <c r="I165" s="482">
        <f>E165-G165</f>
        <v>-1286.52</v>
      </c>
      <c r="J165" s="701">
        <f t="shared" ref="J165:J169" si="62">F165-H165</f>
        <v>-4541.42</v>
      </c>
      <c r="K165" s="478"/>
    </row>
    <row r="166" spans="1:12" ht="31.5" customHeight="1" x14ac:dyDescent="0.3">
      <c r="A166" s="630">
        <f>A165+1</f>
        <v>118</v>
      </c>
      <c r="B166" s="720" t="s">
        <v>1983</v>
      </c>
      <c r="C166" s="442" t="s">
        <v>17</v>
      </c>
      <c r="D166" s="703">
        <f>D165</f>
        <v>3.53</v>
      </c>
      <c r="E166" s="647">
        <f t="shared" si="60"/>
        <v>96.31</v>
      </c>
      <c r="F166" s="697">
        <f>33.76+306.23</f>
        <v>339.99</v>
      </c>
      <c r="G166" s="552">
        <v>260</v>
      </c>
      <c r="H166" s="619">
        <f t="shared" si="61"/>
        <v>917.8</v>
      </c>
      <c r="I166" s="482">
        <f t="shared" ref="I166:I170" si="63">E166-G166</f>
        <v>-163.69</v>
      </c>
      <c r="J166" s="701">
        <f t="shared" si="62"/>
        <v>-577.80999999999995</v>
      </c>
      <c r="K166" s="478"/>
    </row>
    <row r="167" spans="1:12" ht="31.5" customHeight="1" x14ac:dyDescent="0.3">
      <c r="A167" s="630">
        <f t="shared" ref="A167:A168" si="64">A166+1</f>
        <v>119</v>
      </c>
      <c r="B167" s="720" t="s">
        <v>1984</v>
      </c>
      <c r="C167" s="662" t="s">
        <v>1964</v>
      </c>
      <c r="D167" s="703">
        <f>D165*2.06</f>
        <v>7.2717999999999998</v>
      </c>
      <c r="E167" s="647">
        <f t="shared" si="60"/>
        <v>47.15</v>
      </c>
      <c r="F167" s="697">
        <v>342.89</v>
      </c>
      <c r="G167" s="552">
        <v>220</v>
      </c>
      <c r="H167" s="619">
        <f t="shared" si="61"/>
        <v>1599.8</v>
      </c>
      <c r="I167" s="482">
        <f t="shared" si="63"/>
        <v>-172.85</v>
      </c>
      <c r="J167" s="701">
        <f t="shared" si="62"/>
        <v>-1256.9099999999999</v>
      </c>
      <c r="K167" s="478"/>
    </row>
    <row r="168" spans="1:12" ht="31.5" customHeight="1" x14ac:dyDescent="0.3">
      <c r="A168" s="630">
        <f t="shared" si="64"/>
        <v>120</v>
      </c>
      <c r="B168" s="720" t="s">
        <v>1985</v>
      </c>
      <c r="C168" s="442" t="s">
        <v>17</v>
      </c>
      <c r="D168" s="703">
        <f>D165</f>
        <v>3.53</v>
      </c>
      <c r="E168" s="647">
        <f t="shared" si="60"/>
        <v>86.75</v>
      </c>
      <c r="F168" s="697">
        <v>306.23</v>
      </c>
      <c r="G168" s="552">
        <v>260</v>
      </c>
      <c r="H168" s="619">
        <f t="shared" si="61"/>
        <v>917.8</v>
      </c>
      <c r="I168" s="482">
        <f t="shared" si="63"/>
        <v>-173.25</v>
      </c>
      <c r="J168" s="701">
        <f t="shared" si="62"/>
        <v>-611.56999999999994</v>
      </c>
      <c r="K168" s="478"/>
    </row>
    <row r="169" spans="1:12" ht="31.5" customHeight="1" x14ac:dyDescent="0.3">
      <c r="A169" s="630">
        <f>A168+1</f>
        <v>121</v>
      </c>
      <c r="B169" s="721" t="s">
        <v>1979</v>
      </c>
      <c r="C169" s="662" t="s">
        <v>1964</v>
      </c>
      <c r="D169" s="703">
        <f>D165*2.06</f>
        <v>7.2717999999999998</v>
      </c>
      <c r="E169" s="647">
        <f t="shared" si="60"/>
        <v>47.15</v>
      </c>
      <c r="F169" s="697">
        <v>342.86</v>
      </c>
      <c r="G169" s="552">
        <v>220</v>
      </c>
      <c r="H169" s="619">
        <f>ROUND(G169*D169,2)</f>
        <v>1599.8</v>
      </c>
      <c r="I169" s="482">
        <f t="shared" si="63"/>
        <v>-172.85</v>
      </c>
      <c r="J169" s="701">
        <f t="shared" si="62"/>
        <v>-1256.94</v>
      </c>
      <c r="K169" s="478"/>
    </row>
    <row r="170" spans="1:12" ht="21" customHeight="1" x14ac:dyDescent="0.3">
      <c r="A170" s="910">
        <f>A169+1</f>
        <v>122</v>
      </c>
      <c r="B170" s="721" t="s">
        <v>1986</v>
      </c>
      <c r="C170" s="956" t="s">
        <v>17</v>
      </c>
      <c r="D170" s="971">
        <f>D166</f>
        <v>3.53</v>
      </c>
      <c r="E170" s="916">
        <f>ROUND(F170/D170,2)</f>
        <v>619.02</v>
      </c>
      <c r="F170" s="968">
        <v>2185.14</v>
      </c>
      <c r="G170" s="949">
        <v>1030</v>
      </c>
      <c r="H170" s="951">
        <f>ROUND(G170*D170,2)</f>
        <v>3635.9</v>
      </c>
      <c r="I170" s="848">
        <f t="shared" si="63"/>
        <v>-410.98</v>
      </c>
      <c r="J170" s="953">
        <f>F170-H170-F171</f>
        <v>-1450.7600000000002</v>
      </c>
      <c r="K170" s="478"/>
    </row>
    <row r="171" spans="1:12" ht="19.5" customHeight="1" x14ac:dyDescent="0.3">
      <c r="A171" s="911"/>
      <c r="B171" s="721" t="s">
        <v>1987</v>
      </c>
      <c r="C171" s="957"/>
      <c r="D171" s="957"/>
      <c r="E171" s="917"/>
      <c r="F171" s="969"/>
      <c r="G171" s="950"/>
      <c r="H171" s="952"/>
      <c r="I171" s="849"/>
      <c r="J171" s="954"/>
      <c r="K171" s="478"/>
    </row>
    <row r="172" spans="1:12" s="692" customFormat="1" ht="21" customHeight="1" x14ac:dyDescent="0.3">
      <c r="A172" s="693"/>
      <c r="B172" s="965" t="s">
        <v>1988</v>
      </c>
      <c r="C172" s="966"/>
      <c r="D172" s="966"/>
      <c r="E172" s="966"/>
      <c r="F172" s="966"/>
      <c r="G172" s="966"/>
      <c r="H172" s="966"/>
      <c r="I172" s="966"/>
      <c r="J172" s="967"/>
      <c r="K172" s="690"/>
      <c r="L172" s="691"/>
    </row>
    <row r="173" spans="1:12" ht="20.25" customHeight="1" x14ac:dyDescent="0.3">
      <c r="A173" s="708">
        <f>A170+1</f>
        <v>123</v>
      </c>
      <c r="B173" s="709" t="s">
        <v>1989</v>
      </c>
      <c r="C173" s="710" t="s">
        <v>5</v>
      </c>
      <c r="D173" s="711">
        <v>10</v>
      </c>
      <c r="E173" s="647">
        <f t="shared" ref="E173:E190" si="65">ROUND(F173/D173,2)</f>
        <v>350.53</v>
      </c>
      <c r="F173" s="697">
        <v>3505.31</v>
      </c>
      <c r="G173" s="552">
        <v>350</v>
      </c>
      <c r="H173" s="619">
        <f t="shared" ref="H173:H190" si="66">ROUND(G173*D173,2)</f>
        <v>3500</v>
      </c>
      <c r="I173" s="642">
        <f>E173-G173</f>
        <v>0.52999999999997272</v>
      </c>
      <c r="J173" s="724">
        <f>F173-H173</f>
        <v>5.3099999999999454</v>
      </c>
      <c r="K173" s="478"/>
    </row>
    <row r="174" spans="1:12" ht="31.5" customHeight="1" x14ac:dyDescent="0.3">
      <c r="A174" s="630">
        <f>A173+1</f>
        <v>124</v>
      </c>
      <c r="B174" s="706" t="s">
        <v>2043</v>
      </c>
      <c r="C174" s="662" t="s">
        <v>5</v>
      </c>
      <c r="D174" s="712">
        <v>142</v>
      </c>
      <c r="E174" s="647">
        <f t="shared" si="65"/>
        <v>106.92</v>
      </c>
      <c r="F174" s="697">
        <v>15182.06</v>
      </c>
      <c r="G174" s="552">
        <v>322.56</v>
      </c>
      <c r="H174" s="619">
        <f t="shared" si="66"/>
        <v>45803.519999999997</v>
      </c>
      <c r="I174" s="482">
        <f>E174-G174</f>
        <v>-215.64</v>
      </c>
      <c r="J174" s="725">
        <f>F174-H174</f>
        <v>-30621.46</v>
      </c>
      <c r="K174" s="478"/>
    </row>
    <row r="175" spans="1:12" ht="21" customHeight="1" x14ac:dyDescent="0.3">
      <c r="A175" s="630">
        <f t="shared" ref="A175:A190" si="67">A174+1</f>
        <v>125</v>
      </c>
      <c r="B175" s="706" t="s">
        <v>2033</v>
      </c>
      <c r="C175" s="662" t="s">
        <v>40</v>
      </c>
      <c r="D175" s="712">
        <v>20</v>
      </c>
      <c r="E175" s="647">
        <f t="shared" si="65"/>
        <v>1181.24</v>
      </c>
      <c r="F175" s="697">
        <v>23624.82</v>
      </c>
      <c r="G175" s="552">
        <v>1181.24</v>
      </c>
      <c r="H175" s="619">
        <f t="shared" si="66"/>
        <v>23624.799999999999</v>
      </c>
      <c r="I175" s="482">
        <f t="shared" ref="I175:J190" si="68">E175-G175</f>
        <v>0</v>
      </c>
      <c r="J175" s="725">
        <f t="shared" si="68"/>
        <v>2.0000000000436557E-2</v>
      </c>
    </row>
    <row r="176" spans="1:12" ht="21.75" customHeight="1" x14ac:dyDescent="0.3">
      <c r="A176" s="630">
        <f t="shared" si="67"/>
        <v>126</v>
      </c>
      <c r="B176" s="706" t="s">
        <v>1992</v>
      </c>
      <c r="C176" s="662" t="s">
        <v>5</v>
      </c>
      <c r="D176" s="712">
        <v>9</v>
      </c>
      <c r="E176" s="647">
        <f t="shared" si="65"/>
        <v>224.95</v>
      </c>
      <c r="F176" s="697">
        <v>2024.54</v>
      </c>
      <c r="G176" s="552">
        <v>224.96</v>
      </c>
      <c r="H176" s="619">
        <f t="shared" si="66"/>
        <v>2024.64</v>
      </c>
      <c r="I176" s="482">
        <f t="shared" si="68"/>
        <v>-1.0000000000019327E-2</v>
      </c>
      <c r="J176" s="725">
        <f t="shared" si="68"/>
        <v>-0.10000000000013642</v>
      </c>
    </row>
    <row r="177" spans="1:12" ht="23.25" customHeight="1" x14ac:dyDescent="0.3">
      <c r="A177" s="630">
        <f t="shared" si="67"/>
        <v>127</v>
      </c>
      <c r="B177" s="704" t="s">
        <v>1993</v>
      </c>
      <c r="C177" s="662" t="s">
        <v>1968</v>
      </c>
      <c r="D177" s="705">
        <v>8</v>
      </c>
      <c r="E177" s="647">
        <f t="shared" si="65"/>
        <v>322.56</v>
      </c>
      <c r="F177" s="697">
        <v>2580.5100000000002</v>
      </c>
      <c r="G177" s="552">
        <v>322.56</v>
      </c>
      <c r="H177" s="619">
        <f t="shared" si="66"/>
        <v>2580.48</v>
      </c>
      <c r="I177" s="482">
        <f t="shared" si="68"/>
        <v>0</v>
      </c>
      <c r="J177" s="725">
        <f t="shared" si="68"/>
        <v>3.0000000000200089E-2</v>
      </c>
    </row>
    <row r="178" spans="1:12" ht="23.25" customHeight="1" x14ac:dyDescent="0.3">
      <c r="A178" s="630">
        <f t="shared" si="67"/>
        <v>128</v>
      </c>
      <c r="B178" s="706" t="s">
        <v>1994</v>
      </c>
      <c r="C178" s="662" t="s">
        <v>1975</v>
      </c>
      <c r="D178" s="705">
        <v>1</v>
      </c>
      <c r="E178" s="647">
        <f t="shared" si="65"/>
        <v>4784.1400000000003</v>
      </c>
      <c r="F178" s="697">
        <v>4784.1400000000003</v>
      </c>
      <c r="G178" s="552">
        <v>10334.35</v>
      </c>
      <c r="H178" s="619">
        <f t="shared" si="66"/>
        <v>10334.35</v>
      </c>
      <c r="I178" s="482">
        <f t="shared" si="68"/>
        <v>-5550.21</v>
      </c>
      <c r="J178" s="725">
        <f t="shared" si="68"/>
        <v>-5550.21</v>
      </c>
    </row>
    <row r="179" spans="1:12" ht="20.25" customHeight="1" x14ac:dyDescent="0.3">
      <c r="A179" s="630">
        <f t="shared" si="67"/>
        <v>129</v>
      </c>
      <c r="B179" s="704" t="s">
        <v>1995</v>
      </c>
      <c r="C179" s="662" t="s">
        <v>1975</v>
      </c>
      <c r="D179" s="705">
        <v>4</v>
      </c>
      <c r="E179" s="647">
        <f t="shared" si="65"/>
        <v>2963.03</v>
      </c>
      <c r="F179" s="697">
        <v>11852.1</v>
      </c>
      <c r="G179" s="552">
        <v>6281.62</v>
      </c>
      <c r="H179" s="619">
        <f t="shared" si="66"/>
        <v>25126.48</v>
      </c>
      <c r="I179" s="482">
        <f t="shared" si="68"/>
        <v>-3318.5899999999997</v>
      </c>
      <c r="J179" s="725">
        <f t="shared" si="68"/>
        <v>-13274.38</v>
      </c>
    </row>
    <row r="180" spans="1:12" ht="24" customHeight="1" x14ac:dyDescent="0.3">
      <c r="A180" s="630">
        <f t="shared" si="67"/>
        <v>130</v>
      </c>
      <c r="B180" s="706" t="s">
        <v>1996</v>
      </c>
      <c r="C180" s="662" t="s">
        <v>1975</v>
      </c>
      <c r="D180" s="705">
        <v>4</v>
      </c>
      <c r="E180" s="647">
        <f t="shared" si="65"/>
        <v>6376.09</v>
      </c>
      <c r="F180" s="697">
        <v>25504.37</v>
      </c>
      <c r="G180" s="552">
        <v>6000</v>
      </c>
      <c r="H180" s="619">
        <f t="shared" si="66"/>
        <v>24000</v>
      </c>
      <c r="I180" s="482">
        <f t="shared" si="68"/>
        <v>376.09000000000015</v>
      </c>
      <c r="J180" s="725">
        <f t="shared" si="68"/>
        <v>1504.369999999999</v>
      </c>
      <c r="K180" s="478"/>
    </row>
    <row r="181" spans="1:12" s="484" customFormat="1" ht="21.75" customHeight="1" x14ac:dyDescent="0.3">
      <c r="A181" s="630">
        <f t="shared" si="67"/>
        <v>131</v>
      </c>
      <c r="B181" s="704" t="s">
        <v>1997</v>
      </c>
      <c r="C181" s="662" t="s">
        <v>1975</v>
      </c>
      <c r="D181" s="705">
        <f>16+3</f>
        <v>19</v>
      </c>
      <c r="E181" s="647">
        <f t="shared" si="65"/>
        <v>853.23</v>
      </c>
      <c r="F181" s="697">
        <v>16211.44</v>
      </c>
      <c r="G181" s="552">
        <v>511.94</v>
      </c>
      <c r="H181" s="619">
        <f t="shared" si="66"/>
        <v>9726.86</v>
      </c>
      <c r="I181" s="482">
        <f t="shared" si="68"/>
        <v>341.29</v>
      </c>
      <c r="J181" s="725">
        <f t="shared" si="68"/>
        <v>6484.58</v>
      </c>
      <c r="K181" s="491"/>
      <c r="L181" s="713"/>
    </row>
    <row r="182" spans="1:12" ht="19.5" customHeight="1" x14ac:dyDescent="0.3">
      <c r="A182" s="630">
        <f t="shared" si="67"/>
        <v>132</v>
      </c>
      <c r="B182" s="706" t="s">
        <v>1998</v>
      </c>
      <c r="C182" s="662" t="s">
        <v>1975</v>
      </c>
      <c r="D182" s="705">
        <v>24</v>
      </c>
      <c r="E182" s="647">
        <f t="shared" si="65"/>
        <v>3345.36</v>
      </c>
      <c r="F182" s="714">
        <v>80288.53</v>
      </c>
      <c r="G182" s="552">
        <v>2877.01</v>
      </c>
      <c r="H182" s="619">
        <f t="shared" si="66"/>
        <v>69048.240000000005</v>
      </c>
      <c r="I182" s="482">
        <f t="shared" si="68"/>
        <v>468.34999999999991</v>
      </c>
      <c r="J182" s="725">
        <f t="shared" si="68"/>
        <v>11240.289999999994</v>
      </c>
      <c r="K182" s="478"/>
    </row>
    <row r="183" spans="1:12" ht="24" customHeight="1" x14ac:dyDescent="0.3">
      <c r="A183" s="630">
        <f t="shared" si="67"/>
        <v>133</v>
      </c>
      <c r="B183" s="428" t="s">
        <v>2044</v>
      </c>
      <c r="C183" s="662" t="s">
        <v>1975</v>
      </c>
      <c r="D183" s="712">
        <f>1+11</f>
        <v>12</v>
      </c>
      <c r="E183" s="647">
        <f t="shared" si="65"/>
        <v>2826.55</v>
      </c>
      <c r="F183" s="697">
        <f>3315.78+30602.84</f>
        <v>33918.620000000003</v>
      </c>
      <c r="G183" s="552">
        <v>454</v>
      </c>
      <c r="H183" s="619">
        <f t="shared" si="66"/>
        <v>5448</v>
      </c>
      <c r="I183" s="482">
        <f t="shared" si="68"/>
        <v>2372.5500000000002</v>
      </c>
      <c r="J183" s="725">
        <f t="shared" si="68"/>
        <v>28470.620000000003</v>
      </c>
    </row>
    <row r="184" spans="1:12" ht="21.75" customHeight="1" x14ac:dyDescent="0.3">
      <c r="A184" s="630">
        <f t="shared" si="67"/>
        <v>134</v>
      </c>
      <c r="B184" s="706" t="s">
        <v>2001</v>
      </c>
      <c r="C184" s="662" t="s">
        <v>40</v>
      </c>
      <c r="D184" s="712">
        <v>1</v>
      </c>
      <c r="E184" s="647">
        <f t="shared" si="65"/>
        <v>752.49</v>
      </c>
      <c r="F184" s="697">
        <v>752.49</v>
      </c>
      <c r="G184" s="552">
        <v>2949.21</v>
      </c>
      <c r="H184" s="619">
        <f t="shared" si="66"/>
        <v>2949.21</v>
      </c>
      <c r="I184" s="482">
        <f t="shared" si="68"/>
        <v>-2196.7200000000003</v>
      </c>
      <c r="J184" s="725">
        <f t="shared" si="68"/>
        <v>-2196.7200000000003</v>
      </c>
    </row>
    <row r="185" spans="1:12" ht="21.75" customHeight="1" x14ac:dyDescent="0.3">
      <c r="A185" s="630">
        <f t="shared" si="67"/>
        <v>135</v>
      </c>
      <c r="B185" s="706" t="s">
        <v>2002</v>
      </c>
      <c r="C185" s="702" t="s">
        <v>40</v>
      </c>
      <c r="D185" s="712">
        <v>3</v>
      </c>
      <c r="E185" s="647">
        <f t="shared" si="65"/>
        <v>3208.92</v>
      </c>
      <c r="F185" s="697">
        <v>9626.77</v>
      </c>
      <c r="G185" s="552">
        <v>5000</v>
      </c>
      <c r="H185" s="619">
        <f t="shared" si="66"/>
        <v>15000</v>
      </c>
      <c r="I185" s="482">
        <f t="shared" si="68"/>
        <v>-1791.08</v>
      </c>
      <c r="J185" s="725">
        <f t="shared" si="68"/>
        <v>-5373.23</v>
      </c>
    </row>
    <row r="186" spans="1:12" ht="23.25" customHeight="1" x14ac:dyDescent="0.3">
      <c r="A186" s="630">
        <f t="shared" si="67"/>
        <v>136</v>
      </c>
      <c r="B186" s="706" t="s">
        <v>2045</v>
      </c>
      <c r="C186" s="702" t="s">
        <v>40</v>
      </c>
      <c r="D186" s="712">
        <v>27</v>
      </c>
      <c r="E186" s="647">
        <f t="shared" si="65"/>
        <v>311.48</v>
      </c>
      <c r="F186" s="697">
        <v>8409.93</v>
      </c>
      <c r="G186" s="552">
        <v>511.94</v>
      </c>
      <c r="H186" s="619">
        <f t="shared" si="66"/>
        <v>13822.38</v>
      </c>
      <c r="I186" s="482">
        <f t="shared" si="68"/>
        <v>-200.45999999999998</v>
      </c>
      <c r="J186" s="725">
        <f t="shared" si="68"/>
        <v>-5412.4499999999989</v>
      </c>
    </row>
    <row r="187" spans="1:12" ht="35.25" customHeight="1" x14ac:dyDescent="0.3">
      <c r="A187" s="630">
        <f t="shared" si="67"/>
        <v>137</v>
      </c>
      <c r="B187" s="704" t="s">
        <v>2046</v>
      </c>
      <c r="C187" s="662" t="s">
        <v>1968</v>
      </c>
      <c r="D187" s="705">
        <v>337</v>
      </c>
      <c r="E187" s="647">
        <f t="shared" si="65"/>
        <v>479.81</v>
      </c>
      <c r="F187" s="697">
        <v>161697.12</v>
      </c>
      <c r="G187" s="552">
        <v>479</v>
      </c>
      <c r="H187" s="619">
        <f t="shared" si="66"/>
        <v>161423</v>
      </c>
      <c r="I187" s="482">
        <f t="shared" si="68"/>
        <v>0.81000000000000227</v>
      </c>
      <c r="J187" s="725">
        <f t="shared" si="68"/>
        <v>274.11999999999534</v>
      </c>
    </row>
    <row r="188" spans="1:12" ht="31.2" x14ac:dyDescent="0.3">
      <c r="A188" s="630">
        <f t="shared" si="67"/>
        <v>138</v>
      </c>
      <c r="B188" s="704" t="s">
        <v>2005</v>
      </c>
      <c r="C188" s="661" t="s">
        <v>5</v>
      </c>
      <c r="D188" s="705">
        <v>72</v>
      </c>
      <c r="E188" s="647">
        <f t="shared" si="65"/>
        <v>142.41</v>
      </c>
      <c r="F188" s="697">
        <v>10253.32</v>
      </c>
      <c r="G188" s="552">
        <v>140</v>
      </c>
      <c r="H188" s="619">
        <f t="shared" si="66"/>
        <v>10080</v>
      </c>
      <c r="I188" s="482">
        <f t="shared" si="68"/>
        <v>2.4099999999999966</v>
      </c>
      <c r="J188" s="725">
        <f t="shared" si="68"/>
        <v>173.31999999999971</v>
      </c>
    </row>
    <row r="189" spans="1:12" ht="46.8" x14ac:dyDescent="0.3">
      <c r="A189" s="630">
        <f t="shared" si="67"/>
        <v>139</v>
      </c>
      <c r="B189" s="704" t="s">
        <v>2037</v>
      </c>
      <c r="C189" s="662" t="s">
        <v>1968</v>
      </c>
      <c r="D189" s="705">
        <v>281</v>
      </c>
      <c r="E189" s="647">
        <f t="shared" si="65"/>
        <v>106.91</v>
      </c>
      <c r="F189" s="697">
        <v>30042.720000000001</v>
      </c>
      <c r="G189" s="552">
        <v>322.56</v>
      </c>
      <c r="H189" s="619">
        <f t="shared" si="66"/>
        <v>90639.360000000001</v>
      </c>
      <c r="I189" s="482">
        <f t="shared" si="68"/>
        <v>-215.65</v>
      </c>
      <c r="J189" s="725">
        <f t="shared" si="68"/>
        <v>-60596.639999999999</v>
      </c>
    </row>
    <row r="190" spans="1:12" ht="23.25" customHeight="1" x14ac:dyDescent="0.3">
      <c r="A190" s="630">
        <f t="shared" si="67"/>
        <v>140</v>
      </c>
      <c r="B190" s="704" t="s">
        <v>2007</v>
      </c>
      <c r="C190" s="662" t="s">
        <v>1975</v>
      </c>
      <c r="D190" s="705">
        <v>3</v>
      </c>
      <c r="E190" s="647">
        <f t="shared" si="65"/>
        <v>6364.04</v>
      </c>
      <c r="F190" s="697">
        <f>ROUND((14847.18+10608.97)/4*D190,2)</f>
        <v>19092.11</v>
      </c>
      <c r="G190" s="552">
        <v>10425</v>
      </c>
      <c r="H190" s="619">
        <f t="shared" si="66"/>
        <v>31275</v>
      </c>
      <c r="I190" s="482">
        <f t="shared" si="68"/>
        <v>-4060.96</v>
      </c>
      <c r="J190" s="725">
        <f t="shared" si="68"/>
        <v>-12182.89</v>
      </c>
    </row>
    <row r="191" spans="1:12" ht="23.25" customHeight="1" x14ac:dyDescent="0.3">
      <c r="A191" s="910">
        <f>A190+1</f>
        <v>141</v>
      </c>
      <c r="B191" s="704" t="s">
        <v>2008</v>
      </c>
      <c r="C191" s="702" t="s">
        <v>1975</v>
      </c>
      <c r="D191" s="705">
        <v>1</v>
      </c>
      <c r="E191" s="916">
        <f>ROUND(F191/D191,2)</f>
        <v>6364.04</v>
      </c>
      <c r="F191" s="947">
        <f>ROUND((14847.18+10608.97)/4*D191,2)</f>
        <v>6364.04</v>
      </c>
      <c r="G191" s="949">
        <v>11988.749999999998</v>
      </c>
      <c r="H191" s="951">
        <f>ROUND((G191*D191+D192*G192),2)</f>
        <v>11988.75</v>
      </c>
      <c r="I191" s="848">
        <f>E191-G191-G192</f>
        <v>-5624.7099999999982</v>
      </c>
      <c r="J191" s="974">
        <f>F191-H191-H192</f>
        <v>-5624.71</v>
      </c>
    </row>
    <row r="192" spans="1:12" x14ac:dyDescent="0.3">
      <c r="A192" s="911"/>
      <c r="B192" s="704" t="s">
        <v>2009</v>
      </c>
      <c r="C192" s="662" t="s">
        <v>1975</v>
      </c>
      <c r="D192" s="705">
        <v>1</v>
      </c>
      <c r="E192" s="917"/>
      <c r="F192" s="948"/>
      <c r="G192" s="950"/>
      <c r="H192" s="952"/>
      <c r="I192" s="849"/>
      <c r="J192" s="975"/>
    </row>
    <row r="193" spans="1:11" x14ac:dyDescent="0.3">
      <c r="A193" s="910">
        <f>A191+1</f>
        <v>142</v>
      </c>
      <c r="B193" s="704" t="s">
        <v>2010</v>
      </c>
      <c r="C193" s="702" t="s">
        <v>1975</v>
      </c>
      <c r="D193" s="705">
        <v>1</v>
      </c>
      <c r="E193" s="916">
        <f>ROUND(F193/D193,2)</f>
        <v>35761.83</v>
      </c>
      <c r="F193" s="947">
        <v>35761.83</v>
      </c>
      <c r="G193" s="949">
        <v>64370.77</v>
      </c>
      <c r="H193" s="951">
        <f>ROUND((G193*D193+D194*G194),2)</f>
        <v>64370.77</v>
      </c>
      <c r="I193" s="848">
        <f>E193-G193-G194</f>
        <v>-28608.939999999995</v>
      </c>
      <c r="J193" s="974">
        <f>F193-H193-H194</f>
        <v>-28608.939999999995</v>
      </c>
    </row>
    <row r="194" spans="1:11" x14ac:dyDescent="0.3">
      <c r="A194" s="911"/>
      <c r="B194" s="704" t="s">
        <v>2009</v>
      </c>
      <c r="C194" s="662" t="s">
        <v>1975</v>
      </c>
      <c r="D194" s="705">
        <v>1</v>
      </c>
      <c r="E194" s="917"/>
      <c r="F194" s="948"/>
      <c r="G194" s="950"/>
      <c r="H194" s="952"/>
      <c r="I194" s="849"/>
      <c r="J194" s="975"/>
    </row>
    <row r="195" spans="1:11" x14ac:dyDescent="0.3">
      <c r="A195" s="630">
        <f>A193+1</f>
        <v>143</v>
      </c>
      <c r="B195" s="704" t="s">
        <v>2011</v>
      </c>
      <c r="C195" s="662" t="s">
        <v>1975</v>
      </c>
      <c r="D195" s="705">
        <v>1</v>
      </c>
      <c r="E195" s="647">
        <f t="shared" ref="E195:E197" si="69">ROUND(F195/D195,2)</f>
        <v>16809.91</v>
      </c>
      <c r="F195" s="697">
        <v>16809.91</v>
      </c>
      <c r="G195" s="552">
        <v>15000</v>
      </c>
      <c r="H195" s="619">
        <f t="shared" ref="H195:H197" si="70">ROUND(G195*D195,2)</f>
        <v>15000</v>
      </c>
      <c r="I195" s="482">
        <f t="shared" ref="I195:J197" si="71">E195-G195</f>
        <v>1809.9099999999999</v>
      </c>
      <c r="J195" s="725">
        <f t="shared" si="71"/>
        <v>1809.9099999999999</v>
      </c>
    </row>
    <row r="196" spans="1:11" x14ac:dyDescent="0.3">
      <c r="A196" s="630">
        <f t="shared" ref="A196:A197" si="72">A195+1</f>
        <v>144</v>
      </c>
      <c r="B196" s="704" t="s">
        <v>2012</v>
      </c>
      <c r="C196" s="662" t="s">
        <v>1975</v>
      </c>
      <c r="D196" s="705">
        <v>1</v>
      </c>
      <c r="E196" s="647">
        <f t="shared" si="69"/>
        <v>11294.21</v>
      </c>
      <c r="F196" s="697">
        <v>11294.21</v>
      </c>
      <c r="G196" s="552">
        <v>15000</v>
      </c>
      <c r="H196" s="619">
        <f t="shared" si="70"/>
        <v>15000</v>
      </c>
      <c r="I196" s="482">
        <f t="shared" si="71"/>
        <v>-3705.7900000000009</v>
      </c>
      <c r="J196" s="725">
        <f t="shared" si="71"/>
        <v>-3705.7900000000009</v>
      </c>
    </row>
    <row r="197" spans="1:11" x14ac:dyDescent="0.3">
      <c r="A197" s="630">
        <f t="shared" si="72"/>
        <v>145</v>
      </c>
      <c r="B197" s="704" t="s">
        <v>2013</v>
      </c>
      <c r="C197" s="702" t="s">
        <v>1975</v>
      </c>
      <c r="D197" s="705">
        <v>1</v>
      </c>
      <c r="E197" s="647">
        <f t="shared" si="69"/>
        <v>73550.600000000006</v>
      </c>
      <c r="F197" s="697">
        <v>73550.600000000006</v>
      </c>
      <c r="G197" s="552">
        <v>172108.4</v>
      </c>
      <c r="H197" s="619">
        <f t="shared" si="70"/>
        <v>172108.4</v>
      </c>
      <c r="I197" s="482">
        <f t="shared" si="71"/>
        <v>-98557.799999999988</v>
      </c>
      <c r="J197" s="725">
        <f t="shared" si="71"/>
        <v>-98557.799999999988</v>
      </c>
    </row>
    <row r="198" spans="1:11" x14ac:dyDescent="0.3">
      <c r="A198" s="910">
        <f>A197+1</f>
        <v>146</v>
      </c>
      <c r="B198" s="704" t="s">
        <v>2014</v>
      </c>
      <c r="C198" s="662" t="s">
        <v>1975</v>
      </c>
      <c r="D198" s="705">
        <v>73</v>
      </c>
      <c r="E198" s="916">
        <f>ROUND(F198/11,2)</f>
        <v>303.52</v>
      </c>
      <c r="F198" s="947">
        <v>3338.67</v>
      </c>
      <c r="G198" s="949">
        <v>448</v>
      </c>
      <c r="H198" s="951">
        <f>ROUND(G198*D198+D199*G199+D200*G200+D201*G201,2)</f>
        <v>32704</v>
      </c>
      <c r="I198" s="848">
        <f>E198-G198-G199-G200-G201</f>
        <v>-144.48000000000002</v>
      </c>
      <c r="J198" s="974">
        <f>F198-H198-H200-H199-H201</f>
        <v>-29365.33</v>
      </c>
    </row>
    <row r="199" spans="1:11" x14ac:dyDescent="0.3">
      <c r="A199" s="960"/>
      <c r="B199" s="704" t="s">
        <v>2038</v>
      </c>
      <c r="C199" s="662" t="s">
        <v>1975</v>
      </c>
      <c r="D199" s="705">
        <v>1</v>
      </c>
      <c r="E199" s="961"/>
      <c r="F199" s="962"/>
      <c r="G199" s="963"/>
      <c r="H199" s="964"/>
      <c r="I199" s="895"/>
      <c r="J199" s="976"/>
    </row>
    <row r="200" spans="1:11" x14ac:dyDescent="0.3">
      <c r="A200" s="960"/>
      <c r="B200" s="704" t="s">
        <v>2016</v>
      </c>
      <c r="C200" s="662" t="s">
        <v>1975</v>
      </c>
      <c r="D200" s="705">
        <v>21</v>
      </c>
      <c r="E200" s="961"/>
      <c r="F200" s="962"/>
      <c r="G200" s="963"/>
      <c r="H200" s="964"/>
      <c r="I200" s="895"/>
      <c r="J200" s="976"/>
    </row>
    <row r="201" spans="1:11" x14ac:dyDescent="0.3">
      <c r="A201" s="911"/>
      <c r="B201" s="704" t="s">
        <v>2039</v>
      </c>
      <c r="C201" s="662" t="s">
        <v>1975</v>
      </c>
      <c r="D201" s="705">
        <v>1</v>
      </c>
      <c r="E201" s="917"/>
      <c r="F201" s="948"/>
      <c r="G201" s="950"/>
      <c r="H201" s="952"/>
      <c r="I201" s="849"/>
      <c r="J201" s="975"/>
    </row>
    <row r="202" spans="1:11" ht="21.75" customHeight="1" x14ac:dyDescent="0.3">
      <c r="A202" s="630">
        <f>A198+1</f>
        <v>147</v>
      </c>
      <c r="B202" s="715" t="s">
        <v>2018</v>
      </c>
      <c r="C202" s="662" t="s">
        <v>1975</v>
      </c>
      <c r="D202" s="705">
        <v>4</v>
      </c>
      <c r="E202" s="647">
        <f t="shared" ref="E202:E204" si="73">ROUND(F202/D202,2)</f>
        <v>0</v>
      </c>
      <c r="F202" s="697"/>
      <c r="G202" s="552">
        <v>12480</v>
      </c>
      <c r="H202" s="619">
        <f t="shared" ref="H202:H204" si="74">ROUND(G202*D202,2)</f>
        <v>49920</v>
      </c>
      <c r="I202" s="482">
        <f t="shared" ref="I202:J204" si="75">E202-G202</f>
        <v>-12480</v>
      </c>
      <c r="J202" s="725">
        <f t="shared" si="75"/>
        <v>-49920</v>
      </c>
      <c r="K202" s="489" t="s">
        <v>2019</v>
      </c>
    </row>
    <row r="203" spans="1:11" x14ac:dyDescent="0.3">
      <c r="A203" s="630">
        <f>A202+1</f>
        <v>148</v>
      </c>
      <c r="B203" s="704" t="s">
        <v>2020</v>
      </c>
      <c r="C203" s="702" t="s">
        <v>1975</v>
      </c>
      <c r="D203" s="705">
        <v>4</v>
      </c>
      <c r="E203" s="647">
        <f t="shared" si="73"/>
        <v>548.54</v>
      </c>
      <c r="F203" s="697">
        <v>2194.16</v>
      </c>
      <c r="G203" s="552">
        <v>500</v>
      </c>
      <c r="H203" s="619">
        <f t="shared" si="74"/>
        <v>2000</v>
      </c>
      <c r="I203" s="482">
        <f t="shared" si="75"/>
        <v>48.539999999999964</v>
      </c>
      <c r="J203" s="725">
        <f t="shared" si="75"/>
        <v>194.15999999999985</v>
      </c>
    </row>
    <row r="204" spans="1:11" x14ac:dyDescent="0.3">
      <c r="A204" s="630">
        <f t="shared" ref="A204:A205" si="76">A203+1</f>
        <v>149</v>
      </c>
      <c r="B204" s="704" t="s">
        <v>2021</v>
      </c>
      <c r="C204" s="702" t="s">
        <v>1975</v>
      </c>
      <c r="D204" s="705">
        <v>2</v>
      </c>
      <c r="E204" s="647">
        <f t="shared" si="73"/>
        <v>10638.49</v>
      </c>
      <c r="F204" s="697">
        <v>21276.97</v>
      </c>
      <c r="G204" s="552">
        <v>7978.96</v>
      </c>
      <c r="H204" s="619">
        <f t="shared" si="74"/>
        <v>15957.92</v>
      </c>
      <c r="I204" s="482">
        <f t="shared" si="75"/>
        <v>2659.5299999999997</v>
      </c>
      <c r="J204" s="725">
        <f t="shared" si="75"/>
        <v>5319.0500000000011</v>
      </c>
    </row>
    <row r="205" spans="1:11" x14ac:dyDescent="0.3">
      <c r="A205" s="910">
        <f t="shared" si="76"/>
        <v>150</v>
      </c>
      <c r="B205" s="704" t="s">
        <v>2022</v>
      </c>
      <c r="C205" s="662" t="s">
        <v>1975</v>
      </c>
      <c r="D205" s="705">
        <v>1</v>
      </c>
      <c r="E205" s="916">
        <f>ROUND(F205/D205,2)</f>
        <v>11057.88</v>
      </c>
      <c r="F205" s="947">
        <v>11057.88</v>
      </c>
      <c r="G205" s="949">
        <v>39366.050000000003</v>
      </c>
      <c r="H205" s="951">
        <f>ROUND((G205*D205+D206*G206),2)</f>
        <v>39366.050000000003</v>
      </c>
      <c r="I205" s="848">
        <f>E205-G205-G206</f>
        <v>-28308.170000000006</v>
      </c>
      <c r="J205" s="974">
        <f>F205-H205-H206</f>
        <v>-28308.170000000006</v>
      </c>
    </row>
    <row r="206" spans="1:11" x14ac:dyDescent="0.3">
      <c r="A206" s="911"/>
      <c r="B206" s="704" t="s">
        <v>2009</v>
      </c>
      <c r="C206" s="662" t="s">
        <v>1975</v>
      </c>
      <c r="D206" s="705">
        <v>1</v>
      </c>
      <c r="E206" s="917"/>
      <c r="F206" s="948"/>
      <c r="G206" s="950"/>
      <c r="H206" s="952"/>
      <c r="I206" s="849"/>
      <c r="J206" s="975"/>
    </row>
    <row r="207" spans="1:11" x14ac:dyDescent="0.3">
      <c r="A207" s="910">
        <f>A205+1</f>
        <v>151</v>
      </c>
      <c r="B207" s="704" t="s">
        <v>2023</v>
      </c>
      <c r="C207" s="662" t="s">
        <v>1975</v>
      </c>
      <c r="D207" s="705">
        <v>1</v>
      </c>
      <c r="E207" s="916">
        <f>ROUND(F207/D207,2)</f>
        <v>2766.82</v>
      </c>
      <c r="F207" s="947">
        <v>2766.82</v>
      </c>
      <c r="G207" s="949">
        <v>26842</v>
      </c>
      <c r="H207" s="951">
        <f>ROUND((G207*D207+D208*G208),2)</f>
        <v>26842</v>
      </c>
      <c r="I207" s="848">
        <f>E207-G207-G208</f>
        <v>-24075.18</v>
      </c>
      <c r="J207" s="974">
        <f>F207-H207-H208</f>
        <v>-24075.18</v>
      </c>
    </row>
    <row r="208" spans="1:11" x14ac:dyDescent="0.3">
      <c r="A208" s="911"/>
      <c r="B208" s="704" t="s">
        <v>2009</v>
      </c>
      <c r="C208" s="662" t="s">
        <v>1975</v>
      </c>
      <c r="D208" s="705">
        <v>1</v>
      </c>
      <c r="E208" s="917"/>
      <c r="F208" s="948"/>
      <c r="G208" s="950"/>
      <c r="H208" s="952"/>
      <c r="I208" s="849"/>
      <c r="J208" s="975"/>
    </row>
    <row r="209" spans="1:12" x14ac:dyDescent="0.3">
      <c r="A209" s="630">
        <f>A207+1</f>
        <v>152</v>
      </c>
      <c r="B209" s="726" t="s">
        <v>2024</v>
      </c>
      <c r="C209" s="662" t="s">
        <v>1975</v>
      </c>
      <c r="D209" s="705">
        <v>2</v>
      </c>
      <c r="E209" s="647">
        <f t="shared" ref="E209" si="77">ROUND(F209/D209,2)</f>
        <v>0</v>
      </c>
      <c r="F209" s="697"/>
      <c r="G209" s="552">
        <v>423</v>
      </c>
      <c r="H209" s="619">
        <f t="shared" ref="H209" si="78">ROUND(G209*D209,2)</f>
        <v>846</v>
      </c>
      <c r="I209" s="482">
        <f t="shared" ref="I209:J209" si="79">E209-G209</f>
        <v>-423</v>
      </c>
      <c r="J209" s="725">
        <f t="shared" si="79"/>
        <v>-846</v>
      </c>
    </row>
    <row r="210" spans="1:12" s="692" customFormat="1" ht="21" customHeight="1" x14ac:dyDescent="0.3">
      <c r="A210" s="693"/>
      <c r="B210" s="965" t="s">
        <v>2025</v>
      </c>
      <c r="C210" s="966"/>
      <c r="D210" s="966"/>
      <c r="E210" s="966"/>
      <c r="F210" s="966"/>
      <c r="G210" s="966"/>
      <c r="H210" s="966"/>
      <c r="I210" s="966"/>
      <c r="J210" s="967"/>
      <c r="K210" s="716">
        <f>SUM(F147:F209)</f>
        <v>721071.71</v>
      </c>
      <c r="L210" s="691"/>
    </row>
    <row r="211" spans="1:12" ht="31.2" x14ac:dyDescent="0.3">
      <c r="A211" s="630">
        <f>A209+1</f>
        <v>153</v>
      </c>
      <c r="B211" s="694" t="s">
        <v>2026</v>
      </c>
      <c r="C211" s="710" t="s">
        <v>2027</v>
      </c>
      <c r="D211" s="717">
        <v>1</v>
      </c>
      <c r="E211" s="647">
        <f t="shared" ref="E211:E213" si="80">ROUND(F211/D211,2)</f>
        <v>50216.05</v>
      </c>
      <c r="F211" s="697">
        <v>50216.05</v>
      </c>
      <c r="G211" s="793">
        <v>157678.32999999999</v>
      </c>
      <c r="H211" s="768">
        <f t="shared" ref="H211:H213" si="81">ROUND(G211*D211,2)</f>
        <v>157678.32999999999</v>
      </c>
      <c r="I211" s="642">
        <f t="shared" ref="I211:J213" si="82">E211-G211</f>
        <v>-107462.27999999998</v>
      </c>
      <c r="J211" s="724">
        <f t="shared" si="82"/>
        <v>-107462.27999999998</v>
      </c>
    </row>
    <row r="212" spans="1:12" ht="31.2" x14ac:dyDescent="0.3">
      <c r="A212" s="630">
        <f>A211+1</f>
        <v>154</v>
      </c>
      <c r="B212" s="699" t="s">
        <v>2028</v>
      </c>
      <c r="C212" s="702" t="s">
        <v>1975</v>
      </c>
      <c r="D212" s="705">
        <v>1</v>
      </c>
      <c r="E212" s="647">
        <f t="shared" si="80"/>
        <v>47096.45</v>
      </c>
      <c r="F212" s="697">
        <v>47096.45</v>
      </c>
      <c r="G212" s="767">
        <v>117396.1</v>
      </c>
      <c r="H212" s="768">
        <f t="shared" si="81"/>
        <v>117396.1</v>
      </c>
      <c r="I212" s="482">
        <f t="shared" si="82"/>
        <v>-70299.650000000009</v>
      </c>
      <c r="J212" s="725">
        <f t="shared" si="82"/>
        <v>-70299.650000000009</v>
      </c>
    </row>
    <row r="213" spans="1:12" ht="31.2" x14ac:dyDescent="0.3">
      <c r="A213" s="630">
        <f>A212+1</f>
        <v>155</v>
      </c>
      <c r="B213" s="699" t="s">
        <v>2029</v>
      </c>
      <c r="C213" s="702" t="s">
        <v>1975</v>
      </c>
      <c r="D213" s="705">
        <v>1</v>
      </c>
      <c r="E213" s="647">
        <f t="shared" si="80"/>
        <v>53462.09</v>
      </c>
      <c r="F213" s="697">
        <v>53462.09</v>
      </c>
      <c r="G213" s="767">
        <v>195660.16</v>
      </c>
      <c r="H213" s="768">
        <f t="shared" si="81"/>
        <v>195660.16</v>
      </c>
      <c r="I213" s="482">
        <f t="shared" si="82"/>
        <v>-142198.07</v>
      </c>
      <c r="J213" s="725">
        <f t="shared" si="82"/>
        <v>-142198.07</v>
      </c>
      <c r="K213" s="499">
        <f>112910.26+11763645.56</f>
        <v>11876555.82</v>
      </c>
    </row>
    <row r="214" spans="1:12" s="483" customFormat="1" ht="19.5" customHeight="1" x14ac:dyDescent="0.35">
      <c r="A214" s="485"/>
      <c r="B214" s="920" t="s">
        <v>2047</v>
      </c>
      <c r="C214" s="921"/>
      <c r="D214" s="921"/>
      <c r="E214" s="684"/>
      <c r="F214" s="685">
        <f>SUM(F147:F213)</f>
        <v>871846.29999999993</v>
      </c>
      <c r="G214" s="778"/>
      <c r="H214" s="779">
        <f>SUM(H147:H213)</f>
        <v>1591310.9300000002</v>
      </c>
      <c r="I214" s="686"/>
      <c r="J214" s="685">
        <f>SUM(J147:J213)</f>
        <v>-719464.63000000012</v>
      </c>
      <c r="K214" s="490">
        <f>K210+[1]Материалы!F200</f>
        <v>11876755.82</v>
      </c>
      <c r="L214" s="718"/>
    </row>
    <row r="215" spans="1:12" s="692" customFormat="1" ht="21" customHeight="1" x14ac:dyDescent="0.3">
      <c r="A215" s="689"/>
      <c r="B215" s="943" t="s">
        <v>2048</v>
      </c>
      <c r="C215" s="944"/>
      <c r="D215" s="944"/>
      <c r="E215" s="944"/>
      <c r="F215" s="944"/>
      <c r="G215" s="944"/>
      <c r="H215" s="944"/>
      <c r="I215" s="944"/>
      <c r="J215" s="944"/>
      <c r="K215" s="690"/>
      <c r="L215" s="691"/>
    </row>
    <row r="216" spans="1:12" s="692" customFormat="1" ht="21" customHeight="1" x14ac:dyDescent="0.3">
      <c r="A216" s="693"/>
      <c r="B216" s="945" t="s">
        <v>1960</v>
      </c>
      <c r="C216" s="946"/>
      <c r="D216" s="946"/>
      <c r="E216" s="946"/>
      <c r="F216" s="946"/>
      <c r="G216" s="946"/>
      <c r="H216" s="946"/>
      <c r="I216" s="946"/>
      <c r="J216" s="946"/>
      <c r="K216" s="690"/>
      <c r="L216" s="691"/>
    </row>
    <row r="217" spans="1:12" x14ac:dyDescent="0.3">
      <c r="A217" s="630">
        <f>A213+1</f>
        <v>156</v>
      </c>
      <c r="B217" s="694" t="s">
        <v>1961</v>
      </c>
      <c r="C217" s="695" t="s">
        <v>17</v>
      </c>
      <c r="D217" s="696">
        <v>26.75</v>
      </c>
      <c r="E217" s="647">
        <f>ROUND(F217/D217,2)</f>
        <v>1122.56</v>
      </c>
      <c r="F217" s="697">
        <v>30028.41</v>
      </c>
      <c r="G217" s="645">
        <v>2397.5</v>
      </c>
      <c r="H217" s="619">
        <f t="shared" ref="H217:H222" si="83">ROUND(G217*D217,2)</f>
        <v>64133.13</v>
      </c>
      <c r="I217" s="642">
        <f>ROUND(E217-G217,2)</f>
        <v>-1274.94</v>
      </c>
      <c r="J217" s="698">
        <f>F217-H217</f>
        <v>-34104.720000000001</v>
      </c>
    </row>
    <row r="218" spans="1:12" ht="31.2" x14ac:dyDescent="0.3">
      <c r="A218" s="630">
        <f>A217+1</f>
        <v>157</v>
      </c>
      <c r="B218" s="699" t="s">
        <v>1962</v>
      </c>
      <c r="C218" s="442" t="s">
        <v>17</v>
      </c>
      <c r="D218" s="703">
        <f>15.74/2.06</f>
        <v>7.6407766990291259</v>
      </c>
      <c r="E218" s="647">
        <f t="shared" ref="E218:E222" si="84">ROUND(F218/D218,2)</f>
        <v>86.68</v>
      </c>
      <c r="F218" s="697">
        <v>662.32</v>
      </c>
      <c r="G218" s="552">
        <v>260</v>
      </c>
      <c r="H218" s="619">
        <f t="shared" si="83"/>
        <v>1986.6</v>
      </c>
      <c r="I218" s="482">
        <f t="shared" ref="I218:I222" si="85">ROUND(E218-G218,2)</f>
        <v>-173.32</v>
      </c>
      <c r="J218" s="701">
        <f t="shared" ref="J218:J220" si="86">F218-H218</f>
        <v>-1324.2799999999997</v>
      </c>
    </row>
    <row r="219" spans="1:12" x14ac:dyDescent="0.3">
      <c r="A219" s="630">
        <f t="shared" ref="A219:A222" si="87">A218+1</f>
        <v>158</v>
      </c>
      <c r="B219" s="699" t="s">
        <v>1963</v>
      </c>
      <c r="C219" s="702" t="s">
        <v>1964</v>
      </c>
      <c r="D219" s="703">
        <v>15.74</v>
      </c>
      <c r="E219" s="647">
        <f t="shared" si="84"/>
        <v>187.58</v>
      </c>
      <c r="F219" s="697">
        <v>2952.47</v>
      </c>
      <c r="G219" s="552">
        <v>250</v>
      </c>
      <c r="H219" s="619">
        <f t="shared" si="83"/>
        <v>3935</v>
      </c>
      <c r="I219" s="482">
        <f t="shared" si="85"/>
        <v>-62.42</v>
      </c>
      <c r="J219" s="701">
        <f t="shared" si="86"/>
        <v>-982.5300000000002</v>
      </c>
    </row>
    <row r="220" spans="1:12" ht="31.5" customHeight="1" x14ac:dyDescent="0.3">
      <c r="A220" s="630">
        <f t="shared" si="87"/>
        <v>159</v>
      </c>
      <c r="B220" s="699" t="s">
        <v>1965</v>
      </c>
      <c r="C220" s="442" t="s">
        <v>17</v>
      </c>
      <c r="D220" s="727">
        <f>39.37/2.06</f>
        <v>19.11165048543689</v>
      </c>
      <c r="E220" s="647">
        <f t="shared" si="84"/>
        <v>90.44</v>
      </c>
      <c r="F220" s="697">
        <f>1655.81+72.57</f>
        <v>1728.3799999999999</v>
      </c>
      <c r="G220" s="552">
        <v>260</v>
      </c>
      <c r="H220" s="619">
        <f t="shared" si="83"/>
        <v>4969.03</v>
      </c>
      <c r="I220" s="482">
        <f t="shared" si="85"/>
        <v>-169.56</v>
      </c>
      <c r="J220" s="701">
        <f t="shared" si="86"/>
        <v>-3240.6499999999996</v>
      </c>
      <c r="K220" s="478"/>
    </row>
    <row r="221" spans="1:12" ht="31.5" customHeight="1" x14ac:dyDescent="0.3">
      <c r="A221" s="630">
        <f t="shared" si="87"/>
        <v>160</v>
      </c>
      <c r="B221" s="704" t="s">
        <v>1966</v>
      </c>
      <c r="C221" s="662" t="s">
        <v>1964</v>
      </c>
      <c r="D221" s="703">
        <v>39.369999999999997</v>
      </c>
      <c r="E221" s="647">
        <f t="shared" si="84"/>
        <v>47.17</v>
      </c>
      <c r="F221" s="697">
        <v>1857.07</v>
      </c>
      <c r="G221" s="552">
        <v>220</v>
      </c>
      <c r="H221" s="619">
        <f t="shared" si="83"/>
        <v>8661.4</v>
      </c>
      <c r="I221" s="482">
        <f t="shared" si="85"/>
        <v>-172.83</v>
      </c>
      <c r="J221" s="701">
        <f>F221-H221</f>
        <v>-6804.33</v>
      </c>
      <c r="K221" s="478"/>
    </row>
    <row r="222" spans="1:12" ht="24" customHeight="1" x14ac:dyDescent="0.3">
      <c r="A222" s="630">
        <f t="shared" si="87"/>
        <v>161</v>
      </c>
      <c r="B222" s="704" t="s">
        <v>1967</v>
      </c>
      <c r="C222" s="662" t="s">
        <v>1968</v>
      </c>
      <c r="D222" s="705">
        <v>12</v>
      </c>
      <c r="E222" s="647">
        <f t="shared" si="84"/>
        <v>386.21</v>
      </c>
      <c r="F222" s="697">
        <v>4634.51</v>
      </c>
      <c r="G222" s="552">
        <v>350</v>
      </c>
      <c r="H222" s="619">
        <f t="shared" si="83"/>
        <v>4200</v>
      </c>
      <c r="I222" s="482">
        <f t="shared" si="85"/>
        <v>36.21</v>
      </c>
      <c r="J222" s="701">
        <f>F222-H222</f>
        <v>434.51000000000022</v>
      </c>
      <c r="K222" s="478"/>
    </row>
    <row r="223" spans="1:12" ht="24" customHeight="1" x14ac:dyDescent="0.3">
      <c r="A223" s="910">
        <f>A222+1</f>
        <v>162</v>
      </c>
      <c r="B223" s="704" t="s">
        <v>1969</v>
      </c>
      <c r="C223" s="702" t="s">
        <v>1968</v>
      </c>
      <c r="D223" s="705">
        <v>40</v>
      </c>
      <c r="E223" s="916">
        <f>ROUND(F223/D223,2)</f>
        <v>117.92</v>
      </c>
      <c r="F223" s="947">
        <f>26413.97-21697.2</f>
        <v>4716.7700000000004</v>
      </c>
      <c r="G223" s="949">
        <v>356.38</v>
      </c>
      <c r="H223" s="951">
        <f>ROUND((G223*D223+D224*G224),2)</f>
        <v>14255.2</v>
      </c>
      <c r="I223" s="848">
        <f>ROUND(E223-G223-G224,2)</f>
        <v>-238.46</v>
      </c>
      <c r="J223" s="953">
        <f>F223-H223-H224</f>
        <v>-9538.43</v>
      </c>
      <c r="K223" s="478"/>
    </row>
    <row r="224" spans="1:12" ht="24" customHeight="1" x14ac:dyDescent="0.3">
      <c r="A224" s="911"/>
      <c r="B224" s="704" t="s">
        <v>1970</v>
      </c>
      <c r="C224" s="442" t="s">
        <v>17</v>
      </c>
      <c r="D224" s="703">
        <v>2.56</v>
      </c>
      <c r="E224" s="917"/>
      <c r="F224" s="948"/>
      <c r="G224" s="950"/>
      <c r="H224" s="952"/>
      <c r="I224" s="849"/>
      <c r="J224" s="954"/>
      <c r="K224" s="478"/>
    </row>
    <row r="225" spans="1:11" ht="24" customHeight="1" x14ac:dyDescent="0.3">
      <c r="A225" s="630">
        <f>A223+1</f>
        <v>163</v>
      </c>
      <c r="B225" s="704" t="s">
        <v>1971</v>
      </c>
      <c r="C225" s="702" t="s">
        <v>1968</v>
      </c>
      <c r="D225" s="705">
        <v>87</v>
      </c>
      <c r="E225" s="647">
        <f t="shared" ref="E225" si="88">ROUND(F225/D225,2)</f>
        <v>109.98</v>
      </c>
      <c r="F225" s="697">
        <f>56759.64-47191.41</f>
        <v>9568.2299999999959</v>
      </c>
      <c r="G225" s="552">
        <v>329</v>
      </c>
      <c r="H225" s="619">
        <f t="shared" ref="H225:H239" si="89">ROUND(G225*D225,2)</f>
        <v>28623</v>
      </c>
      <c r="I225" s="482">
        <f>E225-G225</f>
        <v>-219.01999999999998</v>
      </c>
      <c r="J225" s="701">
        <f>F225-H225</f>
        <v>-19054.770000000004</v>
      </c>
      <c r="K225" s="478"/>
    </row>
    <row r="226" spans="1:11" ht="24" customHeight="1" x14ac:dyDescent="0.3">
      <c r="A226" s="910">
        <f>A225+1</f>
        <v>164</v>
      </c>
      <c r="B226" s="704" t="s">
        <v>1972</v>
      </c>
      <c r="C226" s="702" t="s">
        <v>1968</v>
      </c>
      <c r="D226" s="705">
        <v>10</v>
      </c>
      <c r="E226" s="916">
        <f>ROUND(F226/30,2)</f>
        <v>869.51</v>
      </c>
      <c r="F226" s="947">
        <f>26085.35</f>
        <v>26085.35</v>
      </c>
      <c r="G226" s="949">
        <v>800</v>
      </c>
      <c r="H226" s="951">
        <f>ROUND(G226*D226+D227*G227+D228*G228+D229*G229,2)</f>
        <v>8000</v>
      </c>
      <c r="I226" s="848">
        <f>E226-G226-G228-G229-G227</f>
        <v>69.509999999999991</v>
      </c>
      <c r="J226" s="953">
        <f>F226-H226-H228-H229-H227</f>
        <v>18085.349999999999</v>
      </c>
      <c r="K226" s="478"/>
    </row>
    <row r="227" spans="1:11" ht="24" customHeight="1" x14ac:dyDescent="0.3">
      <c r="A227" s="960"/>
      <c r="B227" s="706" t="s">
        <v>1973</v>
      </c>
      <c r="C227" s="702" t="s">
        <v>1968</v>
      </c>
      <c r="D227" s="705">
        <v>20</v>
      </c>
      <c r="E227" s="961"/>
      <c r="F227" s="962"/>
      <c r="G227" s="963"/>
      <c r="H227" s="964"/>
      <c r="I227" s="895"/>
      <c r="J227" s="955"/>
      <c r="K227" s="478"/>
    </row>
    <row r="228" spans="1:11" ht="24" customHeight="1" x14ac:dyDescent="0.3">
      <c r="A228" s="960"/>
      <c r="B228" s="706" t="s">
        <v>1974</v>
      </c>
      <c r="C228" s="702" t="s">
        <v>1975</v>
      </c>
      <c r="D228" s="705">
        <v>4</v>
      </c>
      <c r="E228" s="961"/>
      <c r="F228" s="962"/>
      <c r="G228" s="963"/>
      <c r="H228" s="964"/>
      <c r="I228" s="895"/>
      <c r="J228" s="955"/>
      <c r="K228" s="478"/>
    </row>
    <row r="229" spans="1:11" ht="23.25" customHeight="1" x14ac:dyDescent="0.3">
      <c r="A229" s="911"/>
      <c r="B229" s="706" t="s">
        <v>1976</v>
      </c>
      <c r="C229" s="702" t="s">
        <v>1975</v>
      </c>
      <c r="D229" s="705">
        <v>6</v>
      </c>
      <c r="E229" s="917"/>
      <c r="F229" s="948"/>
      <c r="G229" s="950"/>
      <c r="H229" s="952"/>
      <c r="I229" s="849"/>
      <c r="J229" s="954"/>
      <c r="K229" s="478"/>
    </row>
    <row r="230" spans="1:11" ht="24.75" customHeight="1" x14ac:dyDescent="0.3">
      <c r="A230" s="630">
        <f>A226+1</f>
        <v>165</v>
      </c>
      <c r="B230" s="704" t="s">
        <v>1977</v>
      </c>
      <c r="C230" s="442" t="s">
        <v>17</v>
      </c>
      <c r="D230" s="703">
        <v>5.09</v>
      </c>
      <c r="E230" s="647">
        <f t="shared" ref="E230:E232" si="90">ROUND(F230/D230,2)</f>
        <v>619.1</v>
      </c>
      <c r="F230" s="697">
        <v>3151.2</v>
      </c>
      <c r="G230" s="552">
        <v>1480.83</v>
      </c>
      <c r="H230" s="619">
        <f t="shared" si="89"/>
        <v>7537.42</v>
      </c>
      <c r="I230" s="482">
        <f t="shared" ref="I230:J232" si="91">E230-G230</f>
        <v>-861.7299999999999</v>
      </c>
      <c r="J230" s="701">
        <f>F230-H230</f>
        <v>-4386.22</v>
      </c>
      <c r="K230" s="478"/>
    </row>
    <row r="231" spans="1:11" ht="31.5" customHeight="1" x14ac:dyDescent="0.3">
      <c r="A231" s="630">
        <f>A230+1</f>
        <v>166</v>
      </c>
      <c r="B231" s="704" t="s">
        <v>1978</v>
      </c>
      <c r="C231" s="661" t="s">
        <v>17</v>
      </c>
      <c r="D231" s="703">
        <v>19.11</v>
      </c>
      <c r="E231" s="647">
        <f t="shared" si="90"/>
        <v>86.7</v>
      </c>
      <c r="F231" s="697">
        <v>1656.78</v>
      </c>
      <c r="G231" s="552">
        <v>260</v>
      </c>
      <c r="H231" s="619">
        <f t="shared" si="89"/>
        <v>4968.6000000000004</v>
      </c>
      <c r="I231" s="482">
        <f t="shared" si="91"/>
        <v>-173.3</v>
      </c>
      <c r="J231" s="701">
        <f t="shared" si="91"/>
        <v>-3311.8200000000006</v>
      </c>
      <c r="K231" s="478"/>
    </row>
    <row r="232" spans="1:11" ht="33" customHeight="1" x14ac:dyDescent="0.3">
      <c r="A232" s="630">
        <f>A231+1</f>
        <v>167</v>
      </c>
      <c r="B232" s="704" t="s">
        <v>1979</v>
      </c>
      <c r="C232" s="662" t="s">
        <v>1964</v>
      </c>
      <c r="D232" s="703">
        <v>39.369999999999997</v>
      </c>
      <c r="E232" s="647">
        <f t="shared" si="90"/>
        <v>47.17</v>
      </c>
      <c r="F232" s="697">
        <v>1857.07</v>
      </c>
      <c r="G232" s="552">
        <v>220</v>
      </c>
      <c r="H232" s="619">
        <f t="shared" si="89"/>
        <v>8661.4</v>
      </c>
      <c r="I232" s="482">
        <f t="shared" si="91"/>
        <v>-172.82999999999998</v>
      </c>
      <c r="J232" s="701">
        <f t="shared" si="91"/>
        <v>-6804.33</v>
      </c>
      <c r="K232" s="478"/>
    </row>
    <row r="233" spans="1:11" ht="21" customHeight="1" x14ac:dyDescent="0.3">
      <c r="A233" s="910">
        <f>A232+1</f>
        <v>168</v>
      </c>
      <c r="B233" s="707" t="s">
        <v>1980</v>
      </c>
      <c r="C233" s="956" t="s">
        <v>17</v>
      </c>
      <c r="D233" s="958">
        <v>19.11</v>
      </c>
      <c r="E233" s="916">
        <f>ROUND(F233/D233,2)</f>
        <v>619.14</v>
      </c>
      <c r="F233" s="947">
        <v>11831.79</v>
      </c>
      <c r="G233" s="949">
        <v>1030</v>
      </c>
      <c r="H233" s="951">
        <f>ROUND(G233*D233,2)</f>
        <v>19683.3</v>
      </c>
      <c r="I233" s="848">
        <f>E233-G233-G234</f>
        <v>-410.86</v>
      </c>
      <c r="J233" s="953">
        <f>F233-H233-H234</f>
        <v>-7851.5099999999984</v>
      </c>
      <c r="K233" s="478"/>
    </row>
    <row r="234" spans="1:11" ht="21" customHeight="1" x14ac:dyDescent="0.3">
      <c r="A234" s="911"/>
      <c r="B234" s="707" t="s">
        <v>1981</v>
      </c>
      <c r="C234" s="957"/>
      <c r="D234" s="959"/>
      <c r="E234" s="917"/>
      <c r="F234" s="948"/>
      <c r="G234" s="950"/>
      <c r="H234" s="952"/>
      <c r="I234" s="849"/>
      <c r="J234" s="954"/>
      <c r="K234" s="478"/>
    </row>
    <row r="235" spans="1:11" ht="23.25" customHeight="1" x14ac:dyDescent="0.3">
      <c r="A235" s="630">
        <f>A233+1</f>
        <v>169</v>
      </c>
      <c r="B235" s="699" t="s">
        <v>1982</v>
      </c>
      <c r="C235" s="442" t="s">
        <v>17</v>
      </c>
      <c r="D235" s="703">
        <v>7.06</v>
      </c>
      <c r="E235" s="647">
        <f t="shared" ref="E235:E238" si="92">ROUND(F235/D235,2)</f>
        <v>1126.83</v>
      </c>
      <c r="F235" s="697">
        <v>7955.44</v>
      </c>
      <c r="G235" s="552">
        <v>2397.5</v>
      </c>
      <c r="H235" s="619">
        <f t="shared" si="89"/>
        <v>16926.349999999999</v>
      </c>
      <c r="I235" s="482">
        <f>E235-G235</f>
        <v>-1270.67</v>
      </c>
      <c r="J235" s="701">
        <f t="shared" ref="J235:J239" si="93">F235-H235</f>
        <v>-8970.91</v>
      </c>
      <c r="K235" s="478"/>
    </row>
    <row r="236" spans="1:11" ht="31.5" customHeight="1" x14ac:dyDescent="0.3">
      <c r="A236" s="630">
        <f>A235+1</f>
        <v>170</v>
      </c>
      <c r="B236" s="699" t="s">
        <v>1983</v>
      </c>
      <c r="C236" s="442" t="s">
        <v>17</v>
      </c>
      <c r="D236" s="703">
        <v>7.06</v>
      </c>
      <c r="E236" s="647">
        <f t="shared" si="92"/>
        <v>96.13</v>
      </c>
      <c r="F236" s="697">
        <f>66.6+612.11</f>
        <v>678.71</v>
      </c>
      <c r="G236" s="552">
        <v>260</v>
      </c>
      <c r="H236" s="619">
        <f t="shared" si="89"/>
        <v>1835.6</v>
      </c>
      <c r="I236" s="482">
        <f t="shared" ref="I236:I240" si="94">E236-G236</f>
        <v>-163.87</v>
      </c>
      <c r="J236" s="701">
        <f t="shared" si="93"/>
        <v>-1156.8899999999999</v>
      </c>
      <c r="K236" s="478"/>
    </row>
    <row r="237" spans="1:11" ht="31.5" customHeight="1" x14ac:dyDescent="0.3">
      <c r="A237" s="630">
        <f t="shared" ref="A237:A238" si="95">A236+1</f>
        <v>171</v>
      </c>
      <c r="B237" s="699" t="s">
        <v>1984</v>
      </c>
      <c r="C237" s="662" t="s">
        <v>1964</v>
      </c>
      <c r="D237" s="703">
        <v>14.54</v>
      </c>
      <c r="E237" s="647">
        <f t="shared" si="92"/>
        <v>47.17</v>
      </c>
      <c r="F237" s="697">
        <v>685.79</v>
      </c>
      <c r="G237" s="552">
        <v>220</v>
      </c>
      <c r="H237" s="619">
        <f t="shared" si="89"/>
        <v>3198.8</v>
      </c>
      <c r="I237" s="482">
        <f t="shared" si="94"/>
        <v>-172.82999999999998</v>
      </c>
      <c r="J237" s="701">
        <f t="shared" si="93"/>
        <v>-2513.0100000000002</v>
      </c>
      <c r="K237" s="478"/>
    </row>
    <row r="238" spans="1:11" ht="31.5" customHeight="1" x14ac:dyDescent="0.3">
      <c r="A238" s="630">
        <f t="shared" si="95"/>
        <v>172</v>
      </c>
      <c r="B238" s="699" t="s">
        <v>1985</v>
      </c>
      <c r="C238" s="442" t="s">
        <v>17</v>
      </c>
      <c r="D238" s="703">
        <v>7.06</v>
      </c>
      <c r="E238" s="647">
        <f t="shared" si="92"/>
        <v>86.7</v>
      </c>
      <c r="F238" s="697">
        <v>612.11</v>
      </c>
      <c r="G238" s="552">
        <v>260</v>
      </c>
      <c r="H238" s="619">
        <f t="shared" si="89"/>
        <v>1835.6</v>
      </c>
      <c r="I238" s="482">
        <f t="shared" si="94"/>
        <v>-173.3</v>
      </c>
      <c r="J238" s="701">
        <f t="shared" si="93"/>
        <v>-1223.4899999999998</v>
      </c>
      <c r="K238" s="478"/>
    </row>
    <row r="239" spans="1:11" ht="31.5" customHeight="1" x14ac:dyDescent="0.3">
      <c r="A239" s="630">
        <f>A238+1</f>
        <v>173</v>
      </c>
      <c r="B239" s="704" t="s">
        <v>1979</v>
      </c>
      <c r="C239" s="662" t="s">
        <v>1964</v>
      </c>
      <c r="D239" s="703">
        <f>D237</f>
        <v>14.54</v>
      </c>
      <c r="E239" s="647">
        <f>ROUND(F239/D239,2)</f>
        <v>47.17</v>
      </c>
      <c r="F239" s="697">
        <v>685.79</v>
      </c>
      <c r="G239" s="552">
        <v>220</v>
      </c>
      <c r="H239" s="619">
        <f t="shared" si="89"/>
        <v>3198.8</v>
      </c>
      <c r="I239" s="482">
        <f t="shared" si="94"/>
        <v>-172.82999999999998</v>
      </c>
      <c r="J239" s="701">
        <f t="shared" si="93"/>
        <v>-2513.0100000000002</v>
      </c>
      <c r="K239" s="478"/>
    </row>
    <row r="240" spans="1:11" ht="21" customHeight="1" x14ac:dyDescent="0.3">
      <c r="A240" s="910">
        <f>A239+1</f>
        <v>174</v>
      </c>
      <c r="B240" s="704" t="s">
        <v>1986</v>
      </c>
      <c r="C240" s="956" t="s">
        <v>17</v>
      </c>
      <c r="D240" s="956">
        <v>7.06</v>
      </c>
      <c r="E240" s="916">
        <f>ROUND(F240/D240,2)</f>
        <v>619.14</v>
      </c>
      <c r="F240" s="968">
        <v>4371.1000000000004</v>
      </c>
      <c r="G240" s="949">
        <v>1030</v>
      </c>
      <c r="H240" s="951">
        <f>ROUND(G240*D240,2)</f>
        <v>7271.8</v>
      </c>
      <c r="I240" s="848">
        <f t="shared" si="94"/>
        <v>-410.86</v>
      </c>
      <c r="J240" s="953">
        <f>F240-H240-F241</f>
        <v>-2900.7</v>
      </c>
      <c r="K240" s="478"/>
    </row>
    <row r="241" spans="1:12" ht="21" customHeight="1" x14ac:dyDescent="0.3">
      <c r="A241" s="911"/>
      <c r="B241" s="704" t="s">
        <v>1987</v>
      </c>
      <c r="C241" s="957"/>
      <c r="D241" s="957">
        <v>10.58</v>
      </c>
      <c r="E241" s="917"/>
      <c r="F241" s="969"/>
      <c r="G241" s="950"/>
      <c r="H241" s="952"/>
      <c r="I241" s="849"/>
      <c r="J241" s="954"/>
      <c r="K241" s="478"/>
    </row>
    <row r="242" spans="1:12" s="692" customFormat="1" ht="21" customHeight="1" x14ac:dyDescent="0.3">
      <c r="A242" s="693"/>
      <c r="B242" s="965" t="s">
        <v>1988</v>
      </c>
      <c r="C242" s="966"/>
      <c r="D242" s="966"/>
      <c r="E242" s="966"/>
      <c r="F242" s="966"/>
      <c r="G242" s="966"/>
      <c r="H242" s="966"/>
      <c r="I242" s="966"/>
      <c r="J242" s="967"/>
      <c r="K242" s="690"/>
      <c r="L242" s="691"/>
    </row>
    <row r="243" spans="1:12" ht="20.25" customHeight="1" x14ac:dyDescent="0.3">
      <c r="A243" s="708">
        <f>A240+1</f>
        <v>175</v>
      </c>
      <c r="B243" s="709" t="s">
        <v>1989</v>
      </c>
      <c r="C243" s="710" t="s">
        <v>5</v>
      </c>
      <c r="D243" s="711">
        <v>20</v>
      </c>
      <c r="E243" s="647">
        <f>ROUND(F243/D243,2)</f>
        <v>350.54</v>
      </c>
      <c r="F243" s="697">
        <v>7010.74</v>
      </c>
      <c r="G243" s="645">
        <v>350</v>
      </c>
      <c r="H243" s="619">
        <f t="shared" ref="H243:H255" si="96">ROUND(G243*D243,2)</f>
        <v>7000</v>
      </c>
      <c r="I243" s="642">
        <f>E243-G243</f>
        <v>0.54000000000002046</v>
      </c>
      <c r="J243" s="698">
        <f>F243-H243</f>
        <v>10.739999999999782</v>
      </c>
      <c r="K243" s="478"/>
    </row>
    <row r="244" spans="1:12" ht="31.5" customHeight="1" x14ac:dyDescent="0.3">
      <c r="A244" s="630">
        <f>A243+1</f>
        <v>176</v>
      </c>
      <c r="B244" s="706" t="s">
        <v>2049</v>
      </c>
      <c r="C244" s="662" t="s">
        <v>5</v>
      </c>
      <c r="D244" s="712">
        <v>198</v>
      </c>
      <c r="E244" s="647">
        <f t="shared" ref="E244:E260" si="97">ROUND(F244/D244,2)</f>
        <v>106.91</v>
      </c>
      <c r="F244" s="697">
        <v>21168.77</v>
      </c>
      <c r="G244" s="552">
        <v>322.56</v>
      </c>
      <c r="H244" s="619">
        <f t="shared" si="96"/>
        <v>63866.879999999997</v>
      </c>
      <c r="I244" s="482">
        <f>E244-G244</f>
        <v>-215.65</v>
      </c>
      <c r="J244" s="701">
        <f>F244-H244</f>
        <v>-42698.11</v>
      </c>
      <c r="K244" s="478"/>
    </row>
    <row r="245" spans="1:12" ht="21" customHeight="1" x14ac:dyDescent="0.3">
      <c r="A245" s="630">
        <f t="shared" ref="A245:A260" si="98">A244+1</f>
        <v>177</v>
      </c>
      <c r="B245" s="706" t="s">
        <v>2033</v>
      </c>
      <c r="C245" s="662" t="s">
        <v>40</v>
      </c>
      <c r="D245" s="712">
        <v>40</v>
      </c>
      <c r="E245" s="647">
        <f t="shared" si="97"/>
        <v>1181.24</v>
      </c>
      <c r="F245" s="697">
        <v>47249.75</v>
      </c>
      <c r="G245" s="552">
        <v>1181.24</v>
      </c>
      <c r="H245" s="619">
        <f t="shared" si="96"/>
        <v>47249.599999999999</v>
      </c>
      <c r="I245" s="482">
        <f t="shared" ref="I245:J260" si="99">E245-G245</f>
        <v>0</v>
      </c>
      <c r="J245" s="701">
        <f t="shared" si="99"/>
        <v>0.15000000000145519</v>
      </c>
    </row>
    <row r="246" spans="1:12" ht="21.75" customHeight="1" x14ac:dyDescent="0.3">
      <c r="A246" s="630">
        <f t="shared" si="98"/>
        <v>178</v>
      </c>
      <c r="B246" s="706" t="s">
        <v>1992</v>
      </c>
      <c r="C246" s="662" t="s">
        <v>5</v>
      </c>
      <c r="D246" s="712">
        <v>18</v>
      </c>
      <c r="E246" s="647">
        <f t="shared" si="97"/>
        <v>224.96</v>
      </c>
      <c r="F246" s="697">
        <v>4049.2</v>
      </c>
      <c r="G246" s="552">
        <v>224.96</v>
      </c>
      <c r="H246" s="619">
        <f t="shared" si="96"/>
        <v>4049.28</v>
      </c>
      <c r="I246" s="482">
        <f t="shared" si="99"/>
        <v>0</v>
      </c>
      <c r="J246" s="725">
        <f t="shared" si="99"/>
        <v>-8.0000000000381988E-2</v>
      </c>
    </row>
    <row r="247" spans="1:12" ht="23.25" customHeight="1" x14ac:dyDescent="0.3">
      <c r="A247" s="630">
        <f t="shared" si="98"/>
        <v>179</v>
      </c>
      <c r="B247" s="704" t="s">
        <v>1993</v>
      </c>
      <c r="C247" s="662" t="s">
        <v>1968</v>
      </c>
      <c r="D247" s="705">
        <v>8</v>
      </c>
      <c r="E247" s="647">
        <f t="shared" si="97"/>
        <v>322.56</v>
      </c>
      <c r="F247" s="697">
        <v>2580.5100000000002</v>
      </c>
      <c r="G247" s="552">
        <v>322.56</v>
      </c>
      <c r="H247" s="619">
        <f t="shared" si="96"/>
        <v>2580.48</v>
      </c>
      <c r="I247" s="482">
        <f t="shared" si="99"/>
        <v>0</v>
      </c>
      <c r="J247" s="725">
        <f t="shared" si="99"/>
        <v>3.0000000000200089E-2</v>
      </c>
    </row>
    <row r="248" spans="1:12" ht="23.25" customHeight="1" x14ac:dyDescent="0.3">
      <c r="A248" s="630">
        <f t="shared" si="98"/>
        <v>180</v>
      </c>
      <c r="B248" s="706" t="s">
        <v>1994</v>
      </c>
      <c r="C248" s="662" t="s">
        <v>1975</v>
      </c>
      <c r="D248" s="705">
        <v>1</v>
      </c>
      <c r="E248" s="647">
        <f t="shared" si="97"/>
        <v>4784.1400000000003</v>
      </c>
      <c r="F248" s="697">
        <v>4784.1400000000003</v>
      </c>
      <c r="G248" s="552">
        <v>10334.35</v>
      </c>
      <c r="H248" s="619">
        <f t="shared" si="96"/>
        <v>10334.35</v>
      </c>
      <c r="I248" s="482">
        <f t="shared" si="99"/>
        <v>-5550.21</v>
      </c>
      <c r="J248" s="725">
        <f t="shared" si="99"/>
        <v>-5550.21</v>
      </c>
    </row>
    <row r="249" spans="1:12" ht="20.25" customHeight="1" x14ac:dyDescent="0.3">
      <c r="A249" s="630">
        <f t="shared" si="98"/>
        <v>181</v>
      </c>
      <c r="B249" s="704" t="s">
        <v>1995</v>
      </c>
      <c r="C249" s="662" t="s">
        <v>1975</v>
      </c>
      <c r="D249" s="705">
        <v>4</v>
      </c>
      <c r="E249" s="647">
        <f t="shared" si="97"/>
        <v>2963.03</v>
      </c>
      <c r="F249" s="697">
        <v>11852.1</v>
      </c>
      <c r="G249" s="552">
        <v>6281.62</v>
      </c>
      <c r="H249" s="619">
        <f t="shared" si="96"/>
        <v>25126.48</v>
      </c>
      <c r="I249" s="482">
        <f t="shared" si="99"/>
        <v>-3318.5899999999997</v>
      </c>
      <c r="J249" s="725">
        <f t="shared" si="99"/>
        <v>-13274.38</v>
      </c>
    </row>
    <row r="250" spans="1:12" ht="24" customHeight="1" x14ac:dyDescent="0.3">
      <c r="A250" s="630">
        <f t="shared" si="98"/>
        <v>182</v>
      </c>
      <c r="B250" s="706" t="s">
        <v>1996</v>
      </c>
      <c r="C250" s="662" t="s">
        <v>1975</v>
      </c>
      <c r="D250" s="705">
        <v>4</v>
      </c>
      <c r="E250" s="647">
        <f t="shared" si="97"/>
        <v>6376.09</v>
      </c>
      <c r="F250" s="697">
        <v>25504.37</v>
      </c>
      <c r="G250" s="552">
        <v>6000</v>
      </c>
      <c r="H250" s="619">
        <f t="shared" si="96"/>
        <v>24000</v>
      </c>
      <c r="I250" s="482">
        <f t="shared" si="99"/>
        <v>376.09000000000015</v>
      </c>
      <c r="J250" s="725">
        <f t="shared" si="99"/>
        <v>1504.369999999999</v>
      </c>
      <c r="K250" s="478"/>
    </row>
    <row r="251" spans="1:12" s="484" customFormat="1" ht="21.75" customHeight="1" x14ac:dyDescent="0.3">
      <c r="A251" s="630">
        <f t="shared" si="98"/>
        <v>183</v>
      </c>
      <c r="B251" s="704" t="s">
        <v>1997</v>
      </c>
      <c r="C251" s="662" t="s">
        <v>1975</v>
      </c>
      <c r="D251" s="705">
        <v>15</v>
      </c>
      <c r="E251" s="647">
        <f t="shared" si="97"/>
        <v>853.22</v>
      </c>
      <c r="F251" s="697">
        <v>12798.24</v>
      </c>
      <c r="G251" s="500">
        <v>511.94</v>
      </c>
      <c r="H251" s="619">
        <f t="shared" si="96"/>
        <v>7679.1</v>
      </c>
      <c r="I251" s="482">
        <f t="shared" si="99"/>
        <v>341.28000000000003</v>
      </c>
      <c r="J251" s="725">
        <f t="shared" si="99"/>
        <v>5119.1399999999994</v>
      </c>
      <c r="K251" s="491"/>
      <c r="L251" s="713"/>
    </row>
    <row r="252" spans="1:12" ht="19.5" customHeight="1" x14ac:dyDescent="0.3">
      <c r="A252" s="630">
        <f t="shared" si="98"/>
        <v>184</v>
      </c>
      <c r="B252" s="706" t="s">
        <v>1998</v>
      </c>
      <c r="C252" s="662" t="s">
        <v>1975</v>
      </c>
      <c r="D252" s="705">
        <v>20</v>
      </c>
      <c r="E252" s="647">
        <f t="shared" si="97"/>
        <v>3345.35</v>
      </c>
      <c r="F252" s="714">
        <v>66906.97</v>
      </c>
      <c r="G252" s="552">
        <v>2877.01</v>
      </c>
      <c r="H252" s="619">
        <f t="shared" si="96"/>
        <v>57540.2</v>
      </c>
      <c r="I252" s="482">
        <f t="shared" si="99"/>
        <v>468.33999999999969</v>
      </c>
      <c r="J252" s="725">
        <f t="shared" si="99"/>
        <v>9366.7700000000041</v>
      </c>
      <c r="K252" s="478"/>
    </row>
    <row r="253" spans="1:12" ht="24" customHeight="1" x14ac:dyDescent="0.3">
      <c r="A253" s="630">
        <f t="shared" si="98"/>
        <v>185</v>
      </c>
      <c r="B253" s="428" t="s">
        <v>2050</v>
      </c>
      <c r="C253" s="662" t="s">
        <v>1975</v>
      </c>
      <c r="D253" s="712">
        <v>10</v>
      </c>
      <c r="E253" s="647">
        <f t="shared" si="97"/>
        <v>2835.54</v>
      </c>
      <c r="F253" s="697">
        <f>25039.61+3315.78</f>
        <v>28355.39</v>
      </c>
      <c r="G253" s="552">
        <v>454</v>
      </c>
      <c r="H253" s="619">
        <f t="shared" si="96"/>
        <v>4540</v>
      </c>
      <c r="I253" s="482">
        <f t="shared" si="99"/>
        <v>2381.54</v>
      </c>
      <c r="J253" s="725">
        <f t="shared" si="99"/>
        <v>23815.39</v>
      </c>
    </row>
    <row r="254" spans="1:12" ht="21.75" customHeight="1" x14ac:dyDescent="0.3">
      <c r="A254" s="630">
        <f t="shared" si="98"/>
        <v>186</v>
      </c>
      <c r="B254" s="706" t="s">
        <v>2001</v>
      </c>
      <c r="C254" s="662" t="s">
        <v>40</v>
      </c>
      <c r="D254" s="712">
        <v>1</v>
      </c>
      <c r="E254" s="647">
        <f t="shared" si="97"/>
        <v>752.49</v>
      </c>
      <c r="F254" s="697">
        <v>752.49</v>
      </c>
      <c r="G254" s="552">
        <v>2949.21</v>
      </c>
      <c r="H254" s="619">
        <f t="shared" si="96"/>
        <v>2949.21</v>
      </c>
      <c r="I254" s="482">
        <f t="shared" si="99"/>
        <v>-2196.7200000000003</v>
      </c>
      <c r="J254" s="725">
        <f t="shared" si="99"/>
        <v>-2196.7200000000003</v>
      </c>
    </row>
    <row r="255" spans="1:12" ht="21.75" customHeight="1" x14ac:dyDescent="0.3">
      <c r="A255" s="630">
        <f t="shared" si="98"/>
        <v>187</v>
      </c>
      <c r="B255" s="706" t="s">
        <v>2002</v>
      </c>
      <c r="C255" s="702" t="s">
        <v>40</v>
      </c>
      <c r="D255" s="712">
        <v>3</v>
      </c>
      <c r="E255" s="647">
        <f t="shared" si="97"/>
        <v>3208.92</v>
      </c>
      <c r="F255" s="697">
        <v>9626.77</v>
      </c>
      <c r="G255" s="552">
        <v>5000</v>
      </c>
      <c r="H255" s="619">
        <f t="shared" si="96"/>
        <v>15000</v>
      </c>
      <c r="I255" s="482">
        <f t="shared" si="99"/>
        <v>-1791.08</v>
      </c>
      <c r="J255" s="725">
        <f t="shared" si="99"/>
        <v>-5373.23</v>
      </c>
    </row>
    <row r="256" spans="1:12" ht="23.25" customHeight="1" x14ac:dyDescent="0.3">
      <c r="A256" s="630">
        <f t="shared" si="98"/>
        <v>188</v>
      </c>
      <c r="B256" s="706" t="s">
        <v>2035</v>
      </c>
      <c r="C256" s="702" t="s">
        <v>40</v>
      </c>
      <c r="D256" s="712">
        <v>23</v>
      </c>
      <c r="E256" s="647">
        <f t="shared" si="97"/>
        <v>311.49</v>
      </c>
      <c r="F256" s="697">
        <v>7164.22</v>
      </c>
      <c r="G256" s="552">
        <v>511.94</v>
      </c>
      <c r="H256" s="619">
        <f>ROUND(G256*D256,2)</f>
        <v>11774.62</v>
      </c>
      <c r="I256" s="482">
        <f t="shared" si="99"/>
        <v>-200.45</v>
      </c>
      <c r="J256" s="725">
        <f t="shared" si="99"/>
        <v>-4610.4000000000005</v>
      </c>
    </row>
    <row r="257" spans="1:11" ht="35.25" customHeight="1" x14ac:dyDescent="0.3">
      <c r="A257" s="630">
        <f t="shared" si="98"/>
        <v>189</v>
      </c>
      <c r="B257" s="704" t="s">
        <v>2036</v>
      </c>
      <c r="C257" s="662" t="s">
        <v>1968</v>
      </c>
      <c r="D257" s="705">
        <v>492</v>
      </c>
      <c r="E257" s="647">
        <f t="shared" si="97"/>
        <v>479.81</v>
      </c>
      <c r="F257" s="697">
        <v>236068.4</v>
      </c>
      <c r="G257" s="552">
        <v>479</v>
      </c>
      <c r="H257" s="619">
        <f t="shared" ref="H257:H260" si="100">ROUND(G257*D257,2)</f>
        <v>235668</v>
      </c>
      <c r="I257" s="482">
        <f t="shared" si="99"/>
        <v>0.81000000000000227</v>
      </c>
      <c r="J257" s="725">
        <f t="shared" si="99"/>
        <v>400.39999999999418</v>
      </c>
    </row>
    <row r="258" spans="1:11" ht="31.2" x14ac:dyDescent="0.3">
      <c r="A258" s="630">
        <f t="shared" si="98"/>
        <v>190</v>
      </c>
      <c r="B258" s="704" t="s">
        <v>2005</v>
      </c>
      <c r="C258" s="661" t="s">
        <v>5</v>
      </c>
      <c r="D258" s="705">
        <v>72</v>
      </c>
      <c r="E258" s="647">
        <f t="shared" si="97"/>
        <v>142.41</v>
      </c>
      <c r="F258" s="697">
        <v>10253.32</v>
      </c>
      <c r="G258" s="552">
        <v>140</v>
      </c>
      <c r="H258" s="619">
        <f t="shared" si="100"/>
        <v>10080</v>
      </c>
      <c r="I258" s="482">
        <f t="shared" si="99"/>
        <v>2.4099999999999966</v>
      </c>
      <c r="J258" s="725">
        <f t="shared" si="99"/>
        <v>173.31999999999971</v>
      </c>
    </row>
    <row r="259" spans="1:11" ht="46.8" x14ac:dyDescent="0.3">
      <c r="A259" s="630">
        <f t="shared" si="98"/>
        <v>191</v>
      </c>
      <c r="B259" s="704" t="s">
        <v>2037</v>
      </c>
      <c r="C259" s="662" t="s">
        <v>1968</v>
      </c>
      <c r="D259" s="705">
        <v>281</v>
      </c>
      <c r="E259" s="647">
        <f t="shared" si="97"/>
        <v>106.91</v>
      </c>
      <c r="F259" s="697">
        <v>30042.720000000001</v>
      </c>
      <c r="G259" s="552">
        <v>322.56</v>
      </c>
      <c r="H259" s="619">
        <f t="shared" si="100"/>
        <v>90639.360000000001</v>
      </c>
      <c r="I259" s="482">
        <f t="shared" si="99"/>
        <v>-215.65</v>
      </c>
      <c r="J259" s="725">
        <f t="shared" si="99"/>
        <v>-60596.639999999999</v>
      </c>
    </row>
    <row r="260" spans="1:11" ht="23.25" customHeight="1" x14ac:dyDescent="0.3">
      <c r="A260" s="630">
        <f t="shared" si="98"/>
        <v>192</v>
      </c>
      <c r="B260" s="704" t="s">
        <v>2007</v>
      </c>
      <c r="C260" s="662" t="s">
        <v>1975</v>
      </c>
      <c r="D260" s="705">
        <v>3</v>
      </c>
      <c r="E260" s="647">
        <f t="shared" si="97"/>
        <v>6364.04</v>
      </c>
      <c r="F260" s="697">
        <f>ROUND((14847.18+10608.97)/4*D260,2)</f>
        <v>19092.11</v>
      </c>
      <c r="G260" s="552">
        <v>10425</v>
      </c>
      <c r="H260" s="619">
        <f t="shared" si="100"/>
        <v>31275</v>
      </c>
      <c r="I260" s="482">
        <f t="shared" si="99"/>
        <v>-4060.96</v>
      </c>
      <c r="J260" s="725">
        <f t="shared" si="99"/>
        <v>-12182.89</v>
      </c>
    </row>
    <row r="261" spans="1:11" ht="23.25" customHeight="1" x14ac:dyDescent="0.3">
      <c r="A261" s="910">
        <f>A260+1</f>
        <v>193</v>
      </c>
      <c r="B261" s="704" t="s">
        <v>2008</v>
      </c>
      <c r="C261" s="702" t="s">
        <v>1975</v>
      </c>
      <c r="D261" s="705">
        <v>1</v>
      </c>
      <c r="E261" s="916">
        <f>ROUND(F261/D261,2)</f>
        <v>6363.92</v>
      </c>
      <c r="F261" s="947">
        <f>ROUND((14847.18+10608.97)/4*D261,2)-0.12</f>
        <v>6363.92</v>
      </c>
      <c r="G261" s="949">
        <v>11988.749999999998</v>
      </c>
      <c r="H261" s="951">
        <f>ROUND((G261*D261+D262*G262),2)</f>
        <v>11988.75</v>
      </c>
      <c r="I261" s="848">
        <f>E261-G261-G262</f>
        <v>-5624.8299999999981</v>
      </c>
      <c r="J261" s="974">
        <f>F261-H261-H262</f>
        <v>-5624.83</v>
      </c>
    </row>
    <row r="262" spans="1:11" x14ac:dyDescent="0.3">
      <c r="A262" s="911"/>
      <c r="B262" s="704" t="s">
        <v>2009</v>
      </c>
      <c r="C262" s="662" t="s">
        <v>1975</v>
      </c>
      <c r="D262" s="705">
        <v>1</v>
      </c>
      <c r="E262" s="917"/>
      <c r="F262" s="948"/>
      <c r="G262" s="950"/>
      <c r="H262" s="952"/>
      <c r="I262" s="849"/>
      <c r="J262" s="975"/>
    </row>
    <row r="263" spans="1:11" x14ac:dyDescent="0.3">
      <c r="A263" s="910">
        <f>A261+1</f>
        <v>194</v>
      </c>
      <c r="B263" s="704" t="s">
        <v>2010</v>
      </c>
      <c r="C263" s="702" t="s">
        <v>1975</v>
      </c>
      <c r="D263" s="705">
        <v>1</v>
      </c>
      <c r="E263" s="916">
        <f>ROUND(F263/D263,2)</f>
        <v>35761.83</v>
      </c>
      <c r="F263" s="947">
        <v>35761.83</v>
      </c>
      <c r="G263" s="949">
        <v>64370.77</v>
      </c>
      <c r="H263" s="951">
        <f>ROUND((G263*D263+D264*G264),2)</f>
        <v>64370.77</v>
      </c>
      <c r="I263" s="848">
        <f>E263-G263-G264</f>
        <v>-28608.939999999995</v>
      </c>
      <c r="J263" s="974">
        <f>F263-H263-H264</f>
        <v>-28608.939999999995</v>
      </c>
    </row>
    <row r="264" spans="1:11" x14ac:dyDescent="0.3">
      <c r="A264" s="911"/>
      <c r="B264" s="704" t="s">
        <v>2009</v>
      </c>
      <c r="C264" s="662" t="s">
        <v>1975</v>
      </c>
      <c r="D264" s="705">
        <v>1</v>
      </c>
      <c r="E264" s="917"/>
      <c r="F264" s="948"/>
      <c r="G264" s="950"/>
      <c r="H264" s="952"/>
      <c r="I264" s="849"/>
      <c r="J264" s="975"/>
    </row>
    <row r="265" spans="1:11" x14ac:dyDescent="0.3">
      <c r="A265" s="630">
        <f>A263+1</f>
        <v>195</v>
      </c>
      <c r="B265" s="704" t="s">
        <v>2011</v>
      </c>
      <c r="C265" s="662" t="s">
        <v>1975</v>
      </c>
      <c r="D265" s="705">
        <v>1</v>
      </c>
      <c r="E265" s="647">
        <f t="shared" ref="E265:E267" si="101">ROUND(F265/D265,2)</f>
        <v>16809.91</v>
      </c>
      <c r="F265" s="697">
        <v>16809.91</v>
      </c>
      <c r="G265" s="552">
        <v>15000</v>
      </c>
      <c r="H265" s="619">
        <f t="shared" ref="H265:H267" si="102">ROUND(G265*D265,2)</f>
        <v>15000</v>
      </c>
      <c r="I265" s="482">
        <f t="shared" ref="I265:J267" si="103">E265-G265</f>
        <v>1809.9099999999999</v>
      </c>
      <c r="J265" s="725">
        <f t="shared" si="103"/>
        <v>1809.9099999999999</v>
      </c>
    </row>
    <row r="266" spans="1:11" x14ac:dyDescent="0.3">
      <c r="A266" s="630">
        <f t="shared" ref="A266:A267" si="104">A265+1</f>
        <v>196</v>
      </c>
      <c r="B266" s="704" t="s">
        <v>2012</v>
      </c>
      <c r="C266" s="662" t="s">
        <v>1975</v>
      </c>
      <c r="D266" s="705">
        <v>1</v>
      </c>
      <c r="E266" s="647">
        <f t="shared" si="101"/>
        <v>11294.21</v>
      </c>
      <c r="F266" s="697">
        <v>11294.21</v>
      </c>
      <c r="G266" s="552">
        <v>15000</v>
      </c>
      <c r="H266" s="619">
        <f t="shared" si="102"/>
        <v>15000</v>
      </c>
      <c r="I266" s="482">
        <f t="shared" si="103"/>
        <v>-3705.7900000000009</v>
      </c>
      <c r="J266" s="725">
        <f t="shared" si="103"/>
        <v>-3705.7900000000009</v>
      </c>
    </row>
    <row r="267" spans="1:11" x14ac:dyDescent="0.3">
      <c r="A267" s="630">
        <f t="shared" si="104"/>
        <v>197</v>
      </c>
      <c r="B267" s="704" t="s">
        <v>2013</v>
      </c>
      <c r="C267" s="702" t="s">
        <v>1975</v>
      </c>
      <c r="D267" s="705">
        <v>1</v>
      </c>
      <c r="E267" s="647">
        <f t="shared" si="101"/>
        <v>73550.600000000006</v>
      </c>
      <c r="F267" s="697">
        <v>73550.600000000006</v>
      </c>
      <c r="G267" s="552">
        <v>172108.4</v>
      </c>
      <c r="H267" s="619">
        <f t="shared" si="102"/>
        <v>172108.4</v>
      </c>
      <c r="I267" s="482">
        <f t="shared" si="103"/>
        <v>-98557.799999999988</v>
      </c>
      <c r="J267" s="725">
        <f t="shared" si="103"/>
        <v>-98557.799999999988</v>
      </c>
    </row>
    <row r="268" spans="1:11" x14ac:dyDescent="0.3">
      <c r="A268" s="910">
        <f>A267+1</f>
        <v>198</v>
      </c>
      <c r="B268" s="704" t="s">
        <v>2014</v>
      </c>
      <c r="C268" s="662" t="s">
        <v>1975</v>
      </c>
      <c r="D268" s="705">
        <v>73</v>
      </c>
      <c r="E268" s="916">
        <f>ROUND(F268/(D268+D270),2)</f>
        <v>35.520000000000003</v>
      </c>
      <c r="F268" s="947">
        <v>3338.67</v>
      </c>
      <c r="G268" s="949">
        <v>448</v>
      </c>
      <c r="H268" s="951">
        <f>ROUND(G268*D268+D269*G269+D270*G270+D271*G271,2)</f>
        <v>32704</v>
      </c>
      <c r="I268" s="848">
        <f>E268-G268-G269-G270-G271</f>
        <v>-412.48</v>
      </c>
      <c r="J268" s="974">
        <f>F268-H268-H270-H269-H271</f>
        <v>-29365.33</v>
      </c>
    </row>
    <row r="269" spans="1:11" x14ac:dyDescent="0.3">
      <c r="A269" s="960"/>
      <c r="B269" s="704" t="s">
        <v>2038</v>
      </c>
      <c r="C269" s="662" t="s">
        <v>1975</v>
      </c>
      <c r="D269" s="705">
        <v>1</v>
      </c>
      <c r="E269" s="961"/>
      <c r="F269" s="962"/>
      <c r="G269" s="963"/>
      <c r="H269" s="964"/>
      <c r="I269" s="895"/>
      <c r="J269" s="976"/>
    </row>
    <row r="270" spans="1:11" x14ac:dyDescent="0.3">
      <c r="A270" s="960"/>
      <c r="B270" s="704" t="s">
        <v>2016</v>
      </c>
      <c r="C270" s="662" t="s">
        <v>1975</v>
      </c>
      <c r="D270" s="705">
        <v>21</v>
      </c>
      <c r="E270" s="961"/>
      <c r="F270" s="962"/>
      <c r="G270" s="963"/>
      <c r="H270" s="964"/>
      <c r="I270" s="895"/>
      <c r="J270" s="976"/>
    </row>
    <row r="271" spans="1:11" x14ac:dyDescent="0.3">
      <c r="A271" s="911"/>
      <c r="B271" s="704" t="s">
        <v>2039</v>
      </c>
      <c r="C271" s="662" t="s">
        <v>1975</v>
      </c>
      <c r="D271" s="705">
        <v>1</v>
      </c>
      <c r="E271" s="917"/>
      <c r="F271" s="948"/>
      <c r="G271" s="950"/>
      <c r="H271" s="952"/>
      <c r="I271" s="849"/>
      <c r="J271" s="975"/>
    </row>
    <row r="272" spans="1:11" ht="21.75" customHeight="1" x14ac:dyDescent="0.3">
      <c r="A272" s="630">
        <f>A268+1</f>
        <v>199</v>
      </c>
      <c r="B272" s="715" t="s">
        <v>2018</v>
      </c>
      <c r="C272" s="662" t="s">
        <v>1975</v>
      </c>
      <c r="D272" s="705">
        <v>4</v>
      </c>
      <c r="E272" s="647">
        <f t="shared" ref="E272:E274" si="105">ROUND(F272/D272,2)</f>
        <v>0</v>
      </c>
      <c r="F272" s="697"/>
      <c r="G272" s="552">
        <v>12480</v>
      </c>
      <c r="H272" s="619">
        <f t="shared" ref="H272:H274" si="106">ROUND(G272*D272,2)</f>
        <v>49920</v>
      </c>
      <c r="I272" s="482">
        <f t="shared" ref="I272:J274" si="107">E272-G272</f>
        <v>-12480</v>
      </c>
      <c r="J272" s="725">
        <f t="shared" si="107"/>
        <v>-49920</v>
      </c>
      <c r="K272" s="489" t="s">
        <v>2051</v>
      </c>
    </row>
    <row r="273" spans="1:12" x14ac:dyDescent="0.3">
      <c r="A273" s="630">
        <f>A272+1</f>
        <v>200</v>
      </c>
      <c r="B273" s="704" t="s">
        <v>2020</v>
      </c>
      <c r="C273" s="702" t="s">
        <v>1975</v>
      </c>
      <c r="D273" s="705">
        <v>4</v>
      </c>
      <c r="E273" s="647">
        <f t="shared" si="105"/>
        <v>548.54</v>
      </c>
      <c r="F273" s="697">
        <v>2194.16</v>
      </c>
      <c r="G273" s="552">
        <v>500</v>
      </c>
      <c r="H273" s="619">
        <f t="shared" si="106"/>
        <v>2000</v>
      </c>
      <c r="I273" s="482">
        <f t="shared" si="107"/>
        <v>48.539999999999964</v>
      </c>
      <c r="J273" s="725">
        <f t="shared" si="107"/>
        <v>194.15999999999985</v>
      </c>
    </row>
    <row r="274" spans="1:12" x14ac:dyDescent="0.3">
      <c r="A274" s="630">
        <f t="shared" ref="A274:A275" si="108">A273+1</f>
        <v>201</v>
      </c>
      <c r="B274" s="704" t="s">
        <v>2021</v>
      </c>
      <c r="C274" s="702" t="s">
        <v>1975</v>
      </c>
      <c r="D274" s="705">
        <v>2</v>
      </c>
      <c r="E274" s="647">
        <f t="shared" si="105"/>
        <v>10638.49</v>
      </c>
      <c r="F274" s="697">
        <v>21276.97</v>
      </c>
      <c r="G274" s="552">
        <v>7978.96</v>
      </c>
      <c r="H274" s="619">
        <f t="shared" si="106"/>
        <v>15957.92</v>
      </c>
      <c r="I274" s="482">
        <f t="shared" si="107"/>
        <v>2659.5299999999997</v>
      </c>
      <c r="J274" s="725">
        <f t="shared" si="107"/>
        <v>5319.0500000000011</v>
      </c>
    </row>
    <row r="275" spans="1:12" x14ac:dyDescent="0.3">
      <c r="A275" s="910">
        <f t="shared" si="108"/>
        <v>202</v>
      </c>
      <c r="B275" s="704" t="s">
        <v>2022</v>
      </c>
      <c r="C275" s="662" t="s">
        <v>1975</v>
      </c>
      <c r="D275" s="705">
        <v>1</v>
      </c>
      <c r="E275" s="916">
        <f>ROUND(F275/D275,2)</f>
        <v>11057.88</v>
      </c>
      <c r="F275" s="947">
        <v>11057.88</v>
      </c>
      <c r="G275" s="949">
        <v>39366.050000000003</v>
      </c>
      <c r="H275" s="951">
        <f>ROUND((G275*D275+D276*G276),2)</f>
        <v>39366.050000000003</v>
      </c>
      <c r="I275" s="848">
        <f>E275-G275-G276</f>
        <v>-28308.170000000006</v>
      </c>
      <c r="J275" s="974">
        <f>F275-H275-H276</f>
        <v>-28308.170000000006</v>
      </c>
    </row>
    <row r="276" spans="1:12" x14ac:dyDescent="0.3">
      <c r="A276" s="911"/>
      <c r="B276" s="704" t="s">
        <v>2009</v>
      </c>
      <c r="C276" s="662" t="s">
        <v>1975</v>
      </c>
      <c r="D276" s="705">
        <v>1</v>
      </c>
      <c r="E276" s="917"/>
      <c r="F276" s="948"/>
      <c r="G276" s="950"/>
      <c r="H276" s="952"/>
      <c r="I276" s="849"/>
      <c r="J276" s="975"/>
    </row>
    <row r="277" spans="1:12" x14ac:dyDescent="0.3">
      <c r="A277" s="910">
        <f>A275+1</f>
        <v>203</v>
      </c>
      <c r="B277" s="704" t="s">
        <v>2023</v>
      </c>
      <c r="C277" s="662" t="s">
        <v>1975</v>
      </c>
      <c r="D277" s="705">
        <v>1</v>
      </c>
      <c r="E277" s="916">
        <f>ROUND(F277/D277,2)</f>
        <v>2766.82</v>
      </c>
      <c r="F277" s="947">
        <v>2766.82</v>
      </c>
      <c r="G277" s="949">
        <v>26842</v>
      </c>
      <c r="H277" s="951">
        <f>ROUND((G277*D277+D278*G278),2)</f>
        <v>26842</v>
      </c>
      <c r="I277" s="848">
        <f>E277-G277-G278</f>
        <v>-24075.18</v>
      </c>
      <c r="J277" s="974">
        <f>F277-H277-H278</f>
        <v>-24075.18</v>
      </c>
    </row>
    <row r="278" spans="1:12" x14ac:dyDescent="0.3">
      <c r="A278" s="911"/>
      <c r="B278" s="704" t="s">
        <v>2009</v>
      </c>
      <c r="C278" s="662" t="s">
        <v>1975</v>
      </c>
      <c r="D278" s="705">
        <v>1</v>
      </c>
      <c r="E278" s="917"/>
      <c r="F278" s="948"/>
      <c r="G278" s="950"/>
      <c r="H278" s="952"/>
      <c r="I278" s="849"/>
      <c r="J278" s="975"/>
    </row>
    <row r="279" spans="1:12" x14ac:dyDescent="0.3">
      <c r="A279" s="630">
        <f>A277+1</f>
        <v>204</v>
      </c>
      <c r="B279" s="726" t="s">
        <v>2024</v>
      </c>
      <c r="C279" s="662" t="s">
        <v>1975</v>
      </c>
      <c r="D279" s="705">
        <v>2</v>
      </c>
      <c r="E279" s="647">
        <f t="shared" ref="E279" si="109">ROUND(F279/D279,2)</f>
        <v>0</v>
      </c>
      <c r="F279" s="697"/>
      <c r="G279" s="552">
        <v>423</v>
      </c>
      <c r="H279" s="619">
        <f t="shared" ref="H279" si="110">ROUND(G279*D279,2)</f>
        <v>846</v>
      </c>
      <c r="I279" s="482">
        <f t="shared" ref="I279:J279" si="111">E279-G279</f>
        <v>-423</v>
      </c>
      <c r="J279" s="725">
        <f t="shared" si="111"/>
        <v>-846</v>
      </c>
    </row>
    <row r="280" spans="1:12" s="692" customFormat="1" ht="21" customHeight="1" x14ac:dyDescent="0.3">
      <c r="A280" s="693"/>
      <c r="B280" s="965" t="s">
        <v>2025</v>
      </c>
      <c r="C280" s="966"/>
      <c r="D280" s="966"/>
      <c r="E280" s="966"/>
      <c r="F280" s="966"/>
      <c r="G280" s="966"/>
      <c r="H280" s="966"/>
      <c r="I280" s="966"/>
      <c r="J280" s="967"/>
      <c r="K280" s="716">
        <f>SUM(F217:F279)</f>
        <v>845394.46999999986</v>
      </c>
      <c r="L280" s="691"/>
    </row>
    <row r="281" spans="1:12" ht="31.2" x14ac:dyDescent="0.3">
      <c r="A281" s="630">
        <f>A279+1</f>
        <v>205</v>
      </c>
      <c r="B281" s="694" t="s">
        <v>2026</v>
      </c>
      <c r="C281" s="710" t="s">
        <v>2027</v>
      </c>
      <c r="D281" s="717">
        <v>1</v>
      </c>
      <c r="E281" s="647">
        <f t="shared" ref="E281:E283" si="112">ROUND(F281/D281,2)</f>
        <v>50216.05</v>
      </c>
      <c r="F281" s="697">
        <v>50216.05</v>
      </c>
      <c r="G281" s="793">
        <v>157678.32999999999</v>
      </c>
      <c r="H281" s="768">
        <f t="shared" ref="H281:H283" si="113">ROUND(G281*D281,2)</f>
        <v>157678.32999999999</v>
      </c>
      <c r="I281" s="642">
        <f t="shared" ref="I281:J283" si="114">E281-G281</f>
        <v>-107462.27999999998</v>
      </c>
      <c r="J281" s="698">
        <f t="shared" si="114"/>
        <v>-107462.27999999998</v>
      </c>
    </row>
    <row r="282" spans="1:12" ht="31.2" x14ac:dyDescent="0.3">
      <c r="A282" s="630">
        <f>A281+1</f>
        <v>206</v>
      </c>
      <c r="B282" s="699" t="s">
        <v>2028</v>
      </c>
      <c r="C282" s="702" t="s">
        <v>1975</v>
      </c>
      <c r="D282" s="705">
        <v>1</v>
      </c>
      <c r="E282" s="647">
        <f t="shared" si="112"/>
        <v>47096.45</v>
      </c>
      <c r="F282" s="697">
        <v>47096.45</v>
      </c>
      <c r="G282" s="767">
        <v>117396.1</v>
      </c>
      <c r="H282" s="768">
        <f t="shared" si="113"/>
        <v>117396.1</v>
      </c>
      <c r="I282" s="482">
        <f t="shared" si="114"/>
        <v>-70299.650000000009</v>
      </c>
      <c r="J282" s="701">
        <f t="shared" si="114"/>
        <v>-70299.650000000009</v>
      </c>
    </row>
    <row r="283" spans="1:12" ht="31.2" x14ac:dyDescent="0.3">
      <c r="A283" s="630">
        <f>A282+1</f>
        <v>207</v>
      </c>
      <c r="B283" s="699" t="s">
        <v>2029</v>
      </c>
      <c r="C283" s="702" t="s">
        <v>1975</v>
      </c>
      <c r="D283" s="705">
        <v>1</v>
      </c>
      <c r="E283" s="647">
        <f t="shared" si="112"/>
        <v>53462.09</v>
      </c>
      <c r="F283" s="697">
        <v>53462.09</v>
      </c>
      <c r="G283" s="767">
        <v>195660.16</v>
      </c>
      <c r="H283" s="768">
        <f t="shared" si="113"/>
        <v>195660.16</v>
      </c>
      <c r="I283" s="482">
        <f t="shared" si="114"/>
        <v>-142198.07</v>
      </c>
      <c r="J283" s="701">
        <f t="shared" si="114"/>
        <v>-142198.07</v>
      </c>
    </row>
    <row r="284" spans="1:12" s="483" customFormat="1" ht="19.5" customHeight="1" x14ac:dyDescent="0.35">
      <c r="A284" s="485"/>
      <c r="B284" s="920" t="s">
        <v>2052</v>
      </c>
      <c r="C284" s="921"/>
      <c r="D284" s="921"/>
      <c r="E284" s="684"/>
      <c r="F284" s="685">
        <f>SUM(F217:F283)</f>
        <v>996169.05999999982</v>
      </c>
      <c r="G284" s="778"/>
      <c r="H284" s="779">
        <f>SUM(H217:H283)</f>
        <v>1782072.07</v>
      </c>
      <c r="I284" s="686"/>
      <c r="J284" s="685">
        <f>SUM(J217:J283)</f>
        <v>-785903.01</v>
      </c>
      <c r="K284" s="490">
        <f>K280+[1]Материалы!F265</f>
        <v>12139072.020000001</v>
      </c>
      <c r="L284" s="718">
        <f>11973676.82+165395.2</f>
        <v>12139072.02</v>
      </c>
    </row>
    <row r="285" spans="1:12" s="673" customFormat="1" ht="22.5" customHeight="1" x14ac:dyDescent="0.35">
      <c r="A285" s="667"/>
      <c r="B285" s="979" t="s">
        <v>2053</v>
      </c>
      <c r="C285" s="980"/>
      <c r="D285" s="980"/>
      <c r="E285" s="668"/>
      <c r="F285" s="728">
        <f>F284+F214+F144+F75</f>
        <v>5317822.6900000013</v>
      </c>
      <c r="G285" s="781"/>
      <c r="H285" s="782">
        <f>H284+H214+H144+H75</f>
        <v>9703284.7799999993</v>
      </c>
      <c r="I285" s="729"/>
      <c r="J285" s="728">
        <f>J284+J214+J144+J75</f>
        <v>-4385462.09</v>
      </c>
      <c r="K285" s="672">
        <f>K284+K214+K144+K75</f>
        <v>67024434.920000002</v>
      </c>
      <c r="L285" s="730"/>
    </row>
    <row r="286" spans="1:12" s="673" customFormat="1" ht="22.5" customHeight="1" x14ac:dyDescent="0.35">
      <c r="A286" s="667"/>
      <c r="B286" s="979" t="s">
        <v>2054</v>
      </c>
      <c r="C286" s="980"/>
      <c r="D286" s="980"/>
      <c r="E286" s="668"/>
      <c r="F286" s="728">
        <f>F285-F287</f>
        <v>4413175.3500000015</v>
      </c>
      <c r="G286" s="781"/>
      <c r="H286" s="782">
        <f>H285-H287</f>
        <v>6878877.2399999993</v>
      </c>
      <c r="I286" s="729"/>
      <c r="J286" s="728">
        <f>J285-J287</f>
        <v>-2465701.8899999997</v>
      </c>
      <c r="K286" s="672"/>
      <c r="L286" s="730"/>
    </row>
    <row r="287" spans="1:12" s="673" customFormat="1" ht="22.5" customHeight="1" x14ac:dyDescent="0.35">
      <c r="A287" s="667"/>
      <c r="B287" s="979" t="s">
        <v>2055</v>
      </c>
      <c r="C287" s="980"/>
      <c r="D287" s="980"/>
      <c r="E287" s="668"/>
      <c r="F287" s="728">
        <f>F283+F282+F281+F213+F212+F211+F143+F142+F141+F74+F73+F72</f>
        <v>904647.34</v>
      </c>
      <c r="G287" s="781"/>
      <c r="H287" s="782">
        <f>H283+H282+H281+H213+H212+H211+H143+H142+H141+H74+H73+H72</f>
        <v>2824407.54</v>
      </c>
      <c r="I287" s="729"/>
      <c r="J287" s="728">
        <f>J283+J282+J281+J213+J212+J211+J143+J142+J141+J74+J73+J72</f>
        <v>-1919760.2000000002</v>
      </c>
      <c r="K287" s="672"/>
      <c r="L287" s="730"/>
    </row>
  </sheetData>
  <mergeCells count="300">
    <mergeCell ref="B280:J280"/>
    <mergeCell ref="B284:D284"/>
    <mergeCell ref="B285:D285"/>
    <mergeCell ref="B286:D286"/>
    <mergeCell ref="B287:D287"/>
    <mergeCell ref="J275:J276"/>
    <mergeCell ref="A277:A278"/>
    <mergeCell ref="E277:E278"/>
    <mergeCell ref="F277:F278"/>
    <mergeCell ref="G277:G278"/>
    <mergeCell ref="H277:H278"/>
    <mergeCell ref="I277:I278"/>
    <mergeCell ref="J277:J278"/>
    <mergeCell ref="A275:A276"/>
    <mergeCell ref="E275:E276"/>
    <mergeCell ref="F275:F276"/>
    <mergeCell ref="G275:G276"/>
    <mergeCell ref="H275:H276"/>
    <mergeCell ref="I275:I276"/>
    <mergeCell ref="A268:A271"/>
    <mergeCell ref="E268:E271"/>
    <mergeCell ref="F268:F271"/>
    <mergeCell ref="G268:G271"/>
    <mergeCell ref="H268:H271"/>
    <mergeCell ref="I268:I271"/>
    <mergeCell ref="J268:J271"/>
    <mergeCell ref="A263:A264"/>
    <mergeCell ref="E263:E264"/>
    <mergeCell ref="F263:F264"/>
    <mergeCell ref="G263:G264"/>
    <mergeCell ref="H263:H264"/>
    <mergeCell ref="I263:I264"/>
    <mergeCell ref="B242:J242"/>
    <mergeCell ref="A261:A262"/>
    <mergeCell ref="E261:E262"/>
    <mergeCell ref="F261:F262"/>
    <mergeCell ref="G261:G262"/>
    <mergeCell ref="H261:H262"/>
    <mergeCell ref="I261:I262"/>
    <mergeCell ref="J261:J262"/>
    <mergeCell ref="J263:J264"/>
    <mergeCell ref="H233:H234"/>
    <mergeCell ref="I233:I234"/>
    <mergeCell ref="J233:J234"/>
    <mergeCell ref="A240:A241"/>
    <mergeCell ref="C240:C241"/>
    <mergeCell ref="D240:D241"/>
    <mergeCell ref="E240:E241"/>
    <mergeCell ref="F240:F241"/>
    <mergeCell ref="G240:G241"/>
    <mergeCell ref="H240:H241"/>
    <mergeCell ref="A233:A234"/>
    <mergeCell ref="C233:C234"/>
    <mergeCell ref="D233:D234"/>
    <mergeCell ref="E233:E234"/>
    <mergeCell ref="F233:F234"/>
    <mergeCell ref="G233:G234"/>
    <mergeCell ref="I240:I241"/>
    <mergeCell ref="J240:J241"/>
    <mergeCell ref="J223:J224"/>
    <mergeCell ref="A226:A229"/>
    <mergeCell ref="E226:E229"/>
    <mergeCell ref="F226:F229"/>
    <mergeCell ref="G226:G229"/>
    <mergeCell ref="H226:H229"/>
    <mergeCell ref="I226:I229"/>
    <mergeCell ref="J226:J229"/>
    <mergeCell ref="B210:J210"/>
    <mergeCell ref="B214:D214"/>
    <mergeCell ref="B215:J215"/>
    <mergeCell ref="B216:J216"/>
    <mergeCell ref="A223:A224"/>
    <mergeCell ref="E223:E224"/>
    <mergeCell ref="F223:F224"/>
    <mergeCell ref="G223:G224"/>
    <mergeCell ref="H223:H224"/>
    <mergeCell ref="I223:I224"/>
    <mergeCell ref="J205:J206"/>
    <mergeCell ref="A207:A208"/>
    <mergeCell ref="E207:E208"/>
    <mergeCell ref="F207:F208"/>
    <mergeCell ref="G207:G208"/>
    <mergeCell ref="H207:H208"/>
    <mergeCell ref="I207:I208"/>
    <mergeCell ref="J207:J208"/>
    <mergeCell ref="A205:A206"/>
    <mergeCell ref="E205:E206"/>
    <mergeCell ref="F205:F206"/>
    <mergeCell ref="G205:G206"/>
    <mergeCell ref="H205:H206"/>
    <mergeCell ref="I205:I206"/>
    <mergeCell ref="A198:A201"/>
    <mergeCell ref="E198:E201"/>
    <mergeCell ref="F198:F201"/>
    <mergeCell ref="G198:G201"/>
    <mergeCell ref="H198:H201"/>
    <mergeCell ref="I198:I201"/>
    <mergeCell ref="J198:J201"/>
    <mergeCell ref="A193:A194"/>
    <mergeCell ref="E193:E194"/>
    <mergeCell ref="F193:F194"/>
    <mergeCell ref="G193:G194"/>
    <mergeCell ref="H193:H194"/>
    <mergeCell ref="I193:I194"/>
    <mergeCell ref="B172:J172"/>
    <mergeCell ref="A191:A192"/>
    <mergeCell ref="E191:E192"/>
    <mergeCell ref="F191:F192"/>
    <mergeCell ref="G191:G192"/>
    <mergeCell ref="H191:H192"/>
    <mergeCell ref="I191:I192"/>
    <mergeCell ref="J191:J192"/>
    <mergeCell ref="J193:J194"/>
    <mergeCell ref="H163:H164"/>
    <mergeCell ref="I163:I164"/>
    <mergeCell ref="J163:J164"/>
    <mergeCell ref="A170:A171"/>
    <mergeCell ref="C170:C171"/>
    <mergeCell ref="D170:D171"/>
    <mergeCell ref="E170:E171"/>
    <mergeCell ref="F170:F171"/>
    <mergeCell ref="G170:G171"/>
    <mergeCell ref="H170:H171"/>
    <mergeCell ref="A163:A164"/>
    <mergeCell ref="C163:C164"/>
    <mergeCell ref="D163:D164"/>
    <mergeCell ref="E163:E164"/>
    <mergeCell ref="F163:F164"/>
    <mergeCell ref="G163:G164"/>
    <mergeCell ref="I170:I171"/>
    <mergeCell ref="J170:J171"/>
    <mergeCell ref="J154:J155"/>
    <mergeCell ref="A156:A159"/>
    <mergeCell ref="E156:E159"/>
    <mergeCell ref="F156:F159"/>
    <mergeCell ref="G156:G159"/>
    <mergeCell ref="H156:H159"/>
    <mergeCell ref="I156:I159"/>
    <mergeCell ref="J156:J159"/>
    <mergeCell ref="B140:J140"/>
    <mergeCell ref="B144:D144"/>
    <mergeCell ref="B145:J145"/>
    <mergeCell ref="B146:J146"/>
    <mergeCell ref="A154:A155"/>
    <mergeCell ref="E154:E155"/>
    <mergeCell ref="F154:F155"/>
    <mergeCell ref="G154:G155"/>
    <mergeCell ref="H154:H155"/>
    <mergeCell ref="I154:I155"/>
    <mergeCell ref="J135:J136"/>
    <mergeCell ref="A137:A138"/>
    <mergeCell ref="E137:E138"/>
    <mergeCell ref="F137:F138"/>
    <mergeCell ref="G137:G138"/>
    <mergeCell ref="H137:H138"/>
    <mergeCell ref="I137:I138"/>
    <mergeCell ref="J137:J138"/>
    <mergeCell ref="A135:A136"/>
    <mergeCell ref="E135:E136"/>
    <mergeCell ref="F135:F136"/>
    <mergeCell ref="G135:G136"/>
    <mergeCell ref="H135:H136"/>
    <mergeCell ref="I135:I136"/>
    <mergeCell ref="J123:J124"/>
    <mergeCell ref="A128:A131"/>
    <mergeCell ref="E128:E131"/>
    <mergeCell ref="F128:F131"/>
    <mergeCell ref="G128:G131"/>
    <mergeCell ref="H128:H131"/>
    <mergeCell ref="I128:I131"/>
    <mergeCell ref="J128:J131"/>
    <mergeCell ref="A123:A124"/>
    <mergeCell ref="E123:E124"/>
    <mergeCell ref="F123:F124"/>
    <mergeCell ref="G123:G124"/>
    <mergeCell ref="H123:H124"/>
    <mergeCell ref="I123:I124"/>
    <mergeCell ref="I100:I101"/>
    <mergeCell ref="J100:J101"/>
    <mergeCell ref="B102:J102"/>
    <mergeCell ref="A121:A122"/>
    <mergeCell ref="E121:E122"/>
    <mergeCell ref="F121:F122"/>
    <mergeCell ref="G121:G122"/>
    <mergeCell ref="H121:H122"/>
    <mergeCell ref="I121:I122"/>
    <mergeCell ref="J121:J122"/>
    <mergeCell ref="A100:A101"/>
    <mergeCell ref="C100:C101"/>
    <mergeCell ref="D100:D101"/>
    <mergeCell ref="E100:E101"/>
    <mergeCell ref="F100:F101"/>
    <mergeCell ref="G100:G101"/>
    <mergeCell ref="H100:H101"/>
    <mergeCell ref="A93:A94"/>
    <mergeCell ref="C93:C94"/>
    <mergeCell ref="D93:D94"/>
    <mergeCell ref="E93:E94"/>
    <mergeCell ref="F93:F94"/>
    <mergeCell ref="G93:G94"/>
    <mergeCell ref="A86:A89"/>
    <mergeCell ref="E86:E89"/>
    <mergeCell ref="F86:F89"/>
    <mergeCell ref="G86:G89"/>
    <mergeCell ref="H86:H89"/>
    <mergeCell ref="I86:I89"/>
    <mergeCell ref="J86:J89"/>
    <mergeCell ref="H93:H94"/>
    <mergeCell ref="I93:I94"/>
    <mergeCell ref="J93:J94"/>
    <mergeCell ref="J68:J69"/>
    <mergeCell ref="B71:J71"/>
    <mergeCell ref="B75:D75"/>
    <mergeCell ref="B76:J76"/>
    <mergeCell ref="B77:J77"/>
    <mergeCell ref="A84:A85"/>
    <mergeCell ref="E84:E85"/>
    <mergeCell ref="F84:F85"/>
    <mergeCell ref="G84:G85"/>
    <mergeCell ref="H84:H85"/>
    <mergeCell ref="A68:A69"/>
    <mergeCell ref="E68:E69"/>
    <mergeCell ref="F68:F69"/>
    <mergeCell ref="G68:G69"/>
    <mergeCell ref="H68:H69"/>
    <mergeCell ref="I68:I69"/>
    <mergeCell ref="I84:I85"/>
    <mergeCell ref="J84:J85"/>
    <mergeCell ref="J59:J62"/>
    <mergeCell ref="A66:A67"/>
    <mergeCell ref="E66:E67"/>
    <mergeCell ref="F66:F67"/>
    <mergeCell ref="G66:G67"/>
    <mergeCell ref="H66:H67"/>
    <mergeCell ref="I66:I67"/>
    <mergeCell ref="J66:J67"/>
    <mergeCell ref="A59:A62"/>
    <mergeCell ref="E59:E62"/>
    <mergeCell ref="F59:F62"/>
    <mergeCell ref="G59:G62"/>
    <mergeCell ref="H59:H62"/>
    <mergeCell ref="I59:I62"/>
    <mergeCell ref="J52:J53"/>
    <mergeCell ref="A54:A55"/>
    <mergeCell ref="E54:E55"/>
    <mergeCell ref="F54:F55"/>
    <mergeCell ref="G54:G55"/>
    <mergeCell ref="H54:H55"/>
    <mergeCell ref="I54:I55"/>
    <mergeCell ref="J54:J55"/>
    <mergeCell ref="H31:H32"/>
    <mergeCell ref="I31:I32"/>
    <mergeCell ref="J31:J32"/>
    <mergeCell ref="B33:J33"/>
    <mergeCell ref="A52:A53"/>
    <mergeCell ref="E52:E53"/>
    <mergeCell ref="F52:F53"/>
    <mergeCell ref="G52:G53"/>
    <mergeCell ref="H52:H53"/>
    <mergeCell ref="I52:I53"/>
    <mergeCell ref="A31:A32"/>
    <mergeCell ref="C31:C32"/>
    <mergeCell ref="D31:D32"/>
    <mergeCell ref="E31:E32"/>
    <mergeCell ref="F31:F32"/>
    <mergeCell ref="G31:G32"/>
    <mergeCell ref="J17:J20"/>
    <mergeCell ref="A24:A25"/>
    <mergeCell ref="C24:C25"/>
    <mergeCell ref="D24:D25"/>
    <mergeCell ref="E24:E25"/>
    <mergeCell ref="F24:F25"/>
    <mergeCell ref="G24:G25"/>
    <mergeCell ref="H24:H25"/>
    <mergeCell ref="I24:I25"/>
    <mergeCell ref="J24:J25"/>
    <mergeCell ref="A17:A20"/>
    <mergeCell ref="E17:E20"/>
    <mergeCell ref="F17:F20"/>
    <mergeCell ref="G17:G20"/>
    <mergeCell ref="H17:H20"/>
    <mergeCell ref="I17:I20"/>
    <mergeCell ref="B6:J6"/>
    <mergeCell ref="B7:J7"/>
    <mergeCell ref="A14:A15"/>
    <mergeCell ref="E14:E15"/>
    <mergeCell ref="F14:F15"/>
    <mergeCell ref="G14:G15"/>
    <mergeCell ref="H14:H15"/>
    <mergeCell ref="I14:I15"/>
    <mergeCell ref="J14:J15"/>
    <mergeCell ref="A1:J1"/>
    <mergeCell ref="A2:A4"/>
    <mergeCell ref="B2:B4"/>
    <mergeCell ref="C2:C4"/>
    <mergeCell ref="D2:D4"/>
    <mergeCell ref="E2:F3"/>
    <mergeCell ref="G2:H3"/>
    <mergeCell ref="I2:J3"/>
    <mergeCell ref="B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D96C-617E-434E-8918-940C2F2ED44F}">
  <sheetPr>
    <tabColor theme="8" tint="0.59999389629810485"/>
  </sheetPr>
  <dimension ref="A1:L266"/>
  <sheetViews>
    <sheetView zoomScale="70" zoomScaleNormal="70" workbookViewId="0">
      <selection activeCell="H73" sqref="G7:H73"/>
    </sheetView>
  </sheetViews>
  <sheetFormatPr defaultRowHeight="18" x14ac:dyDescent="0.3"/>
  <cols>
    <col min="1" max="1" width="6.109375" customWidth="1"/>
    <col min="2" max="2" width="105.88671875" style="106" customWidth="1"/>
    <col min="3" max="3" width="13" style="106" customWidth="1"/>
    <col min="4" max="4" width="13.88671875" customWidth="1"/>
    <col min="5" max="5" width="15.33203125" style="271" customWidth="1"/>
    <col min="6" max="6" width="19.6640625" style="198" customWidth="1"/>
    <col min="7" max="7" width="16.5546875" style="295" customWidth="1"/>
    <col min="8" max="8" width="19.33203125" style="209" customWidth="1"/>
    <col min="9" max="9" width="15.5546875" style="271" customWidth="1"/>
    <col min="10" max="10" width="20.109375" style="211" customWidth="1"/>
    <col min="11" max="11" width="25.5546875" style="518" customWidth="1"/>
    <col min="12" max="12" width="26" customWidth="1"/>
  </cols>
  <sheetData>
    <row r="1" spans="1:11" ht="93" customHeight="1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1" ht="23.25" customHeight="1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1375</v>
      </c>
      <c r="H2" s="877"/>
      <c r="I2" s="880" t="s">
        <v>1376</v>
      </c>
      <c r="J2" s="881"/>
    </row>
    <row r="3" spans="1:11" ht="9.75" customHeight="1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1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1" s="483" customFormat="1" ht="27" customHeight="1" x14ac:dyDescent="0.35">
      <c r="A5" s="485"/>
      <c r="B5" s="920" t="s">
        <v>1958</v>
      </c>
      <c r="C5" s="921"/>
      <c r="D5" s="921"/>
      <c r="E5" s="921"/>
      <c r="F5" s="921"/>
      <c r="G5" s="921"/>
      <c r="H5" s="921"/>
      <c r="I5" s="921"/>
      <c r="J5" s="921"/>
      <c r="K5" s="490"/>
    </row>
    <row r="6" spans="1:11" s="692" customFormat="1" ht="21" customHeight="1" x14ac:dyDescent="0.3">
      <c r="A6" s="693"/>
      <c r="B6" s="981" t="s">
        <v>1959</v>
      </c>
      <c r="C6" s="982"/>
      <c r="D6" s="982"/>
      <c r="E6" s="982"/>
      <c r="F6" s="982"/>
      <c r="G6" s="982"/>
      <c r="H6" s="982"/>
      <c r="I6" s="982"/>
      <c r="J6" s="982"/>
      <c r="K6" s="690"/>
    </row>
    <row r="7" spans="1:11" ht="23.25" customHeight="1" x14ac:dyDescent="0.3">
      <c r="A7" s="443">
        <f>A6+1</f>
        <v>1</v>
      </c>
      <c r="B7" s="428" t="s">
        <v>2056</v>
      </c>
      <c r="C7" s="442" t="s">
        <v>5</v>
      </c>
      <c r="D7" s="496">
        <f>28*1.008</f>
        <v>28.224</v>
      </c>
      <c r="E7" s="647">
        <f t="shared" ref="E7:E70" si="0">ROUND(F7/D7,2)</f>
        <v>200.14</v>
      </c>
      <c r="F7" s="648">
        <f>5648.68</f>
        <v>5648.68</v>
      </c>
      <c r="G7" s="767">
        <v>416</v>
      </c>
      <c r="H7" s="768">
        <f>D7*G7</f>
        <v>11741.183999999999</v>
      </c>
      <c r="I7" s="482">
        <f t="shared" ref="I7:J13" si="1">E7-G7</f>
        <v>-215.86</v>
      </c>
      <c r="J7" s="481">
        <f>ROUND(F7-H7,2)</f>
        <v>-6092.5</v>
      </c>
    </row>
    <row r="8" spans="1:11" s="514" customFormat="1" ht="21.75" customHeight="1" x14ac:dyDescent="0.3">
      <c r="A8" s="443">
        <f>A7+1</f>
        <v>2</v>
      </c>
      <c r="B8" s="507" t="s">
        <v>2057</v>
      </c>
      <c r="C8" s="508" t="s">
        <v>40</v>
      </c>
      <c r="D8" s="509">
        <v>8</v>
      </c>
      <c r="E8" s="510">
        <f t="shared" si="0"/>
        <v>66.3</v>
      </c>
      <c r="F8" s="511">
        <v>530.4</v>
      </c>
      <c r="G8" s="769">
        <f>E8</f>
        <v>66.3</v>
      </c>
      <c r="H8" s="768">
        <f t="shared" ref="H8:H71" si="2">D8*G8</f>
        <v>530.4</v>
      </c>
      <c r="I8" s="512">
        <f t="shared" si="1"/>
        <v>0</v>
      </c>
      <c r="J8" s="513">
        <f t="shared" si="1"/>
        <v>0</v>
      </c>
      <c r="K8" s="521"/>
    </row>
    <row r="9" spans="1:11" s="514" customFormat="1" ht="21.75" customHeight="1" x14ac:dyDescent="0.3">
      <c r="A9" s="443">
        <f>A8+1</f>
        <v>3</v>
      </c>
      <c r="B9" s="507" t="s">
        <v>2058</v>
      </c>
      <c r="C9" s="508" t="s">
        <v>5</v>
      </c>
      <c r="D9" s="509">
        <v>219</v>
      </c>
      <c r="E9" s="510">
        <f t="shared" si="0"/>
        <v>238.68</v>
      </c>
      <c r="F9" s="511">
        <v>52270.92</v>
      </c>
      <c r="G9" s="769">
        <f t="shared" ref="G9:G10" si="3">E9</f>
        <v>238.68</v>
      </c>
      <c r="H9" s="768">
        <f t="shared" si="2"/>
        <v>52270.92</v>
      </c>
      <c r="I9" s="512">
        <f t="shared" si="1"/>
        <v>0</v>
      </c>
      <c r="J9" s="513">
        <f t="shared" si="1"/>
        <v>0</v>
      </c>
      <c r="K9" s="521"/>
    </row>
    <row r="10" spans="1:11" s="514" customFormat="1" ht="21.75" customHeight="1" x14ac:dyDescent="0.3">
      <c r="A10" s="443">
        <f>A9+1</f>
        <v>4</v>
      </c>
      <c r="B10" s="507" t="s">
        <v>2059</v>
      </c>
      <c r="C10" s="508" t="s">
        <v>40</v>
      </c>
      <c r="D10" s="509">
        <v>2</v>
      </c>
      <c r="E10" s="510">
        <f t="shared" si="0"/>
        <v>160.65</v>
      </c>
      <c r="F10" s="511">
        <v>321.3</v>
      </c>
      <c r="G10" s="769">
        <f t="shared" si="3"/>
        <v>160.65</v>
      </c>
      <c r="H10" s="768">
        <f t="shared" si="2"/>
        <v>321.3</v>
      </c>
      <c r="I10" s="512">
        <f t="shared" si="1"/>
        <v>0</v>
      </c>
      <c r="J10" s="513">
        <f t="shared" si="1"/>
        <v>0</v>
      </c>
      <c r="K10" s="521"/>
    </row>
    <row r="11" spans="1:11" ht="25.5" customHeight="1" x14ac:dyDescent="0.3">
      <c r="A11" s="443">
        <f t="shared" ref="A11:A72" si="4">A10+1</f>
        <v>5</v>
      </c>
      <c r="B11" s="428" t="s">
        <v>2060</v>
      </c>
      <c r="C11" s="442" t="s">
        <v>5</v>
      </c>
      <c r="D11" s="493">
        <v>76</v>
      </c>
      <c r="E11" s="647">
        <f t="shared" si="0"/>
        <v>542.42999999999995</v>
      </c>
      <c r="F11" s="648">
        <v>41224.68</v>
      </c>
      <c r="G11" s="767">
        <v>420</v>
      </c>
      <c r="H11" s="768">
        <f t="shared" si="2"/>
        <v>31920</v>
      </c>
      <c r="I11" s="482">
        <f t="shared" si="1"/>
        <v>122.42999999999995</v>
      </c>
      <c r="J11" s="481">
        <f>ROUND(F11-H11,2)</f>
        <v>9304.68</v>
      </c>
    </row>
    <row r="12" spans="1:11" s="514" customFormat="1" ht="21.75" customHeight="1" x14ac:dyDescent="0.3">
      <c r="A12" s="443">
        <f t="shared" si="4"/>
        <v>6</v>
      </c>
      <c r="B12" s="507" t="s">
        <v>2059</v>
      </c>
      <c r="C12" s="508" t="s">
        <v>40</v>
      </c>
      <c r="D12" s="509">
        <v>1</v>
      </c>
      <c r="E12" s="510">
        <f t="shared" si="0"/>
        <v>160.65</v>
      </c>
      <c r="F12" s="511">
        <v>160.65</v>
      </c>
      <c r="G12" s="769">
        <f>E12</f>
        <v>160.65</v>
      </c>
      <c r="H12" s="768">
        <f t="shared" si="2"/>
        <v>160.65</v>
      </c>
      <c r="I12" s="512">
        <f t="shared" si="1"/>
        <v>0</v>
      </c>
      <c r="J12" s="513">
        <f t="shared" si="1"/>
        <v>0</v>
      </c>
      <c r="K12" s="521"/>
    </row>
    <row r="13" spans="1:11" ht="23.25" customHeight="1" x14ac:dyDescent="0.3">
      <c r="A13" s="443">
        <f t="shared" si="4"/>
        <v>7</v>
      </c>
      <c r="B13" s="428" t="s">
        <v>2061</v>
      </c>
      <c r="C13" s="442" t="s">
        <v>17</v>
      </c>
      <c r="D13" s="492">
        <f>5.39+10.72</f>
        <v>16.11</v>
      </c>
      <c r="E13" s="647">
        <f t="shared" si="0"/>
        <v>550.88</v>
      </c>
      <c r="F13" s="648">
        <f>2784.04+6090.71</f>
        <v>8874.75</v>
      </c>
      <c r="G13" s="767">
        <v>800</v>
      </c>
      <c r="H13" s="768">
        <f t="shared" si="2"/>
        <v>12888</v>
      </c>
      <c r="I13" s="482">
        <f t="shared" si="1"/>
        <v>-249.12</v>
      </c>
      <c r="J13" s="481">
        <f t="shared" ref="J13:J72" si="5">ROUND(F13-H13,2)</f>
        <v>-4013.25</v>
      </c>
    </row>
    <row r="14" spans="1:11" s="514" customFormat="1" ht="21.75" customHeight="1" x14ac:dyDescent="0.3">
      <c r="A14" s="443">
        <f t="shared" si="4"/>
        <v>8</v>
      </c>
      <c r="B14" s="507" t="s">
        <v>2062</v>
      </c>
      <c r="C14" s="508" t="s">
        <v>5</v>
      </c>
      <c r="D14" s="509">
        <f>30*1.1</f>
        <v>33</v>
      </c>
      <c r="E14" s="510">
        <f t="shared" si="0"/>
        <v>142.80000000000001</v>
      </c>
      <c r="F14" s="511">
        <v>4712.3999999999996</v>
      </c>
      <c r="G14" s="769">
        <f>E14</f>
        <v>142.80000000000001</v>
      </c>
      <c r="H14" s="768">
        <f t="shared" si="2"/>
        <v>4712.4000000000005</v>
      </c>
      <c r="I14" s="512">
        <f>E14-G14</f>
        <v>0</v>
      </c>
      <c r="J14" s="513">
        <f t="shared" si="5"/>
        <v>0</v>
      </c>
      <c r="K14" s="521"/>
    </row>
    <row r="15" spans="1:11" ht="23.25" customHeight="1" x14ac:dyDescent="0.3">
      <c r="A15" s="443">
        <f t="shared" si="4"/>
        <v>9</v>
      </c>
      <c r="B15" s="428" t="s">
        <v>2063</v>
      </c>
      <c r="C15" s="442" t="s">
        <v>5</v>
      </c>
      <c r="D15" s="493">
        <f>60*1.1</f>
        <v>66</v>
      </c>
      <c r="E15" s="647">
        <f t="shared" si="0"/>
        <v>49.08</v>
      </c>
      <c r="F15" s="648">
        <v>3239.08</v>
      </c>
      <c r="G15" s="767">
        <v>63</v>
      </c>
      <c r="H15" s="768">
        <f t="shared" si="2"/>
        <v>4158</v>
      </c>
      <c r="I15" s="482">
        <f>E15-G15</f>
        <v>-13.920000000000002</v>
      </c>
      <c r="J15" s="481">
        <f t="shared" si="5"/>
        <v>-918.92</v>
      </c>
    </row>
    <row r="16" spans="1:11" ht="23.25" customHeight="1" x14ac:dyDescent="0.3">
      <c r="A16" s="443">
        <f t="shared" si="4"/>
        <v>10</v>
      </c>
      <c r="B16" s="428" t="s">
        <v>2064</v>
      </c>
      <c r="C16" s="442" t="s">
        <v>2065</v>
      </c>
      <c r="D16" s="493">
        <v>12</v>
      </c>
      <c r="E16" s="647">
        <f t="shared" si="0"/>
        <v>21.96</v>
      </c>
      <c r="F16" s="648">
        <v>263.47000000000003</v>
      </c>
      <c r="G16" s="767">
        <v>308</v>
      </c>
      <c r="H16" s="768">
        <f t="shared" si="2"/>
        <v>3696</v>
      </c>
      <c r="I16" s="482">
        <f>E16-G16</f>
        <v>-286.04000000000002</v>
      </c>
      <c r="J16" s="481">
        <f t="shared" si="5"/>
        <v>-3432.53</v>
      </c>
    </row>
    <row r="17" spans="1:11" ht="23.25" customHeight="1" x14ac:dyDescent="0.3">
      <c r="A17" s="443">
        <f t="shared" si="4"/>
        <v>11</v>
      </c>
      <c r="B17" s="428" t="s">
        <v>2066</v>
      </c>
      <c r="C17" s="442" t="s">
        <v>40</v>
      </c>
      <c r="D17" s="493">
        <v>18</v>
      </c>
      <c r="E17" s="647">
        <f t="shared" si="0"/>
        <v>1403.69</v>
      </c>
      <c r="F17" s="648">
        <v>25266.39</v>
      </c>
      <c r="G17" s="767">
        <v>2750</v>
      </c>
      <c r="H17" s="768">
        <f t="shared" si="2"/>
        <v>49500</v>
      </c>
      <c r="I17" s="482">
        <f t="shared" ref="I17:I72" si="6">E17-G17</f>
        <v>-1346.31</v>
      </c>
      <c r="J17" s="481">
        <f t="shared" si="5"/>
        <v>-24233.61</v>
      </c>
    </row>
    <row r="18" spans="1:11" ht="23.25" customHeight="1" x14ac:dyDescent="0.3">
      <c r="A18" s="443">
        <f t="shared" si="4"/>
        <v>12</v>
      </c>
      <c r="B18" s="428" t="s">
        <v>2067</v>
      </c>
      <c r="C18" s="442" t="s">
        <v>5</v>
      </c>
      <c r="D18" s="493">
        <f>30*1.02</f>
        <v>30.6</v>
      </c>
      <c r="E18" s="647">
        <f t="shared" si="0"/>
        <v>184.6</v>
      </c>
      <c r="F18" s="648">
        <v>5648.68</v>
      </c>
      <c r="G18" s="767">
        <v>274</v>
      </c>
      <c r="H18" s="768">
        <f t="shared" si="2"/>
        <v>8384.4</v>
      </c>
      <c r="I18" s="482">
        <f t="shared" si="6"/>
        <v>-89.4</v>
      </c>
      <c r="J18" s="481">
        <f t="shared" si="5"/>
        <v>-2735.72</v>
      </c>
    </row>
    <row r="19" spans="1:11" s="514" customFormat="1" ht="21.75" customHeight="1" x14ac:dyDescent="0.3">
      <c r="A19" s="443">
        <f t="shared" si="4"/>
        <v>13</v>
      </c>
      <c r="B19" s="507" t="s">
        <v>2068</v>
      </c>
      <c r="C19" s="508" t="s">
        <v>5</v>
      </c>
      <c r="D19" s="516">
        <f>77*1.02</f>
        <v>78.540000000000006</v>
      </c>
      <c r="E19" s="510">
        <f t="shared" si="0"/>
        <v>490.88</v>
      </c>
      <c r="F19" s="511">
        <v>38553.72</v>
      </c>
      <c r="G19" s="769">
        <f t="shared" ref="G19:G29" si="7">E19</f>
        <v>490.88</v>
      </c>
      <c r="H19" s="768">
        <f t="shared" si="2"/>
        <v>38553.715200000006</v>
      </c>
      <c r="I19" s="512">
        <f t="shared" si="6"/>
        <v>0</v>
      </c>
      <c r="J19" s="513">
        <f t="shared" si="5"/>
        <v>0</v>
      </c>
      <c r="K19" s="521"/>
    </row>
    <row r="20" spans="1:11" s="514" customFormat="1" ht="21.75" customHeight="1" x14ac:dyDescent="0.3">
      <c r="A20" s="443">
        <f t="shared" si="4"/>
        <v>14</v>
      </c>
      <c r="B20" s="507" t="s">
        <v>2069</v>
      </c>
      <c r="C20" s="508" t="s">
        <v>5</v>
      </c>
      <c r="D20" s="516">
        <f>142*1.02</f>
        <v>144.84</v>
      </c>
      <c r="E20" s="510">
        <f t="shared" si="0"/>
        <v>210.38</v>
      </c>
      <c r="F20" s="511">
        <v>30471.439999999999</v>
      </c>
      <c r="G20" s="769">
        <f t="shared" si="7"/>
        <v>210.38</v>
      </c>
      <c r="H20" s="768">
        <f t="shared" si="2"/>
        <v>30471.439200000001</v>
      </c>
      <c r="I20" s="512">
        <f t="shared" si="6"/>
        <v>0</v>
      </c>
      <c r="J20" s="513">
        <f t="shared" si="5"/>
        <v>0</v>
      </c>
      <c r="K20" s="521"/>
    </row>
    <row r="21" spans="1:11" s="514" customFormat="1" ht="21.75" customHeight="1" x14ac:dyDescent="0.3">
      <c r="A21" s="443">
        <f t="shared" si="4"/>
        <v>15</v>
      </c>
      <c r="B21" s="507" t="s">
        <v>2070</v>
      </c>
      <c r="C21" s="508" t="s">
        <v>5</v>
      </c>
      <c r="D21" s="516">
        <f>43*1.02</f>
        <v>43.86</v>
      </c>
      <c r="E21" s="510">
        <f t="shared" si="0"/>
        <v>490.88</v>
      </c>
      <c r="F21" s="511">
        <v>21530</v>
      </c>
      <c r="G21" s="769">
        <f t="shared" si="7"/>
        <v>490.88</v>
      </c>
      <c r="H21" s="768">
        <f t="shared" si="2"/>
        <v>21529.996800000001</v>
      </c>
      <c r="I21" s="512">
        <f t="shared" si="6"/>
        <v>0</v>
      </c>
      <c r="J21" s="513">
        <f t="shared" si="5"/>
        <v>0</v>
      </c>
      <c r="K21" s="521"/>
    </row>
    <row r="22" spans="1:11" s="514" customFormat="1" ht="21.75" customHeight="1" x14ac:dyDescent="0.3">
      <c r="A22" s="443">
        <f t="shared" si="4"/>
        <v>16</v>
      </c>
      <c r="B22" s="507" t="s">
        <v>2071</v>
      </c>
      <c r="C22" s="508" t="s">
        <v>5</v>
      </c>
      <c r="D22" s="516">
        <f>43*1.02</f>
        <v>43.86</v>
      </c>
      <c r="E22" s="510">
        <f t="shared" si="0"/>
        <v>660.24</v>
      </c>
      <c r="F22" s="511">
        <v>28958.13</v>
      </c>
      <c r="G22" s="769">
        <f t="shared" si="7"/>
        <v>660.24</v>
      </c>
      <c r="H22" s="768">
        <f t="shared" si="2"/>
        <v>28958.126400000001</v>
      </c>
      <c r="I22" s="512">
        <f t="shared" si="6"/>
        <v>0</v>
      </c>
      <c r="J22" s="513">
        <f t="shared" si="5"/>
        <v>0</v>
      </c>
      <c r="K22" s="521"/>
    </row>
    <row r="23" spans="1:11" s="514" customFormat="1" ht="21.75" customHeight="1" x14ac:dyDescent="0.3">
      <c r="A23" s="443">
        <f t="shared" si="4"/>
        <v>17</v>
      </c>
      <c r="B23" s="507" t="s">
        <v>2072</v>
      </c>
      <c r="C23" s="508" t="s">
        <v>5</v>
      </c>
      <c r="D23" s="516">
        <f>142*1.02</f>
        <v>144.84</v>
      </c>
      <c r="E23" s="510">
        <f t="shared" si="0"/>
        <v>373.58</v>
      </c>
      <c r="F23" s="511">
        <v>54109.33</v>
      </c>
      <c r="G23" s="769">
        <f t="shared" si="7"/>
        <v>373.58</v>
      </c>
      <c r="H23" s="768">
        <f t="shared" si="2"/>
        <v>54109.3272</v>
      </c>
      <c r="I23" s="512">
        <f t="shared" si="6"/>
        <v>0</v>
      </c>
      <c r="J23" s="513">
        <f t="shared" si="5"/>
        <v>0</v>
      </c>
      <c r="K23" s="521"/>
    </row>
    <row r="24" spans="1:11" s="514" customFormat="1" ht="21.75" customHeight="1" x14ac:dyDescent="0.3">
      <c r="A24" s="443">
        <f t="shared" si="4"/>
        <v>18</v>
      </c>
      <c r="B24" s="507" t="s">
        <v>2073</v>
      </c>
      <c r="C24" s="508" t="s">
        <v>40</v>
      </c>
      <c r="D24" s="509">
        <v>3</v>
      </c>
      <c r="E24" s="510">
        <f t="shared" si="0"/>
        <v>35548.28</v>
      </c>
      <c r="F24" s="511">
        <v>106644.84</v>
      </c>
      <c r="G24" s="769">
        <f t="shared" si="7"/>
        <v>35548.28</v>
      </c>
      <c r="H24" s="768">
        <f t="shared" si="2"/>
        <v>106644.84</v>
      </c>
      <c r="I24" s="512">
        <f t="shared" si="6"/>
        <v>0</v>
      </c>
      <c r="J24" s="513">
        <f t="shared" si="5"/>
        <v>0</v>
      </c>
      <c r="K24" s="521"/>
    </row>
    <row r="25" spans="1:11" s="514" customFormat="1" ht="21.75" customHeight="1" x14ac:dyDescent="0.3">
      <c r="A25" s="443">
        <f t="shared" si="4"/>
        <v>19</v>
      </c>
      <c r="B25" s="507" t="s">
        <v>2074</v>
      </c>
      <c r="C25" s="508" t="s">
        <v>40</v>
      </c>
      <c r="D25" s="509">
        <v>6</v>
      </c>
      <c r="E25" s="510">
        <f t="shared" si="0"/>
        <v>323</v>
      </c>
      <c r="F25" s="511">
        <v>1938</v>
      </c>
      <c r="G25" s="769">
        <f t="shared" si="7"/>
        <v>323</v>
      </c>
      <c r="H25" s="768">
        <f t="shared" si="2"/>
        <v>1938</v>
      </c>
      <c r="I25" s="512">
        <f t="shared" si="6"/>
        <v>0</v>
      </c>
      <c r="J25" s="513">
        <f t="shared" si="5"/>
        <v>0</v>
      </c>
      <c r="K25" s="521"/>
    </row>
    <row r="26" spans="1:11" s="514" customFormat="1" ht="21.75" customHeight="1" x14ac:dyDescent="0.3">
      <c r="A26" s="443">
        <f t="shared" si="4"/>
        <v>20</v>
      </c>
      <c r="B26" s="507" t="s">
        <v>2075</v>
      </c>
      <c r="C26" s="508" t="s">
        <v>40</v>
      </c>
      <c r="D26" s="509">
        <v>6</v>
      </c>
      <c r="E26" s="510">
        <f t="shared" si="0"/>
        <v>510</v>
      </c>
      <c r="F26" s="511">
        <v>3060</v>
      </c>
      <c r="G26" s="769">
        <f t="shared" si="7"/>
        <v>510</v>
      </c>
      <c r="H26" s="768">
        <f t="shared" si="2"/>
        <v>3060</v>
      </c>
      <c r="I26" s="512">
        <f t="shared" si="6"/>
        <v>0</v>
      </c>
      <c r="J26" s="513">
        <f t="shared" si="5"/>
        <v>0</v>
      </c>
      <c r="K26" s="521"/>
    </row>
    <row r="27" spans="1:11" s="514" customFormat="1" ht="21.75" customHeight="1" x14ac:dyDescent="0.3">
      <c r="A27" s="443">
        <f t="shared" si="4"/>
        <v>21</v>
      </c>
      <c r="B27" s="507" t="s">
        <v>2076</v>
      </c>
      <c r="C27" s="508" t="s">
        <v>40</v>
      </c>
      <c r="D27" s="509">
        <v>3</v>
      </c>
      <c r="E27" s="510">
        <f t="shared" si="0"/>
        <v>1419.5</v>
      </c>
      <c r="F27" s="511">
        <v>4258.5</v>
      </c>
      <c r="G27" s="769">
        <f t="shared" si="7"/>
        <v>1419.5</v>
      </c>
      <c r="H27" s="768">
        <f t="shared" si="2"/>
        <v>4258.5</v>
      </c>
      <c r="I27" s="512">
        <f t="shared" si="6"/>
        <v>0</v>
      </c>
      <c r="J27" s="513">
        <f t="shared" si="5"/>
        <v>0</v>
      </c>
      <c r="K27" s="521"/>
    </row>
    <row r="28" spans="1:11" s="514" customFormat="1" ht="21.75" customHeight="1" x14ac:dyDescent="0.3">
      <c r="A28" s="443">
        <f t="shared" si="4"/>
        <v>22</v>
      </c>
      <c r="B28" s="507" t="s">
        <v>2077</v>
      </c>
      <c r="C28" s="508" t="s">
        <v>40</v>
      </c>
      <c r="D28" s="509">
        <v>8</v>
      </c>
      <c r="E28" s="510">
        <f t="shared" si="0"/>
        <v>1167.9000000000001</v>
      </c>
      <c r="F28" s="511">
        <v>9343.2000000000007</v>
      </c>
      <c r="G28" s="769">
        <f t="shared" si="7"/>
        <v>1167.9000000000001</v>
      </c>
      <c r="H28" s="768">
        <f t="shared" si="2"/>
        <v>9343.2000000000007</v>
      </c>
      <c r="I28" s="512">
        <f t="shared" si="6"/>
        <v>0</v>
      </c>
      <c r="J28" s="513">
        <f t="shared" si="5"/>
        <v>0</v>
      </c>
      <c r="K28" s="521"/>
    </row>
    <row r="29" spans="1:11" s="514" customFormat="1" ht="21.75" customHeight="1" x14ac:dyDescent="0.3">
      <c r="A29" s="443">
        <f t="shared" si="4"/>
        <v>23</v>
      </c>
      <c r="B29" s="507" t="s">
        <v>2078</v>
      </c>
      <c r="C29" s="508" t="s">
        <v>40</v>
      </c>
      <c r="D29" s="509">
        <v>6</v>
      </c>
      <c r="E29" s="510">
        <f t="shared" si="0"/>
        <v>558.45000000000005</v>
      </c>
      <c r="F29" s="511">
        <v>3350.7</v>
      </c>
      <c r="G29" s="769">
        <f t="shared" si="7"/>
        <v>558.45000000000005</v>
      </c>
      <c r="H29" s="768">
        <f t="shared" si="2"/>
        <v>3350.7000000000003</v>
      </c>
      <c r="I29" s="512">
        <f t="shared" si="6"/>
        <v>0</v>
      </c>
      <c r="J29" s="513">
        <f t="shared" si="5"/>
        <v>0</v>
      </c>
      <c r="K29" s="521"/>
    </row>
    <row r="30" spans="1:11" ht="23.25" customHeight="1" x14ac:dyDescent="0.3">
      <c r="A30" s="443">
        <f t="shared" si="4"/>
        <v>24</v>
      </c>
      <c r="B30" s="428" t="s">
        <v>377</v>
      </c>
      <c r="C30" s="442" t="s">
        <v>5</v>
      </c>
      <c r="D30" s="493">
        <v>27</v>
      </c>
      <c r="E30" s="647">
        <f t="shared" si="0"/>
        <v>7.04</v>
      </c>
      <c r="F30" s="648">
        <v>190.11</v>
      </c>
      <c r="G30" s="767">
        <v>147</v>
      </c>
      <c r="H30" s="768">
        <f t="shared" si="2"/>
        <v>3969</v>
      </c>
      <c r="I30" s="482">
        <f t="shared" si="6"/>
        <v>-139.96</v>
      </c>
      <c r="J30" s="481">
        <f t="shared" si="5"/>
        <v>-3778.89</v>
      </c>
    </row>
    <row r="31" spans="1:11" ht="23.25" customHeight="1" x14ac:dyDescent="0.3">
      <c r="A31" s="443">
        <f t="shared" si="4"/>
        <v>25</v>
      </c>
      <c r="B31" s="428" t="s">
        <v>2079</v>
      </c>
      <c r="C31" s="442" t="s">
        <v>40</v>
      </c>
      <c r="D31" s="493">
        <v>16</v>
      </c>
      <c r="E31" s="647">
        <f t="shared" si="0"/>
        <v>322.56</v>
      </c>
      <c r="F31" s="648">
        <v>5160.9399999999996</v>
      </c>
      <c r="G31" s="767">
        <v>62</v>
      </c>
      <c r="H31" s="768">
        <f t="shared" si="2"/>
        <v>992</v>
      </c>
      <c r="I31" s="482">
        <f t="shared" si="6"/>
        <v>260.56</v>
      </c>
      <c r="J31" s="481">
        <f t="shared" si="5"/>
        <v>4168.9399999999996</v>
      </c>
    </row>
    <row r="32" spans="1:11" ht="23.25" customHeight="1" x14ac:dyDescent="0.3">
      <c r="A32" s="443">
        <f t="shared" si="4"/>
        <v>26</v>
      </c>
      <c r="B32" s="428" t="s">
        <v>2080</v>
      </c>
      <c r="C32" s="442" t="s">
        <v>5</v>
      </c>
      <c r="D32" s="492">
        <f>16*1.03</f>
        <v>16.48</v>
      </c>
      <c r="E32" s="647">
        <f t="shared" si="0"/>
        <v>68.81</v>
      </c>
      <c r="F32" s="648">
        <v>1133.94</v>
      </c>
      <c r="G32" s="767">
        <v>162</v>
      </c>
      <c r="H32" s="768">
        <f t="shared" si="2"/>
        <v>2669.76</v>
      </c>
      <c r="I32" s="482">
        <f t="shared" si="6"/>
        <v>-93.19</v>
      </c>
      <c r="J32" s="481">
        <f t="shared" si="5"/>
        <v>-1535.82</v>
      </c>
    </row>
    <row r="33" spans="1:11" s="514" customFormat="1" ht="21.75" customHeight="1" x14ac:dyDescent="0.3">
      <c r="A33" s="443">
        <f t="shared" si="4"/>
        <v>27</v>
      </c>
      <c r="B33" s="507" t="s">
        <v>2081</v>
      </c>
      <c r="C33" s="508" t="s">
        <v>40</v>
      </c>
      <c r="D33" s="509">
        <v>3</v>
      </c>
      <c r="E33" s="510">
        <f t="shared" si="0"/>
        <v>1982265.12</v>
      </c>
      <c r="F33" s="511">
        <v>5946795.3600000003</v>
      </c>
      <c r="G33" s="780">
        <v>1958760</v>
      </c>
      <c r="H33" s="768">
        <f t="shared" si="2"/>
        <v>5876280</v>
      </c>
      <c r="I33" s="512">
        <f t="shared" si="6"/>
        <v>23505.120000000112</v>
      </c>
      <c r="J33" s="513">
        <f t="shared" si="5"/>
        <v>70515.360000000001</v>
      </c>
      <c r="K33" s="521"/>
    </row>
    <row r="34" spans="1:11" s="514" customFormat="1" ht="34.5" customHeight="1" x14ac:dyDescent="0.3">
      <c r="A34" s="443">
        <f t="shared" si="4"/>
        <v>28</v>
      </c>
      <c r="B34" s="507" t="s">
        <v>2082</v>
      </c>
      <c r="C34" s="508" t="s">
        <v>40</v>
      </c>
      <c r="D34" s="509">
        <v>12</v>
      </c>
      <c r="E34" s="510">
        <f t="shared" si="0"/>
        <v>31450</v>
      </c>
      <c r="F34" s="511">
        <v>377400</v>
      </c>
      <c r="G34" s="769">
        <f t="shared" ref="G34:G42" si="8">E34</f>
        <v>31450</v>
      </c>
      <c r="H34" s="768">
        <f t="shared" si="2"/>
        <v>377400</v>
      </c>
      <c r="I34" s="512">
        <f t="shared" si="6"/>
        <v>0</v>
      </c>
      <c r="J34" s="513">
        <f t="shared" si="5"/>
        <v>0</v>
      </c>
      <c r="K34" s="521"/>
    </row>
    <row r="35" spans="1:11" s="514" customFormat="1" ht="21.75" customHeight="1" x14ac:dyDescent="0.3">
      <c r="A35" s="443">
        <f t="shared" si="4"/>
        <v>29</v>
      </c>
      <c r="B35" s="507" t="s">
        <v>2083</v>
      </c>
      <c r="C35" s="508" t="s">
        <v>40</v>
      </c>
      <c r="D35" s="509">
        <v>12</v>
      </c>
      <c r="E35" s="510">
        <f t="shared" si="0"/>
        <v>106250</v>
      </c>
      <c r="F35" s="511">
        <v>1275000</v>
      </c>
      <c r="G35" s="769">
        <f t="shared" si="8"/>
        <v>106250</v>
      </c>
      <c r="H35" s="768">
        <f t="shared" si="2"/>
        <v>1275000</v>
      </c>
      <c r="I35" s="512">
        <f t="shared" si="6"/>
        <v>0</v>
      </c>
      <c r="J35" s="513">
        <f t="shared" si="5"/>
        <v>0</v>
      </c>
      <c r="K35" s="521"/>
    </row>
    <row r="36" spans="1:11" s="514" customFormat="1" ht="21.75" customHeight="1" x14ac:dyDescent="0.3">
      <c r="A36" s="443">
        <f t="shared" si="4"/>
        <v>30</v>
      </c>
      <c r="B36" s="507" t="s">
        <v>2084</v>
      </c>
      <c r="C36" s="508" t="s">
        <v>40</v>
      </c>
      <c r="D36" s="509">
        <v>53</v>
      </c>
      <c r="E36" s="510">
        <f t="shared" si="0"/>
        <v>638.35</v>
      </c>
      <c r="F36" s="511">
        <v>33832.550000000003</v>
      </c>
      <c r="G36" s="769">
        <f t="shared" si="8"/>
        <v>638.35</v>
      </c>
      <c r="H36" s="768">
        <f t="shared" si="2"/>
        <v>33832.550000000003</v>
      </c>
      <c r="I36" s="512">
        <f t="shared" si="6"/>
        <v>0</v>
      </c>
      <c r="J36" s="513">
        <f t="shared" si="5"/>
        <v>0</v>
      </c>
      <c r="K36" s="521"/>
    </row>
    <row r="37" spans="1:11" s="514" customFormat="1" ht="21" customHeight="1" x14ac:dyDescent="0.3">
      <c r="A37" s="443">
        <f t="shared" si="4"/>
        <v>31</v>
      </c>
      <c r="B37" s="507" t="s">
        <v>2085</v>
      </c>
      <c r="C37" s="508" t="s">
        <v>40</v>
      </c>
      <c r="D37" s="509">
        <v>52</v>
      </c>
      <c r="E37" s="510">
        <f t="shared" si="0"/>
        <v>3581.9</v>
      </c>
      <c r="F37" s="511">
        <v>186258.8</v>
      </c>
      <c r="G37" s="769">
        <f t="shared" si="8"/>
        <v>3581.9</v>
      </c>
      <c r="H37" s="768">
        <f t="shared" si="2"/>
        <v>186258.80000000002</v>
      </c>
      <c r="I37" s="512">
        <f t="shared" si="6"/>
        <v>0</v>
      </c>
      <c r="J37" s="513">
        <f t="shared" si="5"/>
        <v>0</v>
      </c>
      <c r="K37" s="521"/>
    </row>
    <row r="38" spans="1:11" s="514" customFormat="1" ht="21.75" customHeight="1" x14ac:dyDescent="0.3">
      <c r="A38" s="443">
        <f t="shared" si="4"/>
        <v>32</v>
      </c>
      <c r="B38" s="507" t="s">
        <v>2086</v>
      </c>
      <c r="C38" s="508" t="s">
        <v>40</v>
      </c>
      <c r="D38" s="509">
        <v>2</v>
      </c>
      <c r="E38" s="510">
        <f t="shared" si="0"/>
        <v>3581.9</v>
      </c>
      <c r="F38" s="511">
        <v>7163.8</v>
      </c>
      <c r="G38" s="769">
        <f t="shared" si="8"/>
        <v>3581.9</v>
      </c>
      <c r="H38" s="768">
        <f t="shared" si="2"/>
        <v>7163.8</v>
      </c>
      <c r="I38" s="512">
        <f t="shared" si="6"/>
        <v>0</v>
      </c>
      <c r="J38" s="513">
        <f t="shared" si="5"/>
        <v>0</v>
      </c>
      <c r="K38" s="521"/>
    </row>
    <row r="39" spans="1:11" s="514" customFormat="1" ht="21.75" customHeight="1" x14ac:dyDescent="0.3">
      <c r="A39" s="443">
        <f t="shared" si="4"/>
        <v>33</v>
      </c>
      <c r="B39" s="507" t="s">
        <v>2087</v>
      </c>
      <c r="C39" s="508" t="s">
        <v>5</v>
      </c>
      <c r="D39" s="509">
        <v>598</v>
      </c>
      <c r="E39" s="510">
        <f t="shared" si="0"/>
        <v>168.3</v>
      </c>
      <c r="F39" s="511">
        <v>100643.4</v>
      </c>
      <c r="G39" s="769">
        <f t="shared" si="8"/>
        <v>168.3</v>
      </c>
      <c r="H39" s="768">
        <f t="shared" si="2"/>
        <v>100643.40000000001</v>
      </c>
      <c r="I39" s="512">
        <f t="shared" si="6"/>
        <v>0</v>
      </c>
      <c r="J39" s="513">
        <f t="shared" si="5"/>
        <v>0</v>
      </c>
      <c r="K39" s="521"/>
    </row>
    <row r="40" spans="1:11" s="514" customFormat="1" ht="21" customHeight="1" x14ac:dyDescent="0.3">
      <c r="A40" s="443">
        <f t="shared" si="4"/>
        <v>34</v>
      </c>
      <c r="B40" s="507" t="s">
        <v>2088</v>
      </c>
      <c r="C40" s="508" t="s">
        <v>40</v>
      </c>
      <c r="D40" s="509">
        <v>27</v>
      </c>
      <c r="E40" s="510">
        <f t="shared" si="0"/>
        <v>5158.6499999999996</v>
      </c>
      <c r="F40" s="511">
        <v>139283.54999999999</v>
      </c>
      <c r="G40" s="769">
        <f t="shared" si="8"/>
        <v>5158.6499999999996</v>
      </c>
      <c r="H40" s="768">
        <f t="shared" si="2"/>
        <v>139283.54999999999</v>
      </c>
      <c r="I40" s="512">
        <f t="shared" si="6"/>
        <v>0</v>
      </c>
      <c r="J40" s="513">
        <f t="shared" si="5"/>
        <v>0</v>
      </c>
      <c r="K40" s="521"/>
    </row>
    <row r="41" spans="1:11" s="514" customFormat="1" ht="21.75" customHeight="1" x14ac:dyDescent="0.3">
      <c r="A41" s="443">
        <f t="shared" si="4"/>
        <v>35</v>
      </c>
      <c r="B41" s="507" t="s">
        <v>2089</v>
      </c>
      <c r="C41" s="508" t="s">
        <v>40</v>
      </c>
      <c r="D41" s="509">
        <v>2</v>
      </c>
      <c r="E41" s="510">
        <f t="shared" si="0"/>
        <v>2618</v>
      </c>
      <c r="F41" s="511">
        <v>5236</v>
      </c>
      <c r="G41" s="769">
        <f t="shared" si="8"/>
        <v>2618</v>
      </c>
      <c r="H41" s="768">
        <f t="shared" si="2"/>
        <v>5236</v>
      </c>
      <c r="I41" s="512">
        <f t="shared" si="6"/>
        <v>0</v>
      </c>
      <c r="J41" s="513">
        <f t="shared" si="5"/>
        <v>0</v>
      </c>
      <c r="K41" s="521"/>
    </row>
    <row r="42" spans="1:11" s="514" customFormat="1" ht="21.75" customHeight="1" x14ac:dyDescent="0.3">
      <c r="A42" s="443">
        <f t="shared" si="4"/>
        <v>36</v>
      </c>
      <c r="B42" s="507" t="s">
        <v>2090</v>
      </c>
      <c r="C42" s="508" t="s">
        <v>40</v>
      </c>
      <c r="D42" s="509">
        <v>3</v>
      </c>
      <c r="E42" s="510">
        <f t="shared" si="0"/>
        <v>285600</v>
      </c>
      <c r="F42" s="511">
        <v>856800</v>
      </c>
      <c r="G42" s="769">
        <f t="shared" si="8"/>
        <v>285600</v>
      </c>
      <c r="H42" s="768">
        <f t="shared" si="2"/>
        <v>856800</v>
      </c>
      <c r="I42" s="512">
        <f t="shared" si="6"/>
        <v>0</v>
      </c>
      <c r="J42" s="513">
        <f t="shared" si="5"/>
        <v>0</v>
      </c>
      <c r="K42" s="521"/>
    </row>
    <row r="43" spans="1:11" ht="23.25" customHeight="1" x14ac:dyDescent="0.3">
      <c r="A43" s="443">
        <f t="shared" si="4"/>
        <v>37</v>
      </c>
      <c r="B43" s="428" t="s">
        <v>2091</v>
      </c>
      <c r="C43" s="442" t="s">
        <v>5</v>
      </c>
      <c r="D43" s="496">
        <v>7.5</v>
      </c>
      <c r="E43" s="647">
        <f t="shared" si="0"/>
        <v>25.35</v>
      </c>
      <c r="F43" s="648">
        <v>190.11</v>
      </c>
      <c r="G43" s="767">
        <v>908</v>
      </c>
      <c r="H43" s="768">
        <f t="shared" si="2"/>
        <v>6810</v>
      </c>
      <c r="I43" s="482">
        <f t="shared" si="6"/>
        <v>-882.65</v>
      </c>
      <c r="J43" s="481">
        <f t="shared" si="5"/>
        <v>-6619.89</v>
      </c>
    </row>
    <row r="44" spans="1:11" ht="23.25" customHeight="1" x14ac:dyDescent="0.3">
      <c r="A44" s="443">
        <f t="shared" si="4"/>
        <v>38</v>
      </c>
      <c r="B44" s="428" t="s">
        <v>2092</v>
      </c>
      <c r="C44" s="442" t="s">
        <v>40</v>
      </c>
      <c r="D44" s="493">
        <v>6</v>
      </c>
      <c r="E44" s="647">
        <f t="shared" si="0"/>
        <v>5.43</v>
      </c>
      <c r="F44" s="648">
        <v>32.549999999999997</v>
      </c>
      <c r="G44" s="767">
        <v>5</v>
      </c>
      <c r="H44" s="768">
        <f t="shared" si="2"/>
        <v>30</v>
      </c>
      <c r="I44" s="482">
        <f t="shared" si="6"/>
        <v>0.42999999999999972</v>
      </c>
      <c r="J44" s="481">
        <f t="shared" si="5"/>
        <v>2.5499999999999998</v>
      </c>
    </row>
    <row r="45" spans="1:11" ht="23.25" customHeight="1" x14ac:dyDescent="0.3">
      <c r="A45" s="443">
        <f t="shared" si="4"/>
        <v>39</v>
      </c>
      <c r="B45" s="428" t="s">
        <v>2093</v>
      </c>
      <c r="C45" s="442" t="s">
        <v>1385</v>
      </c>
      <c r="D45" s="493">
        <v>12</v>
      </c>
      <c r="E45" s="647">
        <f t="shared" si="0"/>
        <v>3.69</v>
      </c>
      <c r="F45" s="648">
        <f>42.53+1.72</f>
        <v>44.25</v>
      </c>
      <c r="G45" s="767">
        <v>1</v>
      </c>
      <c r="H45" s="768">
        <f t="shared" si="2"/>
        <v>12</v>
      </c>
      <c r="I45" s="482">
        <f t="shared" si="6"/>
        <v>2.69</v>
      </c>
      <c r="J45" s="481">
        <f t="shared" si="5"/>
        <v>32.25</v>
      </c>
    </row>
    <row r="46" spans="1:11" s="514" customFormat="1" ht="21" customHeight="1" x14ac:dyDescent="0.3">
      <c r="A46" s="443">
        <f t="shared" si="4"/>
        <v>40</v>
      </c>
      <c r="B46" s="507" t="s">
        <v>2094</v>
      </c>
      <c r="C46" s="508" t="s">
        <v>40</v>
      </c>
      <c r="D46" s="509">
        <v>9</v>
      </c>
      <c r="E46" s="510">
        <f t="shared" si="0"/>
        <v>68850</v>
      </c>
      <c r="F46" s="511">
        <v>619650</v>
      </c>
      <c r="G46" s="769">
        <f t="shared" ref="G46:G72" si="9">E46</f>
        <v>68850</v>
      </c>
      <c r="H46" s="768">
        <f t="shared" si="2"/>
        <v>619650</v>
      </c>
      <c r="I46" s="512">
        <f t="shared" si="6"/>
        <v>0</v>
      </c>
      <c r="J46" s="513">
        <f t="shared" si="5"/>
        <v>0</v>
      </c>
      <c r="K46" s="521"/>
    </row>
    <row r="47" spans="1:11" s="514" customFormat="1" ht="21.75" customHeight="1" x14ac:dyDescent="0.3">
      <c r="A47" s="443">
        <f t="shared" si="4"/>
        <v>41</v>
      </c>
      <c r="B47" s="507" t="s">
        <v>2095</v>
      </c>
      <c r="C47" s="508" t="s">
        <v>40</v>
      </c>
      <c r="D47" s="509">
        <v>54</v>
      </c>
      <c r="E47" s="510">
        <f t="shared" si="0"/>
        <v>2106.3000000000002</v>
      </c>
      <c r="F47" s="511">
        <v>113740.2</v>
      </c>
      <c r="G47" s="769">
        <f t="shared" si="9"/>
        <v>2106.3000000000002</v>
      </c>
      <c r="H47" s="768">
        <f t="shared" si="2"/>
        <v>113740.20000000001</v>
      </c>
      <c r="I47" s="512">
        <f t="shared" si="6"/>
        <v>0</v>
      </c>
      <c r="J47" s="513">
        <f t="shared" si="5"/>
        <v>0</v>
      </c>
      <c r="K47" s="521"/>
    </row>
    <row r="48" spans="1:11" s="514" customFormat="1" ht="21.75" customHeight="1" x14ac:dyDescent="0.3">
      <c r="A48" s="443">
        <f t="shared" si="4"/>
        <v>42</v>
      </c>
      <c r="B48" s="507" t="s">
        <v>2096</v>
      </c>
      <c r="C48" s="508" t="s">
        <v>40</v>
      </c>
      <c r="D48" s="509">
        <v>7</v>
      </c>
      <c r="E48" s="510">
        <f t="shared" si="0"/>
        <v>2986.9</v>
      </c>
      <c r="F48" s="511">
        <v>20908.3</v>
      </c>
      <c r="G48" s="769">
        <f t="shared" si="9"/>
        <v>2986.9</v>
      </c>
      <c r="H48" s="768">
        <f t="shared" si="2"/>
        <v>20908.3</v>
      </c>
      <c r="I48" s="512">
        <f t="shared" si="6"/>
        <v>0</v>
      </c>
      <c r="J48" s="513">
        <f t="shared" si="5"/>
        <v>0</v>
      </c>
      <c r="K48" s="521"/>
    </row>
    <row r="49" spans="1:11" s="514" customFormat="1" ht="21" customHeight="1" x14ac:dyDescent="0.3">
      <c r="A49" s="443">
        <f t="shared" si="4"/>
        <v>43</v>
      </c>
      <c r="B49" s="507" t="s">
        <v>2097</v>
      </c>
      <c r="C49" s="508" t="s">
        <v>2098</v>
      </c>
      <c r="D49" s="509">
        <v>28</v>
      </c>
      <c r="E49" s="510">
        <f t="shared" si="0"/>
        <v>2277.15</v>
      </c>
      <c r="F49" s="511">
        <v>63760.2</v>
      </c>
      <c r="G49" s="769">
        <f t="shared" si="9"/>
        <v>2277.15</v>
      </c>
      <c r="H49" s="768">
        <f t="shared" si="2"/>
        <v>63760.200000000004</v>
      </c>
      <c r="I49" s="512">
        <f t="shared" si="6"/>
        <v>0</v>
      </c>
      <c r="J49" s="513">
        <f t="shared" si="5"/>
        <v>0</v>
      </c>
      <c r="K49" s="521"/>
    </row>
    <row r="50" spans="1:11" s="514" customFormat="1" ht="21.75" customHeight="1" x14ac:dyDescent="0.3">
      <c r="A50" s="443">
        <f t="shared" si="4"/>
        <v>44</v>
      </c>
      <c r="B50" s="507" t="s">
        <v>2099</v>
      </c>
      <c r="C50" s="508" t="s">
        <v>5</v>
      </c>
      <c r="D50" s="516">
        <f>22*1.02+107*1.02</f>
        <v>131.58000000000001</v>
      </c>
      <c r="E50" s="510">
        <f t="shared" si="0"/>
        <v>306</v>
      </c>
      <c r="F50" s="511">
        <f>6866.64+33396.84</f>
        <v>40263.479999999996</v>
      </c>
      <c r="G50" s="769">
        <f t="shared" si="9"/>
        <v>306</v>
      </c>
      <c r="H50" s="768">
        <f t="shared" si="2"/>
        <v>40263.480000000003</v>
      </c>
      <c r="I50" s="512">
        <f t="shared" si="6"/>
        <v>0</v>
      </c>
      <c r="J50" s="513">
        <f t="shared" si="5"/>
        <v>0</v>
      </c>
      <c r="K50" s="521"/>
    </row>
    <row r="51" spans="1:11" s="514" customFormat="1" ht="21.75" customHeight="1" x14ac:dyDescent="0.3">
      <c r="A51" s="443">
        <f t="shared" si="4"/>
        <v>45</v>
      </c>
      <c r="B51" s="507" t="s">
        <v>2100</v>
      </c>
      <c r="C51" s="508" t="s">
        <v>5</v>
      </c>
      <c r="D51" s="516">
        <f>574*1.02+192*1.02</f>
        <v>781.32</v>
      </c>
      <c r="E51" s="510">
        <f t="shared" si="0"/>
        <v>204</v>
      </c>
      <c r="F51" s="511">
        <f>119437.92+39951.36</f>
        <v>159389.28</v>
      </c>
      <c r="G51" s="769">
        <f t="shared" si="9"/>
        <v>204</v>
      </c>
      <c r="H51" s="768">
        <f t="shared" si="2"/>
        <v>159389.28</v>
      </c>
      <c r="I51" s="512">
        <f t="shared" si="6"/>
        <v>0</v>
      </c>
      <c r="J51" s="513">
        <f t="shared" si="5"/>
        <v>0</v>
      </c>
      <c r="K51" s="521"/>
    </row>
    <row r="52" spans="1:11" s="514" customFormat="1" ht="21.75" customHeight="1" x14ac:dyDescent="0.3">
      <c r="A52" s="443">
        <f t="shared" si="4"/>
        <v>46</v>
      </c>
      <c r="B52" s="507" t="s">
        <v>2101</v>
      </c>
      <c r="C52" s="508" t="s">
        <v>5</v>
      </c>
      <c r="D52" s="516">
        <f>137*1.02+48*1.02</f>
        <v>188.70000000000002</v>
      </c>
      <c r="E52" s="510">
        <f t="shared" si="0"/>
        <v>241.71</v>
      </c>
      <c r="F52" s="511">
        <v>45611.14</v>
      </c>
      <c r="G52" s="769">
        <f t="shared" si="9"/>
        <v>241.71</v>
      </c>
      <c r="H52" s="768">
        <f t="shared" si="2"/>
        <v>45610.677000000003</v>
      </c>
      <c r="I52" s="512">
        <f t="shared" si="6"/>
        <v>0</v>
      </c>
      <c r="J52" s="513">
        <f t="shared" si="5"/>
        <v>0.46</v>
      </c>
      <c r="K52" s="521"/>
    </row>
    <row r="53" spans="1:11" s="514" customFormat="1" ht="21.75" customHeight="1" x14ac:dyDescent="0.3">
      <c r="A53" s="443">
        <f t="shared" si="4"/>
        <v>47</v>
      </c>
      <c r="B53" s="507" t="s">
        <v>2102</v>
      </c>
      <c r="C53" s="508" t="s">
        <v>5</v>
      </c>
      <c r="D53" s="516">
        <f>664*1.02</f>
        <v>677.28</v>
      </c>
      <c r="E53" s="510">
        <f t="shared" si="0"/>
        <v>509.38</v>
      </c>
      <c r="F53" s="511">
        <f>329009.08+15980.54</f>
        <v>344989.62</v>
      </c>
      <c r="G53" s="769">
        <f t="shared" si="9"/>
        <v>509.38</v>
      </c>
      <c r="H53" s="768">
        <f t="shared" si="2"/>
        <v>344992.88639999996</v>
      </c>
      <c r="I53" s="512">
        <f t="shared" si="6"/>
        <v>0</v>
      </c>
      <c r="J53" s="513">
        <f t="shared" si="5"/>
        <v>-3.27</v>
      </c>
      <c r="K53" s="521"/>
    </row>
    <row r="54" spans="1:11" s="514" customFormat="1" ht="21.75" customHeight="1" x14ac:dyDescent="0.3">
      <c r="A54" s="443">
        <f t="shared" si="4"/>
        <v>48</v>
      </c>
      <c r="B54" s="507" t="s">
        <v>2062</v>
      </c>
      <c r="C54" s="508" t="s">
        <v>5</v>
      </c>
      <c r="D54" s="516">
        <f>144*1.02+372*1.02</f>
        <v>526.31999999999994</v>
      </c>
      <c r="E54" s="510">
        <f t="shared" si="0"/>
        <v>390.06</v>
      </c>
      <c r="F54" s="511">
        <f>20974.46+184324.36</f>
        <v>205298.81999999998</v>
      </c>
      <c r="G54" s="769">
        <f t="shared" si="9"/>
        <v>390.06</v>
      </c>
      <c r="H54" s="768">
        <f t="shared" si="2"/>
        <v>205296.37919999997</v>
      </c>
      <c r="I54" s="512">
        <f t="shared" si="6"/>
        <v>0</v>
      </c>
      <c r="J54" s="513">
        <f t="shared" si="5"/>
        <v>2.44</v>
      </c>
      <c r="K54" s="521"/>
    </row>
    <row r="55" spans="1:11" s="514" customFormat="1" ht="21.75" customHeight="1" x14ac:dyDescent="0.3">
      <c r="A55" s="443">
        <f t="shared" si="4"/>
        <v>49</v>
      </c>
      <c r="B55" s="507" t="s">
        <v>2103</v>
      </c>
      <c r="C55" s="508" t="s">
        <v>5</v>
      </c>
      <c r="D55" s="516">
        <f>10*1.02</f>
        <v>10.199999999999999</v>
      </c>
      <c r="E55" s="510">
        <f t="shared" si="0"/>
        <v>298.77999999999997</v>
      </c>
      <c r="F55" s="511">
        <v>3047.56</v>
      </c>
      <c r="G55" s="769">
        <f t="shared" si="9"/>
        <v>298.77999999999997</v>
      </c>
      <c r="H55" s="768">
        <f t="shared" si="2"/>
        <v>3047.5559999999996</v>
      </c>
      <c r="I55" s="512">
        <f t="shared" si="6"/>
        <v>0</v>
      </c>
      <c r="J55" s="513">
        <f t="shared" si="5"/>
        <v>0</v>
      </c>
      <c r="K55" s="521"/>
    </row>
    <row r="56" spans="1:11" s="514" customFormat="1" ht="21.75" customHeight="1" x14ac:dyDescent="0.3">
      <c r="A56" s="443">
        <f t="shared" si="4"/>
        <v>50</v>
      </c>
      <c r="B56" s="507" t="s">
        <v>2104</v>
      </c>
      <c r="C56" s="508" t="s">
        <v>40</v>
      </c>
      <c r="D56" s="509">
        <v>9</v>
      </c>
      <c r="E56" s="510">
        <f t="shared" si="0"/>
        <v>242250</v>
      </c>
      <c r="F56" s="511">
        <v>2180250</v>
      </c>
      <c r="G56" s="769">
        <f t="shared" si="9"/>
        <v>242250</v>
      </c>
      <c r="H56" s="768">
        <f t="shared" si="2"/>
        <v>2180250</v>
      </c>
      <c r="I56" s="512">
        <f t="shared" si="6"/>
        <v>0</v>
      </c>
      <c r="J56" s="513">
        <f t="shared" si="5"/>
        <v>0</v>
      </c>
      <c r="K56" s="521"/>
    </row>
    <row r="57" spans="1:11" s="514" customFormat="1" ht="21.75" customHeight="1" x14ac:dyDescent="0.3">
      <c r="A57" s="443">
        <f t="shared" si="4"/>
        <v>51</v>
      </c>
      <c r="B57" s="507" t="s">
        <v>2105</v>
      </c>
      <c r="C57" s="508" t="s">
        <v>40</v>
      </c>
      <c r="D57" s="509">
        <v>3</v>
      </c>
      <c r="E57" s="510">
        <f t="shared" si="0"/>
        <v>205700</v>
      </c>
      <c r="F57" s="511">
        <v>617100</v>
      </c>
      <c r="G57" s="769">
        <f t="shared" si="9"/>
        <v>205700</v>
      </c>
      <c r="H57" s="768">
        <f t="shared" si="2"/>
        <v>617100</v>
      </c>
      <c r="I57" s="512">
        <f t="shared" si="6"/>
        <v>0</v>
      </c>
      <c r="J57" s="513">
        <f t="shared" si="5"/>
        <v>0</v>
      </c>
      <c r="K57" s="521"/>
    </row>
    <row r="58" spans="1:11" s="514" customFormat="1" ht="21.75" customHeight="1" x14ac:dyDescent="0.3">
      <c r="A58" s="443">
        <f t="shared" si="4"/>
        <v>52</v>
      </c>
      <c r="B58" s="507" t="s">
        <v>2106</v>
      </c>
      <c r="C58" s="508" t="s">
        <v>40</v>
      </c>
      <c r="D58" s="509">
        <v>3</v>
      </c>
      <c r="E58" s="510">
        <f t="shared" si="0"/>
        <v>186150</v>
      </c>
      <c r="F58" s="511">
        <v>558450</v>
      </c>
      <c r="G58" s="769">
        <f t="shared" si="9"/>
        <v>186150</v>
      </c>
      <c r="H58" s="768">
        <f t="shared" si="2"/>
        <v>558450</v>
      </c>
      <c r="I58" s="512">
        <f t="shared" si="6"/>
        <v>0</v>
      </c>
      <c r="J58" s="513">
        <f t="shared" si="5"/>
        <v>0</v>
      </c>
      <c r="K58" s="521"/>
    </row>
    <row r="59" spans="1:11" s="514" customFormat="1" ht="21.75" customHeight="1" x14ac:dyDescent="0.3">
      <c r="A59" s="443">
        <f t="shared" si="4"/>
        <v>53</v>
      </c>
      <c r="B59" s="507" t="s">
        <v>2107</v>
      </c>
      <c r="C59" s="508" t="s">
        <v>40</v>
      </c>
      <c r="D59" s="509">
        <v>3</v>
      </c>
      <c r="E59" s="510">
        <f t="shared" si="0"/>
        <v>814300</v>
      </c>
      <c r="F59" s="511">
        <v>2442900</v>
      </c>
      <c r="G59" s="769">
        <f t="shared" si="9"/>
        <v>814300</v>
      </c>
      <c r="H59" s="768">
        <f t="shared" si="2"/>
        <v>2442900</v>
      </c>
      <c r="I59" s="512">
        <f t="shared" si="6"/>
        <v>0</v>
      </c>
      <c r="J59" s="513">
        <f t="shared" si="5"/>
        <v>0</v>
      </c>
      <c r="K59" s="521"/>
    </row>
    <row r="60" spans="1:11" s="514" customFormat="1" ht="21.75" customHeight="1" x14ac:dyDescent="0.3">
      <c r="A60" s="443">
        <f t="shared" si="4"/>
        <v>54</v>
      </c>
      <c r="B60" s="507" t="s">
        <v>2108</v>
      </c>
      <c r="C60" s="508" t="s">
        <v>5</v>
      </c>
      <c r="D60" s="509">
        <f>15+15</f>
        <v>30</v>
      </c>
      <c r="E60" s="510">
        <f t="shared" si="0"/>
        <v>153</v>
      </c>
      <c r="F60" s="511">
        <f>2*2295</f>
        <v>4590</v>
      </c>
      <c r="G60" s="769">
        <f t="shared" si="9"/>
        <v>153</v>
      </c>
      <c r="H60" s="768">
        <f t="shared" si="2"/>
        <v>4590</v>
      </c>
      <c r="I60" s="512">
        <f t="shared" si="6"/>
        <v>0</v>
      </c>
      <c r="J60" s="513">
        <f t="shared" si="5"/>
        <v>0</v>
      </c>
      <c r="K60" s="521"/>
    </row>
    <row r="61" spans="1:11" s="514" customFormat="1" ht="24.75" customHeight="1" x14ac:dyDescent="0.3">
      <c r="A61" s="443">
        <f t="shared" si="4"/>
        <v>55</v>
      </c>
      <c r="B61" s="507" t="s">
        <v>2109</v>
      </c>
      <c r="C61" s="508" t="s">
        <v>40</v>
      </c>
      <c r="D61" s="509">
        <f>18+18</f>
        <v>36</v>
      </c>
      <c r="E61" s="510">
        <f t="shared" si="0"/>
        <v>38.25</v>
      </c>
      <c r="F61" s="511">
        <f>688.5*2</f>
        <v>1377</v>
      </c>
      <c r="G61" s="769">
        <f t="shared" si="9"/>
        <v>38.25</v>
      </c>
      <c r="H61" s="768">
        <f t="shared" si="2"/>
        <v>1377</v>
      </c>
      <c r="I61" s="512">
        <f t="shared" si="6"/>
        <v>0</v>
      </c>
      <c r="J61" s="513">
        <f t="shared" si="5"/>
        <v>0</v>
      </c>
      <c r="K61" s="521"/>
    </row>
    <row r="62" spans="1:11" ht="23.25" customHeight="1" x14ac:dyDescent="0.3">
      <c r="A62" s="443">
        <f t="shared" si="4"/>
        <v>56</v>
      </c>
      <c r="B62" s="428" t="s">
        <v>2110</v>
      </c>
      <c r="C62" s="442" t="s">
        <v>1385</v>
      </c>
      <c r="D62" s="493">
        <f>2*3</f>
        <v>6</v>
      </c>
      <c r="E62" s="647">
        <f t="shared" si="0"/>
        <v>49.25</v>
      </c>
      <c r="F62" s="648">
        <f>2*147.75</f>
        <v>295.5</v>
      </c>
      <c r="G62" s="767">
        <v>78</v>
      </c>
      <c r="H62" s="768">
        <f t="shared" si="2"/>
        <v>468</v>
      </c>
      <c r="I62" s="482">
        <f t="shared" si="6"/>
        <v>-28.75</v>
      </c>
      <c r="J62" s="481">
        <f t="shared" si="5"/>
        <v>-172.5</v>
      </c>
    </row>
    <row r="63" spans="1:11" s="514" customFormat="1" ht="24.75" customHeight="1" x14ac:dyDescent="0.3">
      <c r="A63" s="443">
        <f t="shared" si="4"/>
        <v>57</v>
      </c>
      <c r="B63" s="507" t="s">
        <v>2111</v>
      </c>
      <c r="C63" s="508" t="s">
        <v>40</v>
      </c>
      <c r="D63" s="509">
        <v>3</v>
      </c>
      <c r="E63" s="510">
        <f t="shared" si="0"/>
        <v>3136500</v>
      </c>
      <c r="F63" s="511">
        <v>9409500</v>
      </c>
      <c r="G63" s="769">
        <f t="shared" si="9"/>
        <v>3136500</v>
      </c>
      <c r="H63" s="768">
        <f t="shared" si="2"/>
        <v>9409500</v>
      </c>
      <c r="I63" s="512">
        <f t="shared" si="6"/>
        <v>0</v>
      </c>
      <c r="J63" s="513">
        <f t="shared" si="5"/>
        <v>0</v>
      </c>
      <c r="K63" s="521"/>
    </row>
    <row r="64" spans="1:11" s="514" customFormat="1" ht="21.75" customHeight="1" x14ac:dyDescent="0.3">
      <c r="A64" s="443">
        <f t="shared" si="4"/>
        <v>58</v>
      </c>
      <c r="B64" s="507" t="s">
        <v>2112</v>
      </c>
      <c r="C64" s="508" t="s">
        <v>40</v>
      </c>
      <c r="D64" s="509">
        <v>1</v>
      </c>
      <c r="E64" s="510">
        <f t="shared" si="0"/>
        <v>1476450</v>
      </c>
      <c r="F64" s="511">
        <v>1476450</v>
      </c>
      <c r="G64" s="769">
        <f t="shared" si="9"/>
        <v>1476450</v>
      </c>
      <c r="H64" s="768">
        <f t="shared" si="2"/>
        <v>1476450</v>
      </c>
      <c r="I64" s="512">
        <f t="shared" si="6"/>
        <v>0</v>
      </c>
      <c r="J64" s="513">
        <f t="shared" si="5"/>
        <v>0</v>
      </c>
      <c r="K64" s="521"/>
    </row>
    <row r="65" spans="1:11" s="514" customFormat="1" ht="21.75" customHeight="1" x14ac:dyDescent="0.3">
      <c r="A65" s="443">
        <f t="shared" si="4"/>
        <v>59</v>
      </c>
      <c r="B65" s="507" t="s">
        <v>2113</v>
      </c>
      <c r="C65" s="508" t="s">
        <v>40</v>
      </c>
      <c r="D65" s="509">
        <v>12</v>
      </c>
      <c r="E65" s="510">
        <f t="shared" si="0"/>
        <v>460.2</v>
      </c>
      <c r="F65" s="511">
        <v>5522.4</v>
      </c>
      <c r="G65" s="769">
        <f t="shared" si="9"/>
        <v>460.2</v>
      </c>
      <c r="H65" s="768">
        <f t="shared" si="2"/>
        <v>5522.4</v>
      </c>
      <c r="I65" s="512">
        <f t="shared" si="6"/>
        <v>0</v>
      </c>
      <c r="J65" s="513">
        <f t="shared" si="5"/>
        <v>0</v>
      </c>
      <c r="K65" s="521"/>
    </row>
    <row r="66" spans="1:11" s="514" customFormat="1" ht="21.75" customHeight="1" x14ac:dyDescent="0.3">
      <c r="A66" s="443">
        <f t="shared" si="4"/>
        <v>60</v>
      </c>
      <c r="B66" s="507" t="s">
        <v>2114</v>
      </c>
      <c r="C66" s="508" t="s">
        <v>5</v>
      </c>
      <c r="D66" s="509">
        <f>0.25*12</f>
        <v>3</v>
      </c>
      <c r="E66" s="510">
        <f t="shared" si="0"/>
        <v>430.22</v>
      </c>
      <c r="F66" s="511">
        <v>1290.6600000000001</v>
      </c>
      <c r="G66" s="769">
        <f t="shared" si="9"/>
        <v>430.22</v>
      </c>
      <c r="H66" s="768">
        <f t="shared" si="2"/>
        <v>1290.6600000000001</v>
      </c>
      <c r="I66" s="512">
        <f t="shared" si="6"/>
        <v>0</v>
      </c>
      <c r="J66" s="513">
        <f t="shared" si="5"/>
        <v>0</v>
      </c>
      <c r="K66" s="521"/>
    </row>
    <row r="67" spans="1:11" s="514" customFormat="1" ht="21.75" customHeight="1" x14ac:dyDescent="0.3">
      <c r="A67" s="443">
        <f t="shared" si="4"/>
        <v>61</v>
      </c>
      <c r="B67" s="507" t="s">
        <v>2115</v>
      </c>
      <c r="C67" s="508" t="s">
        <v>40</v>
      </c>
      <c r="D67" s="509">
        <v>3</v>
      </c>
      <c r="E67" s="510">
        <f t="shared" si="0"/>
        <v>81600</v>
      </c>
      <c r="F67" s="511">
        <v>244800</v>
      </c>
      <c r="G67" s="769">
        <f t="shared" si="9"/>
        <v>81600</v>
      </c>
      <c r="H67" s="768">
        <f t="shared" si="2"/>
        <v>244800</v>
      </c>
      <c r="I67" s="512">
        <f t="shared" si="6"/>
        <v>0</v>
      </c>
      <c r="J67" s="513">
        <f t="shared" si="5"/>
        <v>0</v>
      </c>
      <c r="K67" s="521"/>
    </row>
    <row r="68" spans="1:11" s="514" customFormat="1" ht="21.75" customHeight="1" x14ac:dyDescent="0.3">
      <c r="A68" s="443">
        <f t="shared" si="4"/>
        <v>62</v>
      </c>
      <c r="B68" s="507" t="s">
        <v>2116</v>
      </c>
      <c r="C68" s="508" t="s">
        <v>40</v>
      </c>
      <c r="D68" s="509">
        <v>3</v>
      </c>
      <c r="E68" s="510">
        <f t="shared" si="0"/>
        <v>81600</v>
      </c>
      <c r="F68" s="511">
        <v>244800</v>
      </c>
      <c r="G68" s="769">
        <f t="shared" si="9"/>
        <v>81600</v>
      </c>
      <c r="H68" s="768">
        <f t="shared" si="2"/>
        <v>244800</v>
      </c>
      <c r="I68" s="512">
        <f t="shared" si="6"/>
        <v>0</v>
      </c>
      <c r="J68" s="513">
        <f t="shared" si="5"/>
        <v>0</v>
      </c>
      <c r="K68" s="521"/>
    </row>
    <row r="69" spans="1:11" s="514" customFormat="1" ht="21.75" customHeight="1" x14ac:dyDescent="0.3">
      <c r="A69" s="443">
        <f t="shared" si="4"/>
        <v>63</v>
      </c>
      <c r="B69" s="507" t="s">
        <v>2117</v>
      </c>
      <c r="C69" s="508" t="s">
        <v>40</v>
      </c>
      <c r="D69" s="509">
        <v>1</v>
      </c>
      <c r="E69" s="510">
        <f t="shared" si="0"/>
        <v>552967.5</v>
      </c>
      <c r="F69" s="511">
        <v>552967.5</v>
      </c>
      <c r="G69" s="769">
        <f t="shared" si="9"/>
        <v>552967.5</v>
      </c>
      <c r="H69" s="768">
        <f t="shared" si="2"/>
        <v>552967.5</v>
      </c>
      <c r="I69" s="512">
        <f t="shared" si="6"/>
        <v>0</v>
      </c>
      <c r="J69" s="513">
        <f t="shared" si="5"/>
        <v>0</v>
      </c>
      <c r="K69" s="521"/>
    </row>
    <row r="70" spans="1:11" s="514" customFormat="1" ht="21.75" customHeight="1" x14ac:dyDescent="0.3">
      <c r="A70" s="443">
        <f t="shared" si="4"/>
        <v>64</v>
      </c>
      <c r="B70" s="507" t="s">
        <v>2118</v>
      </c>
      <c r="C70" s="508" t="s">
        <v>40</v>
      </c>
      <c r="D70" s="509">
        <v>1</v>
      </c>
      <c r="E70" s="510">
        <f t="shared" si="0"/>
        <v>169408.53</v>
      </c>
      <c r="F70" s="511">
        <v>169408.53</v>
      </c>
      <c r="G70" s="769">
        <v>169408.53</v>
      </c>
      <c r="H70" s="768">
        <f t="shared" si="2"/>
        <v>169408.53</v>
      </c>
      <c r="I70" s="512">
        <f t="shared" si="6"/>
        <v>0</v>
      </c>
      <c r="J70" s="513">
        <f t="shared" si="5"/>
        <v>0</v>
      </c>
      <c r="K70" s="521"/>
    </row>
    <row r="71" spans="1:11" s="514" customFormat="1" ht="21.75" customHeight="1" x14ac:dyDescent="0.3">
      <c r="A71" s="443">
        <f t="shared" si="4"/>
        <v>65</v>
      </c>
      <c r="B71" s="507" t="s">
        <v>2119</v>
      </c>
      <c r="C71" s="508" t="s">
        <v>40</v>
      </c>
      <c r="D71" s="509">
        <v>1</v>
      </c>
      <c r="E71" s="510">
        <f>ROUND(F71/D71,2)</f>
        <v>38250</v>
      </c>
      <c r="F71" s="511">
        <v>38250</v>
      </c>
      <c r="G71" s="769">
        <f t="shared" si="9"/>
        <v>38250</v>
      </c>
      <c r="H71" s="768">
        <f t="shared" si="2"/>
        <v>38250</v>
      </c>
      <c r="I71" s="512">
        <f>E71-G71</f>
        <v>0</v>
      </c>
      <c r="J71" s="513">
        <f t="shared" si="5"/>
        <v>0</v>
      </c>
      <c r="K71" s="521"/>
    </row>
    <row r="72" spans="1:11" s="514" customFormat="1" ht="21.75" customHeight="1" x14ac:dyDescent="0.3">
      <c r="A72" s="443">
        <f t="shared" si="4"/>
        <v>66</v>
      </c>
      <c r="B72" s="507" t="s">
        <v>2120</v>
      </c>
      <c r="C72" s="508" t="s">
        <v>40</v>
      </c>
      <c r="D72" s="509">
        <v>1</v>
      </c>
      <c r="E72" s="510">
        <f t="shared" ref="E72:E134" si="10">ROUND(F72/D72,2)</f>
        <v>25500</v>
      </c>
      <c r="F72" s="511">
        <v>25500</v>
      </c>
      <c r="G72" s="769">
        <f t="shared" si="9"/>
        <v>25500</v>
      </c>
      <c r="H72" s="768">
        <f t="shared" ref="H72" si="11">D72*G72</f>
        <v>25500</v>
      </c>
      <c r="I72" s="512">
        <f t="shared" si="6"/>
        <v>0</v>
      </c>
      <c r="J72" s="513">
        <f t="shared" si="5"/>
        <v>0</v>
      </c>
      <c r="K72" s="521"/>
    </row>
    <row r="73" spans="1:11" s="483" customFormat="1" ht="19.5" customHeight="1" x14ac:dyDescent="0.35">
      <c r="A73" s="485"/>
      <c r="B73" s="920" t="s">
        <v>2030</v>
      </c>
      <c r="C73" s="921"/>
      <c r="D73" s="921"/>
      <c r="E73" s="684"/>
      <c r="F73" s="685">
        <f>SUM(F7:F72)</f>
        <v>28975654.809999999</v>
      </c>
      <c r="G73" s="778"/>
      <c r="H73" s="779">
        <f>SUM(H7:H72)</f>
        <v>28945165.007399995</v>
      </c>
      <c r="I73" s="686"/>
      <c r="J73" s="685">
        <f>SUM(J7:J72)</f>
        <v>30489.779999999988</v>
      </c>
      <c r="K73" s="490"/>
    </row>
    <row r="74" spans="1:11" s="692" customFormat="1" ht="21" customHeight="1" x14ac:dyDescent="0.3">
      <c r="A74" s="693"/>
      <c r="B74" s="981" t="s">
        <v>2031</v>
      </c>
      <c r="C74" s="982"/>
      <c r="D74" s="982"/>
      <c r="E74" s="982"/>
      <c r="F74" s="982"/>
      <c r="G74" s="982"/>
      <c r="H74" s="982"/>
      <c r="I74" s="982"/>
      <c r="J74" s="982"/>
      <c r="K74" s="690"/>
    </row>
    <row r="75" spans="1:11" s="514" customFormat="1" ht="21.75" customHeight="1" x14ac:dyDescent="0.3">
      <c r="A75" s="443">
        <f>A72+1</f>
        <v>67</v>
      </c>
      <c r="B75" s="507" t="s">
        <v>2058</v>
      </c>
      <c r="C75" s="508" t="s">
        <v>5</v>
      </c>
      <c r="D75" s="509">
        <v>78</v>
      </c>
      <c r="E75" s="510">
        <f>ROUND(F75/D75,2)</f>
        <v>238.68</v>
      </c>
      <c r="F75" s="511">
        <v>18617.04</v>
      </c>
      <c r="G75" s="769">
        <f t="shared" ref="G75" si="12">E75</f>
        <v>238.68</v>
      </c>
      <c r="H75" s="774">
        <f>G75*D75</f>
        <v>18617.04</v>
      </c>
      <c r="I75" s="512">
        <f t="shared" ref="I75:J77" si="13">E75-G75</f>
        <v>0</v>
      </c>
      <c r="J75" s="513">
        <f t="shared" si="13"/>
        <v>0</v>
      </c>
      <c r="K75" s="521"/>
    </row>
    <row r="76" spans="1:11" s="514" customFormat="1" ht="21.75" customHeight="1" x14ac:dyDescent="0.3">
      <c r="A76" s="443">
        <f>A75+1</f>
        <v>68</v>
      </c>
      <c r="B76" s="507" t="s">
        <v>2059</v>
      </c>
      <c r="C76" s="508" t="s">
        <v>40</v>
      </c>
      <c r="D76" s="509">
        <v>1</v>
      </c>
      <c r="E76" s="510">
        <f>ROUND(F76/D76,2)</f>
        <v>160.65</v>
      </c>
      <c r="F76" s="511">
        <v>160.65</v>
      </c>
      <c r="G76" s="769">
        <f>E76</f>
        <v>160.65</v>
      </c>
      <c r="H76" s="774">
        <f t="shared" ref="H76:H134" si="14">G76*D76</f>
        <v>160.65</v>
      </c>
      <c r="I76" s="512">
        <f t="shared" si="13"/>
        <v>0</v>
      </c>
      <c r="J76" s="513">
        <f t="shared" si="13"/>
        <v>0</v>
      </c>
      <c r="K76" s="521"/>
    </row>
    <row r="77" spans="1:11" ht="23.25" customHeight="1" x14ac:dyDescent="0.3">
      <c r="A77" s="443">
        <f t="shared" ref="A77:A134" si="15">A76+1</f>
        <v>69</v>
      </c>
      <c r="B77" s="428" t="s">
        <v>2061</v>
      </c>
      <c r="C77" s="442" t="s">
        <v>17</v>
      </c>
      <c r="D77" s="492">
        <f>1.25+2.49*1.1</f>
        <v>3.9890000000000003</v>
      </c>
      <c r="E77" s="647">
        <f>ROUND(F77/D77,2)</f>
        <v>516.51</v>
      </c>
      <c r="F77" s="648">
        <f>645.66+1414.71</f>
        <v>2060.37</v>
      </c>
      <c r="G77" s="767">
        <v>800</v>
      </c>
      <c r="H77" s="774">
        <f t="shared" si="14"/>
        <v>3191.2000000000003</v>
      </c>
      <c r="I77" s="482">
        <f t="shared" si="13"/>
        <v>-283.49</v>
      </c>
      <c r="J77" s="481">
        <f t="shared" ref="J77:J134" si="16">ROUND(F77-H77,2)</f>
        <v>-1130.83</v>
      </c>
    </row>
    <row r="78" spans="1:11" s="514" customFormat="1" ht="21.75" customHeight="1" x14ac:dyDescent="0.3">
      <c r="A78" s="443">
        <f t="shared" si="15"/>
        <v>70</v>
      </c>
      <c r="B78" s="507" t="s">
        <v>2062</v>
      </c>
      <c r="C78" s="508" t="s">
        <v>5</v>
      </c>
      <c r="D78" s="509">
        <f>10*1.1</f>
        <v>11</v>
      </c>
      <c r="E78" s="510">
        <f t="shared" si="10"/>
        <v>142.80000000000001</v>
      </c>
      <c r="F78" s="511">
        <v>1570.8</v>
      </c>
      <c r="G78" s="769">
        <f>E78</f>
        <v>142.80000000000001</v>
      </c>
      <c r="H78" s="774">
        <f t="shared" si="14"/>
        <v>1570.8000000000002</v>
      </c>
      <c r="I78" s="512">
        <f>E78-G78</f>
        <v>0</v>
      </c>
      <c r="J78" s="513">
        <f t="shared" si="16"/>
        <v>0</v>
      </c>
      <c r="K78" s="521"/>
    </row>
    <row r="79" spans="1:11" ht="23.25" customHeight="1" x14ac:dyDescent="0.3">
      <c r="A79" s="443">
        <f t="shared" si="15"/>
        <v>71</v>
      </c>
      <c r="B79" s="428" t="s">
        <v>2063</v>
      </c>
      <c r="C79" s="442" t="s">
        <v>5</v>
      </c>
      <c r="D79" s="493">
        <f>20*1.1</f>
        <v>22</v>
      </c>
      <c r="E79" s="647">
        <f t="shared" si="10"/>
        <v>49.08</v>
      </c>
      <c r="F79" s="648">
        <v>1079.69</v>
      </c>
      <c r="G79" s="767">
        <v>63</v>
      </c>
      <c r="H79" s="774">
        <f t="shared" si="14"/>
        <v>1386</v>
      </c>
      <c r="I79" s="482">
        <f>E79-G79</f>
        <v>-13.920000000000002</v>
      </c>
      <c r="J79" s="481">
        <f t="shared" si="16"/>
        <v>-306.31</v>
      </c>
    </row>
    <row r="80" spans="1:11" ht="23.25" customHeight="1" x14ac:dyDescent="0.3">
      <c r="A80" s="443">
        <f t="shared" si="15"/>
        <v>72</v>
      </c>
      <c r="B80" s="428" t="s">
        <v>2064</v>
      </c>
      <c r="C80" s="442" t="s">
        <v>2065</v>
      </c>
      <c r="D80" s="493">
        <v>4</v>
      </c>
      <c r="E80" s="647">
        <f t="shared" si="10"/>
        <v>21.96</v>
      </c>
      <c r="F80" s="648">
        <v>87.82</v>
      </c>
      <c r="G80" s="767">
        <v>308</v>
      </c>
      <c r="H80" s="774">
        <f t="shared" si="14"/>
        <v>1232</v>
      </c>
      <c r="I80" s="482">
        <f>E80-G80</f>
        <v>-286.04000000000002</v>
      </c>
      <c r="J80" s="481">
        <f t="shared" si="16"/>
        <v>-1144.18</v>
      </c>
    </row>
    <row r="81" spans="1:11" ht="23.25" customHeight="1" x14ac:dyDescent="0.3">
      <c r="A81" s="443">
        <f t="shared" si="15"/>
        <v>73</v>
      </c>
      <c r="B81" s="428" t="s">
        <v>2066</v>
      </c>
      <c r="C81" s="442" t="s">
        <v>40</v>
      </c>
      <c r="D81" s="493">
        <v>6</v>
      </c>
      <c r="E81" s="647">
        <f t="shared" si="10"/>
        <v>1403.69</v>
      </c>
      <c r="F81" s="648">
        <v>8422.1299999999992</v>
      </c>
      <c r="G81" s="767">
        <v>2750</v>
      </c>
      <c r="H81" s="774">
        <f t="shared" si="14"/>
        <v>16500</v>
      </c>
      <c r="I81" s="482">
        <f t="shared" ref="I81:I132" si="17">E81-G81</f>
        <v>-1346.31</v>
      </c>
      <c r="J81" s="481">
        <f t="shared" si="16"/>
        <v>-8077.87</v>
      </c>
    </row>
    <row r="82" spans="1:11" ht="23.25" customHeight="1" x14ac:dyDescent="0.3">
      <c r="A82" s="443">
        <f t="shared" si="15"/>
        <v>74</v>
      </c>
      <c r="B82" s="428" t="s">
        <v>2067</v>
      </c>
      <c r="C82" s="442" t="s">
        <v>5</v>
      </c>
      <c r="D82" s="493">
        <f>20*1.02</f>
        <v>20.399999999999999</v>
      </c>
      <c r="E82" s="647">
        <f t="shared" si="10"/>
        <v>184.6</v>
      </c>
      <c r="F82" s="648">
        <v>3765.84</v>
      </c>
      <c r="G82" s="767">
        <v>274</v>
      </c>
      <c r="H82" s="774">
        <f t="shared" si="14"/>
        <v>5589.5999999999995</v>
      </c>
      <c r="I82" s="482">
        <f t="shared" si="17"/>
        <v>-89.4</v>
      </c>
      <c r="J82" s="481">
        <f t="shared" si="16"/>
        <v>-1823.76</v>
      </c>
    </row>
    <row r="83" spans="1:11" s="514" customFormat="1" ht="21.75" customHeight="1" x14ac:dyDescent="0.3">
      <c r="A83" s="443">
        <f t="shared" si="15"/>
        <v>75</v>
      </c>
      <c r="B83" s="507" t="s">
        <v>2068</v>
      </c>
      <c r="C83" s="508" t="s">
        <v>5</v>
      </c>
      <c r="D83" s="516">
        <f>20*1.02</f>
        <v>20.399999999999999</v>
      </c>
      <c r="E83" s="510">
        <f t="shared" si="10"/>
        <v>490.88</v>
      </c>
      <c r="F83" s="511">
        <v>10013.950000000001</v>
      </c>
      <c r="G83" s="769">
        <f t="shared" ref="G83:G93" si="18">E83</f>
        <v>490.88</v>
      </c>
      <c r="H83" s="774">
        <f t="shared" si="14"/>
        <v>10013.951999999999</v>
      </c>
      <c r="I83" s="512">
        <f t="shared" si="17"/>
        <v>0</v>
      </c>
      <c r="J83" s="513">
        <f t="shared" si="16"/>
        <v>0</v>
      </c>
      <c r="K83" s="521"/>
    </row>
    <row r="84" spans="1:11" s="514" customFormat="1" ht="21.75" customHeight="1" x14ac:dyDescent="0.3">
      <c r="A84" s="443">
        <f t="shared" si="15"/>
        <v>76</v>
      </c>
      <c r="B84" s="507" t="s">
        <v>2069</v>
      </c>
      <c r="C84" s="508" t="s">
        <v>5</v>
      </c>
      <c r="D84" s="516">
        <f>36*1.02</f>
        <v>36.72</v>
      </c>
      <c r="E84" s="510">
        <f t="shared" si="10"/>
        <v>210.38</v>
      </c>
      <c r="F84" s="511">
        <v>7725.15</v>
      </c>
      <c r="G84" s="769">
        <f t="shared" si="18"/>
        <v>210.38</v>
      </c>
      <c r="H84" s="774">
        <f t="shared" si="14"/>
        <v>7725.1535999999996</v>
      </c>
      <c r="I84" s="512">
        <f t="shared" si="17"/>
        <v>0</v>
      </c>
      <c r="J84" s="513">
        <f t="shared" si="16"/>
        <v>0</v>
      </c>
      <c r="K84" s="521"/>
    </row>
    <row r="85" spans="1:11" s="514" customFormat="1" ht="21.75" customHeight="1" x14ac:dyDescent="0.3">
      <c r="A85" s="443">
        <f t="shared" si="15"/>
        <v>77</v>
      </c>
      <c r="B85" s="507" t="s">
        <v>2070</v>
      </c>
      <c r="C85" s="508" t="s">
        <v>5</v>
      </c>
      <c r="D85" s="516">
        <f>12*1.02</f>
        <v>12.24</v>
      </c>
      <c r="E85" s="510">
        <f t="shared" si="10"/>
        <v>490.88</v>
      </c>
      <c r="F85" s="511">
        <v>6008.37</v>
      </c>
      <c r="G85" s="769">
        <f t="shared" si="18"/>
        <v>490.88</v>
      </c>
      <c r="H85" s="774">
        <f t="shared" si="14"/>
        <v>6008.3712000000005</v>
      </c>
      <c r="I85" s="512">
        <f t="shared" si="17"/>
        <v>0</v>
      </c>
      <c r="J85" s="513">
        <f t="shared" si="16"/>
        <v>0</v>
      </c>
      <c r="K85" s="521"/>
    </row>
    <row r="86" spans="1:11" s="514" customFormat="1" ht="21.75" customHeight="1" x14ac:dyDescent="0.3">
      <c r="A86" s="443">
        <f t="shared" si="15"/>
        <v>78</v>
      </c>
      <c r="B86" s="507" t="s">
        <v>2071</v>
      </c>
      <c r="C86" s="508" t="s">
        <v>5</v>
      </c>
      <c r="D86" s="516">
        <f>12*1.02</f>
        <v>12.24</v>
      </c>
      <c r="E86" s="510">
        <f t="shared" si="10"/>
        <v>660.24</v>
      </c>
      <c r="F86" s="511">
        <v>8081.34</v>
      </c>
      <c r="G86" s="769">
        <f t="shared" si="18"/>
        <v>660.24</v>
      </c>
      <c r="H86" s="774">
        <f t="shared" si="14"/>
        <v>8081.3375999999998</v>
      </c>
      <c r="I86" s="512">
        <f t="shared" si="17"/>
        <v>0</v>
      </c>
      <c r="J86" s="513">
        <f t="shared" si="16"/>
        <v>0</v>
      </c>
      <c r="K86" s="521"/>
    </row>
    <row r="87" spans="1:11" s="514" customFormat="1" ht="21.75" customHeight="1" x14ac:dyDescent="0.3">
      <c r="A87" s="443">
        <f t="shared" si="15"/>
        <v>79</v>
      </c>
      <c r="B87" s="507" t="s">
        <v>2072</v>
      </c>
      <c r="C87" s="508" t="s">
        <v>5</v>
      </c>
      <c r="D87" s="516">
        <f>36*1.02</f>
        <v>36.72</v>
      </c>
      <c r="E87" s="510">
        <f t="shared" si="10"/>
        <v>373.58</v>
      </c>
      <c r="F87" s="511">
        <v>13717.86</v>
      </c>
      <c r="G87" s="769">
        <f t="shared" si="18"/>
        <v>373.58</v>
      </c>
      <c r="H87" s="774">
        <f t="shared" si="14"/>
        <v>13717.857599999999</v>
      </c>
      <c r="I87" s="512">
        <f t="shared" si="17"/>
        <v>0</v>
      </c>
      <c r="J87" s="513">
        <f t="shared" si="16"/>
        <v>0</v>
      </c>
      <c r="K87" s="521"/>
    </row>
    <row r="88" spans="1:11" s="514" customFormat="1" ht="21.75" customHeight="1" x14ac:dyDescent="0.3">
      <c r="A88" s="443">
        <f t="shared" si="15"/>
        <v>80</v>
      </c>
      <c r="B88" s="507" t="s">
        <v>2073</v>
      </c>
      <c r="C88" s="508" t="s">
        <v>40</v>
      </c>
      <c r="D88" s="509">
        <v>2</v>
      </c>
      <c r="E88" s="510">
        <f t="shared" si="10"/>
        <v>35548.28</v>
      </c>
      <c r="F88" s="511">
        <v>71096.56</v>
      </c>
      <c r="G88" s="769">
        <f t="shared" si="18"/>
        <v>35548.28</v>
      </c>
      <c r="H88" s="774">
        <f t="shared" si="14"/>
        <v>71096.56</v>
      </c>
      <c r="I88" s="512">
        <f t="shared" si="17"/>
        <v>0</v>
      </c>
      <c r="J88" s="513">
        <f t="shared" si="16"/>
        <v>0</v>
      </c>
      <c r="K88" s="521"/>
    </row>
    <row r="89" spans="1:11" s="514" customFormat="1" ht="21.75" customHeight="1" x14ac:dyDescent="0.3">
      <c r="A89" s="443">
        <f t="shared" si="15"/>
        <v>81</v>
      </c>
      <c r="B89" s="507" t="s">
        <v>2074</v>
      </c>
      <c r="C89" s="508" t="s">
        <v>40</v>
      </c>
      <c r="D89" s="509">
        <v>4</v>
      </c>
      <c r="E89" s="510">
        <f t="shared" si="10"/>
        <v>323</v>
      </c>
      <c r="F89" s="511">
        <v>1292</v>
      </c>
      <c r="G89" s="769">
        <f t="shared" si="18"/>
        <v>323</v>
      </c>
      <c r="H89" s="774">
        <f t="shared" si="14"/>
        <v>1292</v>
      </c>
      <c r="I89" s="512">
        <f t="shared" si="17"/>
        <v>0</v>
      </c>
      <c r="J89" s="513">
        <f t="shared" si="16"/>
        <v>0</v>
      </c>
      <c r="K89" s="521"/>
    </row>
    <row r="90" spans="1:11" s="514" customFormat="1" ht="21.75" customHeight="1" x14ac:dyDescent="0.3">
      <c r="A90" s="443">
        <f t="shared" si="15"/>
        <v>82</v>
      </c>
      <c r="B90" s="507" t="s">
        <v>2075</v>
      </c>
      <c r="C90" s="508" t="s">
        <v>40</v>
      </c>
      <c r="D90" s="509">
        <v>4</v>
      </c>
      <c r="E90" s="510">
        <f t="shared" si="10"/>
        <v>510</v>
      </c>
      <c r="F90" s="511">
        <v>2040</v>
      </c>
      <c r="G90" s="769">
        <f t="shared" si="18"/>
        <v>510</v>
      </c>
      <c r="H90" s="774">
        <f t="shared" si="14"/>
        <v>2040</v>
      </c>
      <c r="I90" s="512">
        <f t="shared" si="17"/>
        <v>0</v>
      </c>
      <c r="J90" s="513">
        <f t="shared" si="16"/>
        <v>0</v>
      </c>
      <c r="K90" s="521"/>
    </row>
    <row r="91" spans="1:11" s="514" customFormat="1" ht="21.75" customHeight="1" x14ac:dyDescent="0.3">
      <c r="A91" s="443">
        <f t="shared" si="15"/>
        <v>83</v>
      </c>
      <c r="B91" s="507" t="s">
        <v>2076</v>
      </c>
      <c r="C91" s="508" t="s">
        <v>40</v>
      </c>
      <c r="D91" s="509">
        <v>2</v>
      </c>
      <c r="E91" s="510">
        <f t="shared" si="10"/>
        <v>1419.5</v>
      </c>
      <c r="F91" s="511">
        <v>2839</v>
      </c>
      <c r="G91" s="769">
        <f t="shared" si="18"/>
        <v>1419.5</v>
      </c>
      <c r="H91" s="774">
        <f t="shared" si="14"/>
        <v>2839</v>
      </c>
      <c r="I91" s="512">
        <f t="shared" si="17"/>
        <v>0</v>
      </c>
      <c r="J91" s="513">
        <f t="shared" si="16"/>
        <v>0</v>
      </c>
      <c r="K91" s="521"/>
    </row>
    <row r="92" spans="1:11" s="514" customFormat="1" ht="21.75" customHeight="1" x14ac:dyDescent="0.3">
      <c r="A92" s="443">
        <f t="shared" si="15"/>
        <v>84</v>
      </c>
      <c r="B92" s="507" t="s">
        <v>2077</v>
      </c>
      <c r="C92" s="508" t="s">
        <v>40</v>
      </c>
      <c r="D92" s="509">
        <v>6</v>
      </c>
      <c r="E92" s="510">
        <f t="shared" si="10"/>
        <v>1167.9000000000001</v>
      </c>
      <c r="F92" s="511">
        <v>7007.4</v>
      </c>
      <c r="G92" s="769">
        <f t="shared" si="18"/>
        <v>1167.9000000000001</v>
      </c>
      <c r="H92" s="774">
        <f t="shared" si="14"/>
        <v>7007.4000000000005</v>
      </c>
      <c r="I92" s="512">
        <f t="shared" si="17"/>
        <v>0</v>
      </c>
      <c r="J92" s="513">
        <f t="shared" si="16"/>
        <v>0</v>
      </c>
      <c r="K92" s="521"/>
    </row>
    <row r="93" spans="1:11" s="514" customFormat="1" ht="21.75" customHeight="1" x14ac:dyDescent="0.3">
      <c r="A93" s="443">
        <f t="shared" si="15"/>
        <v>85</v>
      </c>
      <c r="B93" s="507" t="s">
        <v>2078</v>
      </c>
      <c r="C93" s="508" t="s">
        <v>40</v>
      </c>
      <c r="D93" s="509">
        <v>4</v>
      </c>
      <c r="E93" s="510">
        <f t="shared" si="10"/>
        <v>558.45000000000005</v>
      </c>
      <c r="F93" s="511">
        <v>2233.8000000000002</v>
      </c>
      <c r="G93" s="769">
        <f t="shared" si="18"/>
        <v>558.45000000000005</v>
      </c>
      <c r="H93" s="774">
        <f t="shared" si="14"/>
        <v>2233.8000000000002</v>
      </c>
      <c r="I93" s="512">
        <f t="shared" si="17"/>
        <v>0</v>
      </c>
      <c r="J93" s="513">
        <f t="shared" si="16"/>
        <v>0</v>
      </c>
      <c r="K93" s="521"/>
    </row>
    <row r="94" spans="1:11" ht="23.25" customHeight="1" x14ac:dyDescent="0.3">
      <c r="A94" s="443">
        <f t="shared" si="15"/>
        <v>86</v>
      </c>
      <c r="B94" s="428" t="s">
        <v>377</v>
      </c>
      <c r="C94" s="442" t="s">
        <v>5</v>
      </c>
      <c r="D94" s="493">
        <v>18</v>
      </c>
      <c r="E94" s="647">
        <f t="shared" si="10"/>
        <v>82.49</v>
      </c>
      <c r="F94" s="648">
        <v>1484.88</v>
      </c>
      <c r="G94" s="767">
        <v>147</v>
      </c>
      <c r="H94" s="774">
        <f t="shared" si="14"/>
        <v>2646</v>
      </c>
      <c r="I94" s="482">
        <f t="shared" si="17"/>
        <v>-64.510000000000005</v>
      </c>
      <c r="J94" s="481">
        <f t="shared" si="16"/>
        <v>-1161.1199999999999</v>
      </c>
    </row>
    <row r="95" spans="1:11" ht="23.25" customHeight="1" x14ac:dyDescent="0.3">
      <c r="A95" s="443">
        <f t="shared" si="15"/>
        <v>87</v>
      </c>
      <c r="B95" s="428" t="s">
        <v>2079</v>
      </c>
      <c r="C95" s="442" t="s">
        <v>40</v>
      </c>
      <c r="D95" s="493">
        <v>4</v>
      </c>
      <c r="E95" s="647">
        <f t="shared" si="10"/>
        <v>23.76</v>
      </c>
      <c r="F95" s="648">
        <v>95.05</v>
      </c>
      <c r="G95" s="767">
        <v>62</v>
      </c>
      <c r="H95" s="774">
        <f t="shared" si="14"/>
        <v>248</v>
      </c>
      <c r="I95" s="482">
        <f t="shared" si="17"/>
        <v>-38.239999999999995</v>
      </c>
      <c r="J95" s="481">
        <f t="shared" si="16"/>
        <v>-152.94999999999999</v>
      </c>
    </row>
    <row r="96" spans="1:11" ht="23.25" customHeight="1" x14ac:dyDescent="0.3">
      <c r="A96" s="443">
        <f t="shared" si="15"/>
        <v>88</v>
      </c>
      <c r="B96" s="428" t="s">
        <v>2080</v>
      </c>
      <c r="C96" s="442" t="s">
        <v>5</v>
      </c>
      <c r="D96" s="492">
        <f>8*1.03</f>
        <v>8.24</v>
      </c>
      <c r="E96" s="647">
        <f t="shared" si="10"/>
        <v>68.81</v>
      </c>
      <c r="F96" s="648">
        <v>566.97</v>
      </c>
      <c r="G96" s="767">
        <v>162</v>
      </c>
      <c r="H96" s="774">
        <f t="shared" si="14"/>
        <v>1334.88</v>
      </c>
      <c r="I96" s="482">
        <f t="shared" si="17"/>
        <v>-93.19</v>
      </c>
      <c r="J96" s="481">
        <f t="shared" si="16"/>
        <v>-767.91</v>
      </c>
    </row>
    <row r="97" spans="1:11" s="514" customFormat="1" ht="21.75" customHeight="1" x14ac:dyDescent="0.3">
      <c r="A97" s="443">
        <f t="shared" si="15"/>
        <v>89</v>
      </c>
      <c r="B97" s="507" t="s">
        <v>2081</v>
      </c>
      <c r="C97" s="508" t="s">
        <v>40</v>
      </c>
      <c r="D97" s="509">
        <v>1</v>
      </c>
      <c r="E97" s="510">
        <f t="shared" si="10"/>
        <v>1982265.12</v>
      </c>
      <c r="F97" s="511">
        <v>1982265.12</v>
      </c>
      <c r="G97" s="780">
        <v>1958760</v>
      </c>
      <c r="H97" s="774">
        <f t="shared" si="14"/>
        <v>1958760</v>
      </c>
      <c r="I97" s="512">
        <f t="shared" si="17"/>
        <v>23505.120000000112</v>
      </c>
      <c r="J97" s="513">
        <f t="shared" si="16"/>
        <v>23505.119999999999</v>
      </c>
      <c r="K97" s="521"/>
    </row>
    <row r="98" spans="1:11" s="514" customFormat="1" ht="34.5" customHeight="1" x14ac:dyDescent="0.3">
      <c r="A98" s="443">
        <f t="shared" si="15"/>
        <v>90</v>
      </c>
      <c r="B98" s="507" t="s">
        <v>2082</v>
      </c>
      <c r="C98" s="508" t="s">
        <v>40</v>
      </c>
      <c r="D98" s="509">
        <v>4</v>
      </c>
      <c r="E98" s="510">
        <f t="shared" si="10"/>
        <v>31450</v>
      </c>
      <c r="F98" s="511">
        <v>125800</v>
      </c>
      <c r="G98" s="769">
        <f t="shared" ref="G98:G104" si="19">E98</f>
        <v>31450</v>
      </c>
      <c r="H98" s="774">
        <f t="shared" si="14"/>
        <v>125800</v>
      </c>
      <c r="I98" s="512">
        <f t="shared" si="17"/>
        <v>0</v>
      </c>
      <c r="J98" s="513">
        <f t="shared" si="16"/>
        <v>0</v>
      </c>
      <c r="K98" s="521"/>
    </row>
    <row r="99" spans="1:11" s="514" customFormat="1" ht="21.75" customHeight="1" x14ac:dyDescent="0.3">
      <c r="A99" s="443">
        <f t="shared" si="15"/>
        <v>91</v>
      </c>
      <c r="B99" s="507" t="s">
        <v>2083</v>
      </c>
      <c r="C99" s="508" t="s">
        <v>40</v>
      </c>
      <c r="D99" s="509">
        <v>4</v>
      </c>
      <c r="E99" s="510">
        <f t="shared" si="10"/>
        <v>106250</v>
      </c>
      <c r="F99" s="511">
        <v>425000</v>
      </c>
      <c r="G99" s="769">
        <f t="shared" si="19"/>
        <v>106250</v>
      </c>
      <c r="H99" s="774">
        <f t="shared" si="14"/>
        <v>425000</v>
      </c>
      <c r="I99" s="512">
        <f t="shared" si="17"/>
        <v>0</v>
      </c>
      <c r="J99" s="513">
        <f t="shared" si="16"/>
        <v>0</v>
      </c>
      <c r="K99" s="521"/>
    </row>
    <row r="100" spans="1:11" s="514" customFormat="1" ht="21.75" customHeight="1" x14ac:dyDescent="0.3">
      <c r="A100" s="443">
        <f t="shared" si="15"/>
        <v>92</v>
      </c>
      <c r="B100" s="507" t="s">
        <v>2084</v>
      </c>
      <c r="C100" s="508" t="s">
        <v>40</v>
      </c>
      <c r="D100" s="509">
        <v>18</v>
      </c>
      <c r="E100" s="510">
        <f t="shared" si="10"/>
        <v>638.35</v>
      </c>
      <c r="F100" s="511">
        <v>11490.3</v>
      </c>
      <c r="G100" s="769">
        <f t="shared" si="19"/>
        <v>638.35</v>
      </c>
      <c r="H100" s="774">
        <f t="shared" si="14"/>
        <v>11490.300000000001</v>
      </c>
      <c r="I100" s="512">
        <f t="shared" si="17"/>
        <v>0</v>
      </c>
      <c r="J100" s="513">
        <f t="shared" si="16"/>
        <v>0</v>
      </c>
      <c r="K100" s="521"/>
    </row>
    <row r="101" spans="1:11" s="514" customFormat="1" ht="21" customHeight="1" x14ac:dyDescent="0.3">
      <c r="A101" s="443">
        <f t="shared" si="15"/>
        <v>93</v>
      </c>
      <c r="B101" s="507" t="s">
        <v>2085</v>
      </c>
      <c r="C101" s="508" t="s">
        <v>40</v>
      </c>
      <c r="D101" s="509">
        <v>16</v>
      </c>
      <c r="E101" s="510">
        <f t="shared" si="10"/>
        <v>3581.9</v>
      </c>
      <c r="F101" s="511">
        <v>57310.400000000001</v>
      </c>
      <c r="G101" s="769">
        <f t="shared" si="19"/>
        <v>3581.9</v>
      </c>
      <c r="H101" s="774">
        <f t="shared" si="14"/>
        <v>57310.400000000001</v>
      </c>
      <c r="I101" s="512">
        <f t="shared" si="17"/>
        <v>0</v>
      </c>
      <c r="J101" s="513">
        <f t="shared" si="16"/>
        <v>0</v>
      </c>
      <c r="K101" s="521"/>
    </row>
    <row r="102" spans="1:11" s="514" customFormat="1" ht="21.75" customHeight="1" x14ac:dyDescent="0.3">
      <c r="A102" s="443">
        <f t="shared" si="15"/>
        <v>94</v>
      </c>
      <c r="B102" s="507" t="s">
        <v>2087</v>
      </c>
      <c r="C102" s="508" t="s">
        <v>5</v>
      </c>
      <c r="D102" s="509">
        <f>174</f>
        <v>174</v>
      </c>
      <c r="E102" s="510">
        <f t="shared" si="10"/>
        <v>168.3</v>
      </c>
      <c r="F102" s="511">
        <v>29284.2</v>
      </c>
      <c r="G102" s="769">
        <f t="shared" si="19"/>
        <v>168.3</v>
      </c>
      <c r="H102" s="774">
        <f t="shared" si="14"/>
        <v>29284.2</v>
      </c>
      <c r="I102" s="512">
        <f t="shared" si="17"/>
        <v>0</v>
      </c>
      <c r="J102" s="513">
        <f t="shared" si="16"/>
        <v>0</v>
      </c>
      <c r="K102" s="521"/>
    </row>
    <row r="103" spans="1:11" s="514" customFormat="1" ht="21" customHeight="1" x14ac:dyDescent="0.3">
      <c r="A103" s="443">
        <f t="shared" si="15"/>
        <v>95</v>
      </c>
      <c r="B103" s="507" t="s">
        <v>2088</v>
      </c>
      <c r="C103" s="508" t="s">
        <v>40</v>
      </c>
      <c r="D103" s="509">
        <v>8</v>
      </c>
      <c r="E103" s="510">
        <f t="shared" si="10"/>
        <v>5158.6499999999996</v>
      </c>
      <c r="F103" s="511">
        <v>41269.199999999997</v>
      </c>
      <c r="G103" s="769">
        <f t="shared" si="19"/>
        <v>5158.6499999999996</v>
      </c>
      <c r="H103" s="774">
        <f t="shared" si="14"/>
        <v>41269.199999999997</v>
      </c>
      <c r="I103" s="512">
        <f t="shared" si="17"/>
        <v>0</v>
      </c>
      <c r="J103" s="513">
        <f t="shared" si="16"/>
        <v>0</v>
      </c>
      <c r="K103" s="521"/>
    </row>
    <row r="104" spans="1:11" s="514" customFormat="1" ht="21.75" customHeight="1" x14ac:dyDescent="0.3">
      <c r="A104" s="443">
        <f t="shared" si="15"/>
        <v>96</v>
      </c>
      <c r="B104" s="507" t="s">
        <v>2090</v>
      </c>
      <c r="C104" s="508" t="s">
        <v>40</v>
      </c>
      <c r="D104" s="509">
        <v>1</v>
      </c>
      <c r="E104" s="510">
        <f t="shared" si="10"/>
        <v>285600</v>
      </c>
      <c r="F104" s="511">
        <v>285600</v>
      </c>
      <c r="G104" s="769">
        <f t="shared" si="19"/>
        <v>285600</v>
      </c>
      <c r="H104" s="774">
        <f t="shared" si="14"/>
        <v>285600</v>
      </c>
      <c r="I104" s="512">
        <f t="shared" si="17"/>
        <v>0</v>
      </c>
      <c r="J104" s="513">
        <f t="shared" si="16"/>
        <v>0</v>
      </c>
      <c r="K104" s="521"/>
    </row>
    <row r="105" spans="1:11" ht="23.25" customHeight="1" x14ac:dyDescent="0.3">
      <c r="A105" s="443">
        <f t="shared" si="15"/>
        <v>97</v>
      </c>
      <c r="B105" s="428" t="s">
        <v>2091</v>
      </c>
      <c r="C105" s="442" t="s">
        <v>5</v>
      </c>
      <c r="D105" s="496">
        <v>7.5</v>
      </c>
      <c r="E105" s="647">
        <f t="shared" si="10"/>
        <v>22.51</v>
      </c>
      <c r="F105" s="648">
        <v>168.84</v>
      </c>
      <c r="G105" s="767">
        <v>908</v>
      </c>
      <c r="H105" s="774">
        <f t="shared" si="14"/>
        <v>6810</v>
      </c>
      <c r="I105" s="482">
        <f t="shared" si="17"/>
        <v>-885.49</v>
      </c>
      <c r="J105" s="481">
        <f t="shared" si="16"/>
        <v>-6641.16</v>
      </c>
    </row>
    <row r="106" spans="1:11" ht="23.25" customHeight="1" x14ac:dyDescent="0.3">
      <c r="A106" s="443">
        <f t="shared" si="15"/>
        <v>98</v>
      </c>
      <c r="B106" s="428" t="s">
        <v>2092</v>
      </c>
      <c r="C106" s="442" t="s">
        <v>40</v>
      </c>
      <c r="D106" s="493">
        <v>2</v>
      </c>
      <c r="E106" s="647">
        <f t="shared" si="10"/>
        <v>5.43</v>
      </c>
      <c r="F106" s="648">
        <v>10.85</v>
      </c>
      <c r="G106" s="767">
        <v>5</v>
      </c>
      <c r="H106" s="774">
        <f t="shared" si="14"/>
        <v>10</v>
      </c>
      <c r="I106" s="482">
        <f t="shared" si="17"/>
        <v>0.42999999999999972</v>
      </c>
      <c r="J106" s="481">
        <f t="shared" si="16"/>
        <v>0.85</v>
      </c>
    </row>
    <row r="107" spans="1:11" ht="23.25" customHeight="1" x14ac:dyDescent="0.3">
      <c r="A107" s="443">
        <f t="shared" si="15"/>
        <v>99</v>
      </c>
      <c r="B107" s="428" t="s">
        <v>2093</v>
      </c>
      <c r="C107" s="442" t="s">
        <v>1385</v>
      </c>
      <c r="D107" s="493">
        <v>12</v>
      </c>
      <c r="E107" s="647">
        <f t="shared" si="10"/>
        <v>1.21</v>
      </c>
      <c r="F107" s="648">
        <f>14.21+0.26</f>
        <v>14.47</v>
      </c>
      <c r="G107" s="767">
        <v>1</v>
      </c>
      <c r="H107" s="774">
        <f t="shared" si="14"/>
        <v>12</v>
      </c>
      <c r="I107" s="482">
        <f t="shared" si="17"/>
        <v>0.20999999999999996</v>
      </c>
      <c r="J107" s="481">
        <f t="shared" si="16"/>
        <v>2.4700000000000002</v>
      </c>
    </row>
    <row r="108" spans="1:11" s="514" customFormat="1" ht="21" customHeight="1" x14ac:dyDescent="0.3">
      <c r="A108" s="443">
        <f t="shared" si="15"/>
        <v>100</v>
      </c>
      <c r="B108" s="507" t="s">
        <v>2094</v>
      </c>
      <c r="C108" s="508" t="s">
        <v>40</v>
      </c>
      <c r="D108" s="509">
        <v>3</v>
      </c>
      <c r="E108" s="510">
        <f t="shared" si="10"/>
        <v>68850</v>
      </c>
      <c r="F108" s="511">
        <v>206550</v>
      </c>
      <c r="G108" s="769">
        <f t="shared" ref="G108:G134" si="20">E108</f>
        <v>68850</v>
      </c>
      <c r="H108" s="774">
        <f t="shared" si="14"/>
        <v>206550</v>
      </c>
      <c r="I108" s="512">
        <f t="shared" si="17"/>
        <v>0</v>
      </c>
      <c r="J108" s="513">
        <f t="shared" si="16"/>
        <v>0</v>
      </c>
      <c r="K108" s="521"/>
    </row>
    <row r="109" spans="1:11" s="514" customFormat="1" ht="21.75" customHeight="1" x14ac:dyDescent="0.3">
      <c r="A109" s="443">
        <f t="shared" si="15"/>
        <v>101</v>
      </c>
      <c r="B109" s="507" t="s">
        <v>2095</v>
      </c>
      <c r="C109" s="508" t="s">
        <v>40</v>
      </c>
      <c r="D109" s="509">
        <v>16</v>
      </c>
      <c r="E109" s="510">
        <f t="shared" si="10"/>
        <v>2106.3000000000002</v>
      </c>
      <c r="F109" s="511">
        <v>33700.800000000003</v>
      </c>
      <c r="G109" s="769">
        <f t="shared" si="20"/>
        <v>2106.3000000000002</v>
      </c>
      <c r="H109" s="774">
        <f t="shared" si="14"/>
        <v>33700.800000000003</v>
      </c>
      <c r="I109" s="512">
        <f t="shared" si="17"/>
        <v>0</v>
      </c>
      <c r="J109" s="513">
        <f t="shared" si="16"/>
        <v>0</v>
      </c>
      <c r="K109" s="521"/>
    </row>
    <row r="110" spans="1:11" s="514" customFormat="1" ht="21.75" customHeight="1" x14ac:dyDescent="0.3">
      <c r="A110" s="443">
        <f t="shared" si="15"/>
        <v>102</v>
      </c>
      <c r="B110" s="507" t="s">
        <v>2096</v>
      </c>
      <c r="C110" s="508" t="s">
        <v>40</v>
      </c>
      <c r="D110" s="509">
        <v>3</v>
      </c>
      <c r="E110" s="510">
        <f t="shared" si="10"/>
        <v>2986.9</v>
      </c>
      <c r="F110" s="511">
        <v>8960.7000000000007</v>
      </c>
      <c r="G110" s="769">
        <f t="shared" si="20"/>
        <v>2986.9</v>
      </c>
      <c r="H110" s="774">
        <f t="shared" si="14"/>
        <v>8960.7000000000007</v>
      </c>
      <c r="I110" s="512">
        <f t="shared" si="17"/>
        <v>0</v>
      </c>
      <c r="J110" s="513">
        <f t="shared" si="16"/>
        <v>0</v>
      </c>
      <c r="K110" s="521"/>
    </row>
    <row r="111" spans="1:11" s="514" customFormat="1" ht="21" customHeight="1" x14ac:dyDescent="0.3">
      <c r="A111" s="443">
        <f t="shared" si="15"/>
        <v>103</v>
      </c>
      <c r="B111" s="507" t="s">
        <v>2097</v>
      </c>
      <c r="C111" s="508" t="s">
        <v>2098</v>
      </c>
      <c r="D111" s="509">
        <v>10</v>
      </c>
      <c r="E111" s="510">
        <f t="shared" si="10"/>
        <v>2277.15</v>
      </c>
      <c r="F111" s="511">
        <v>22771.5</v>
      </c>
      <c r="G111" s="769">
        <f t="shared" si="20"/>
        <v>2277.15</v>
      </c>
      <c r="H111" s="774">
        <f t="shared" si="14"/>
        <v>22771.5</v>
      </c>
      <c r="I111" s="512">
        <f t="shared" si="17"/>
        <v>0</v>
      </c>
      <c r="J111" s="513">
        <f t="shared" si="16"/>
        <v>0</v>
      </c>
      <c r="K111" s="521"/>
    </row>
    <row r="112" spans="1:11" s="514" customFormat="1" ht="21.75" customHeight="1" x14ac:dyDescent="0.3">
      <c r="A112" s="443">
        <f t="shared" si="15"/>
        <v>104</v>
      </c>
      <c r="B112" s="507" t="s">
        <v>2099</v>
      </c>
      <c r="C112" s="508" t="s">
        <v>5</v>
      </c>
      <c r="D112" s="516">
        <f>9*1.02+43*1.02</f>
        <v>53.04</v>
      </c>
      <c r="E112" s="510">
        <f t="shared" si="10"/>
        <v>306</v>
      </c>
      <c r="F112" s="511">
        <f>2809.08+13421.16</f>
        <v>16230.24</v>
      </c>
      <c r="G112" s="769">
        <f t="shared" si="20"/>
        <v>306</v>
      </c>
      <c r="H112" s="774">
        <f t="shared" si="14"/>
        <v>16230.24</v>
      </c>
      <c r="I112" s="512">
        <f t="shared" si="17"/>
        <v>0</v>
      </c>
      <c r="J112" s="513">
        <f t="shared" si="16"/>
        <v>0</v>
      </c>
      <c r="K112" s="521"/>
    </row>
    <row r="113" spans="1:11" s="514" customFormat="1" ht="21.75" customHeight="1" x14ac:dyDescent="0.3">
      <c r="A113" s="443">
        <f t="shared" si="15"/>
        <v>105</v>
      </c>
      <c r="B113" s="507" t="s">
        <v>2100</v>
      </c>
      <c r="C113" s="508" t="s">
        <v>5</v>
      </c>
      <c r="D113" s="516">
        <f>166*1.02+64*1.02</f>
        <v>234.6</v>
      </c>
      <c r="E113" s="510">
        <f t="shared" si="10"/>
        <v>204</v>
      </c>
      <c r="F113" s="511">
        <f>34541.28+13317.12</f>
        <v>47858.400000000001</v>
      </c>
      <c r="G113" s="769">
        <f t="shared" si="20"/>
        <v>204</v>
      </c>
      <c r="H113" s="774">
        <f t="shared" si="14"/>
        <v>47858.400000000001</v>
      </c>
      <c r="I113" s="512">
        <f t="shared" si="17"/>
        <v>0</v>
      </c>
      <c r="J113" s="513">
        <f t="shared" si="16"/>
        <v>0</v>
      </c>
      <c r="K113" s="521"/>
    </row>
    <row r="114" spans="1:11" s="514" customFormat="1" ht="21.75" customHeight="1" x14ac:dyDescent="0.3">
      <c r="A114" s="443">
        <f t="shared" si="15"/>
        <v>106</v>
      </c>
      <c r="B114" s="507" t="s">
        <v>2101</v>
      </c>
      <c r="C114" s="508" t="s">
        <v>5</v>
      </c>
      <c r="D114" s="516">
        <f>43*1.02+16*1.02</f>
        <v>60.18</v>
      </c>
      <c r="E114" s="510">
        <f t="shared" si="10"/>
        <v>326.39999999999998</v>
      </c>
      <c r="F114" s="511">
        <f>14315.9+5326.85</f>
        <v>19642.75</v>
      </c>
      <c r="G114" s="769">
        <f t="shared" si="20"/>
        <v>326.39999999999998</v>
      </c>
      <c r="H114" s="774">
        <f t="shared" si="14"/>
        <v>19642.751999999997</v>
      </c>
      <c r="I114" s="512">
        <f t="shared" si="17"/>
        <v>0</v>
      </c>
      <c r="J114" s="513">
        <f t="shared" si="16"/>
        <v>0</v>
      </c>
      <c r="K114" s="521"/>
    </row>
    <row r="115" spans="1:11" s="514" customFormat="1" ht="21.75" customHeight="1" x14ac:dyDescent="0.3">
      <c r="A115" s="443">
        <f t="shared" si="15"/>
        <v>107</v>
      </c>
      <c r="B115" s="507" t="s">
        <v>2102</v>
      </c>
      <c r="C115" s="508" t="s">
        <v>5</v>
      </c>
      <c r="D115" s="516">
        <f>234*1.02+148*1.02</f>
        <v>389.64</v>
      </c>
      <c r="E115" s="510">
        <f t="shared" si="10"/>
        <v>485.78</v>
      </c>
      <c r="F115" s="511">
        <f>115945.97+73333.35</f>
        <v>189279.32</v>
      </c>
      <c r="G115" s="769">
        <f t="shared" si="20"/>
        <v>485.78</v>
      </c>
      <c r="H115" s="774">
        <f t="shared" si="14"/>
        <v>189279.31919999997</v>
      </c>
      <c r="I115" s="512">
        <f t="shared" si="17"/>
        <v>0</v>
      </c>
      <c r="J115" s="513">
        <f t="shared" si="16"/>
        <v>0</v>
      </c>
      <c r="K115" s="521"/>
    </row>
    <row r="116" spans="1:11" s="514" customFormat="1" ht="21.75" customHeight="1" x14ac:dyDescent="0.3">
      <c r="A116" s="443">
        <f t="shared" si="15"/>
        <v>108</v>
      </c>
      <c r="B116" s="507" t="s">
        <v>2062</v>
      </c>
      <c r="C116" s="508" t="s">
        <v>5</v>
      </c>
      <c r="D116" s="516">
        <f>72*1.02</f>
        <v>73.44</v>
      </c>
      <c r="E116" s="510">
        <f t="shared" si="10"/>
        <v>142.80000000000001</v>
      </c>
      <c r="F116" s="511">
        <v>10487.23</v>
      </c>
      <c r="G116" s="769">
        <f t="shared" si="20"/>
        <v>142.80000000000001</v>
      </c>
      <c r="H116" s="774">
        <f t="shared" si="14"/>
        <v>10487.232</v>
      </c>
      <c r="I116" s="512">
        <f t="shared" si="17"/>
        <v>0</v>
      </c>
      <c r="J116" s="513">
        <f t="shared" si="16"/>
        <v>0</v>
      </c>
      <c r="K116" s="521"/>
    </row>
    <row r="117" spans="1:11" s="514" customFormat="1" ht="21.75" customHeight="1" x14ac:dyDescent="0.3">
      <c r="A117" s="443">
        <f t="shared" si="15"/>
        <v>109</v>
      </c>
      <c r="B117" s="507" t="s">
        <v>2103</v>
      </c>
      <c r="C117" s="508" t="s">
        <v>5</v>
      </c>
      <c r="D117" s="516">
        <f>10*1.02</f>
        <v>10.199999999999999</v>
      </c>
      <c r="E117" s="510">
        <f t="shared" si="10"/>
        <v>298.77999999999997</v>
      </c>
      <c r="F117" s="511">
        <v>3047.56</v>
      </c>
      <c r="G117" s="769">
        <f t="shared" si="20"/>
        <v>298.77999999999997</v>
      </c>
      <c r="H117" s="774">
        <f t="shared" si="14"/>
        <v>3047.5559999999996</v>
      </c>
      <c r="I117" s="512">
        <f t="shared" si="17"/>
        <v>0</v>
      </c>
      <c r="J117" s="513">
        <f t="shared" si="16"/>
        <v>0</v>
      </c>
      <c r="K117" s="521"/>
    </row>
    <row r="118" spans="1:11" s="514" customFormat="1" ht="21.75" customHeight="1" x14ac:dyDescent="0.3">
      <c r="A118" s="443">
        <f t="shared" si="15"/>
        <v>110</v>
      </c>
      <c r="B118" s="507" t="s">
        <v>2104</v>
      </c>
      <c r="C118" s="508" t="s">
        <v>40</v>
      </c>
      <c r="D118" s="509">
        <v>3</v>
      </c>
      <c r="E118" s="510">
        <f t="shared" si="10"/>
        <v>242250</v>
      </c>
      <c r="F118" s="511">
        <v>726750</v>
      </c>
      <c r="G118" s="769">
        <f t="shared" si="20"/>
        <v>242250</v>
      </c>
      <c r="H118" s="774">
        <f t="shared" si="14"/>
        <v>726750</v>
      </c>
      <c r="I118" s="512">
        <f t="shared" si="17"/>
        <v>0</v>
      </c>
      <c r="J118" s="513">
        <f t="shared" si="16"/>
        <v>0</v>
      </c>
      <c r="K118" s="521"/>
    </row>
    <row r="119" spans="1:11" s="514" customFormat="1" ht="21.75" customHeight="1" x14ac:dyDescent="0.3">
      <c r="A119" s="443">
        <f t="shared" si="15"/>
        <v>111</v>
      </c>
      <c r="B119" s="507" t="s">
        <v>2105</v>
      </c>
      <c r="C119" s="508" t="s">
        <v>40</v>
      </c>
      <c r="D119" s="509">
        <v>1</v>
      </c>
      <c r="E119" s="510">
        <f t="shared" si="10"/>
        <v>205700</v>
      </c>
      <c r="F119" s="511">
        <v>205700</v>
      </c>
      <c r="G119" s="769">
        <f t="shared" si="20"/>
        <v>205700</v>
      </c>
      <c r="H119" s="774">
        <f t="shared" si="14"/>
        <v>205700</v>
      </c>
      <c r="I119" s="512">
        <f t="shared" si="17"/>
        <v>0</v>
      </c>
      <c r="J119" s="513">
        <f t="shared" si="16"/>
        <v>0</v>
      </c>
      <c r="K119" s="521"/>
    </row>
    <row r="120" spans="1:11" s="514" customFormat="1" ht="21.75" customHeight="1" x14ac:dyDescent="0.3">
      <c r="A120" s="443">
        <f t="shared" si="15"/>
        <v>112</v>
      </c>
      <c r="B120" s="507" t="s">
        <v>2106</v>
      </c>
      <c r="C120" s="508" t="s">
        <v>40</v>
      </c>
      <c r="D120" s="509">
        <v>1</v>
      </c>
      <c r="E120" s="510">
        <f t="shared" si="10"/>
        <v>186150</v>
      </c>
      <c r="F120" s="511">
        <v>186150</v>
      </c>
      <c r="G120" s="769">
        <f t="shared" si="20"/>
        <v>186150</v>
      </c>
      <c r="H120" s="774">
        <f t="shared" si="14"/>
        <v>186150</v>
      </c>
      <c r="I120" s="512">
        <f t="shared" si="17"/>
        <v>0</v>
      </c>
      <c r="J120" s="513">
        <f t="shared" si="16"/>
        <v>0</v>
      </c>
      <c r="K120" s="521"/>
    </row>
    <row r="121" spans="1:11" s="514" customFormat="1" ht="21.75" customHeight="1" x14ac:dyDescent="0.3">
      <c r="A121" s="443">
        <f t="shared" si="15"/>
        <v>113</v>
      </c>
      <c r="B121" s="507" t="s">
        <v>2107</v>
      </c>
      <c r="C121" s="508" t="s">
        <v>40</v>
      </c>
      <c r="D121" s="509">
        <v>1</v>
      </c>
      <c r="E121" s="510">
        <f t="shared" si="10"/>
        <v>814300</v>
      </c>
      <c r="F121" s="511">
        <v>814300</v>
      </c>
      <c r="G121" s="769">
        <f t="shared" si="20"/>
        <v>814300</v>
      </c>
      <c r="H121" s="774">
        <f t="shared" si="14"/>
        <v>814300</v>
      </c>
      <c r="I121" s="512">
        <f t="shared" si="17"/>
        <v>0</v>
      </c>
      <c r="J121" s="513">
        <f t="shared" si="16"/>
        <v>0</v>
      </c>
      <c r="K121" s="521"/>
    </row>
    <row r="122" spans="1:11" s="514" customFormat="1" ht="21.75" customHeight="1" x14ac:dyDescent="0.3">
      <c r="A122" s="443">
        <f t="shared" si="15"/>
        <v>114</v>
      </c>
      <c r="B122" s="507" t="s">
        <v>2108</v>
      </c>
      <c r="C122" s="508" t="s">
        <v>5</v>
      </c>
      <c r="D122" s="509">
        <f>2*5</f>
        <v>10</v>
      </c>
      <c r="E122" s="510">
        <f t="shared" si="10"/>
        <v>153</v>
      </c>
      <c r="F122" s="511">
        <f>2*765</f>
        <v>1530</v>
      </c>
      <c r="G122" s="769">
        <f t="shared" si="20"/>
        <v>153</v>
      </c>
      <c r="H122" s="774">
        <f t="shared" si="14"/>
        <v>1530</v>
      </c>
      <c r="I122" s="512">
        <f t="shared" si="17"/>
        <v>0</v>
      </c>
      <c r="J122" s="513">
        <f t="shared" si="16"/>
        <v>0</v>
      </c>
      <c r="K122" s="521"/>
    </row>
    <row r="123" spans="1:11" s="514" customFormat="1" ht="24.75" customHeight="1" x14ac:dyDescent="0.3">
      <c r="A123" s="443">
        <f t="shared" si="15"/>
        <v>115</v>
      </c>
      <c r="B123" s="507" t="s">
        <v>2109</v>
      </c>
      <c r="C123" s="508" t="s">
        <v>40</v>
      </c>
      <c r="D123" s="509">
        <f>2*6</f>
        <v>12</v>
      </c>
      <c r="E123" s="510">
        <f t="shared" si="10"/>
        <v>38.25</v>
      </c>
      <c r="F123" s="511">
        <f>2*229.5</f>
        <v>459</v>
      </c>
      <c r="G123" s="769">
        <f t="shared" si="20"/>
        <v>38.25</v>
      </c>
      <c r="H123" s="774">
        <f t="shared" si="14"/>
        <v>459</v>
      </c>
      <c r="I123" s="512">
        <f t="shared" si="17"/>
        <v>0</v>
      </c>
      <c r="J123" s="513">
        <f t="shared" si="16"/>
        <v>0</v>
      </c>
      <c r="K123" s="521"/>
    </row>
    <row r="124" spans="1:11" ht="23.25" customHeight="1" x14ac:dyDescent="0.3">
      <c r="A124" s="443">
        <f t="shared" si="15"/>
        <v>116</v>
      </c>
      <c r="B124" s="428" t="s">
        <v>2110</v>
      </c>
      <c r="C124" s="442" t="s">
        <v>1385</v>
      </c>
      <c r="D124" s="493">
        <f>1+1</f>
        <v>2</v>
      </c>
      <c r="E124" s="647">
        <f t="shared" si="10"/>
        <v>49.25</v>
      </c>
      <c r="F124" s="648">
        <f>2*49.25</f>
        <v>98.5</v>
      </c>
      <c r="G124" s="767">
        <v>78</v>
      </c>
      <c r="H124" s="774">
        <f t="shared" si="14"/>
        <v>156</v>
      </c>
      <c r="I124" s="482">
        <f t="shared" si="17"/>
        <v>-28.75</v>
      </c>
      <c r="J124" s="481">
        <f t="shared" si="16"/>
        <v>-57.5</v>
      </c>
    </row>
    <row r="125" spans="1:11" s="514" customFormat="1" ht="24.75" customHeight="1" x14ac:dyDescent="0.3">
      <c r="A125" s="443">
        <f t="shared" si="15"/>
        <v>117</v>
      </c>
      <c r="B125" s="507" t="s">
        <v>2111</v>
      </c>
      <c r="C125" s="508" t="s">
        <v>40</v>
      </c>
      <c r="D125" s="509">
        <v>1</v>
      </c>
      <c r="E125" s="510">
        <f t="shared" si="10"/>
        <v>3136500</v>
      </c>
      <c r="F125" s="511">
        <v>3136500</v>
      </c>
      <c r="G125" s="769">
        <f t="shared" si="20"/>
        <v>3136500</v>
      </c>
      <c r="H125" s="774">
        <f t="shared" si="14"/>
        <v>3136500</v>
      </c>
      <c r="I125" s="512">
        <f t="shared" si="17"/>
        <v>0</v>
      </c>
      <c r="J125" s="513">
        <f t="shared" si="16"/>
        <v>0</v>
      </c>
      <c r="K125" s="521"/>
    </row>
    <row r="126" spans="1:11" s="514" customFormat="1" ht="21.75" customHeight="1" x14ac:dyDescent="0.3">
      <c r="A126" s="443">
        <f t="shared" si="15"/>
        <v>118</v>
      </c>
      <c r="B126" s="507" t="s">
        <v>2112</v>
      </c>
      <c r="C126" s="508" t="s">
        <v>40</v>
      </c>
      <c r="D126" s="509">
        <v>1</v>
      </c>
      <c r="E126" s="510">
        <f t="shared" si="10"/>
        <v>1476450</v>
      </c>
      <c r="F126" s="511">
        <v>1476450</v>
      </c>
      <c r="G126" s="769">
        <f t="shared" si="20"/>
        <v>1476450</v>
      </c>
      <c r="H126" s="774">
        <f t="shared" si="14"/>
        <v>1476450</v>
      </c>
      <c r="I126" s="512">
        <f t="shared" si="17"/>
        <v>0</v>
      </c>
      <c r="J126" s="513">
        <f t="shared" si="16"/>
        <v>0</v>
      </c>
      <c r="K126" s="521"/>
    </row>
    <row r="127" spans="1:11" s="514" customFormat="1" ht="21.75" customHeight="1" x14ac:dyDescent="0.3">
      <c r="A127" s="443">
        <f t="shared" si="15"/>
        <v>119</v>
      </c>
      <c r="B127" s="507" t="s">
        <v>2113</v>
      </c>
      <c r="C127" s="508" t="s">
        <v>40</v>
      </c>
      <c r="D127" s="509">
        <v>4</v>
      </c>
      <c r="E127" s="510">
        <f t="shared" si="10"/>
        <v>460.2</v>
      </c>
      <c r="F127" s="511">
        <v>1840.8</v>
      </c>
      <c r="G127" s="769">
        <f t="shared" si="20"/>
        <v>460.2</v>
      </c>
      <c r="H127" s="774">
        <f t="shared" si="14"/>
        <v>1840.8</v>
      </c>
      <c r="I127" s="512">
        <f t="shared" si="17"/>
        <v>0</v>
      </c>
      <c r="J127" s="513">
        <f t="shared" si="16"/>
        <v>0</v>
      </c>
      <c r="K127" s="521"/>
    </row>
    <row r="128" spans="1:11" s="514" customFormat="1" ht="21.75" customHeight="1" x14ac:dyDescent="0.3">
      <c r="A128" s="443">
        <f t="shared" si="15"/>
        <v>120</v>
      </c>
      <c r="B128" s="507" t="s">
        <v>2121</v>
      </c>
      <c r="C128" s="508" t="s">
        <v>5</v>
      </c>
      <c r="D128" s="509">
        <v>1</v>
      </c>
      <c r="E128" s="510">
        <f t="shared" si="10"/>
        <v>430.22</v>
      </c>
      <c r="F128" s="511">
        <v>430.22</v>
      </c>
      <c r="G128" s="769">
        <f t="shared" si="20"/>
        <v>430.22</v>
      </c>
      <c r="H128" s="774">
        <f t="shared" si="14"/>
        <v>430.22</v>
      </c>
      <c r="I128" s="512">
        <f t="shared" si="17"/>
        <v>0</v>
      </c>
      <c r="J128" s="513">
        <f t="shared" si="16"/>
        <v>0</v>
      </c>
      <c r="K128" s="521"/>
    </row>
    <row r="129" spans="1:11" s="514" customFormat="1" ht="21.75" customHeight="1" x14ac:dyDescent="0.3">
      <c r="A129" s="443">
        <f t="shared" si="15"/>
        <v>121</v>
      </c>
      <c r="B129" s="507" t="s">
        <v>2115</v>
      </c>
      <c r="C129" s="508" t="s">
        <v>40</v>
      </c>
      <c r="D129" s="509">
        <v>1</v>
      </c>
      <c r="E129" s="510">
        <f t="shared" si="10"/>
        <v>81600</v>
      </c>
      <c r="F129" s="511">
        <v>81600</v>
      </c>
      <c r="G129" s="769">
        <f t="shared" si="20"/>
        <v>81600</v>
      </c>
      <c r="H129" s="774">
        <f t="shared" si="14"/>
        <v>81600</v>
      </c>
      <c r="I129" s="512">
        <f t="shared" si="17"/>
        <v>0</v>
      </c>
      <c r="J129" s="513">
        <f t="shared" si="16"/>
        <v>0</v>
      </c>
      <c r="K129" s="521"/>
    </row>
    <row r="130" spans="1:11" s="514" customFormat="1" ht="21.75" customHeight="1" x14ac:dyDescent="0.3">
      <c r="A130" s="443">
        <f t="shared" si="15"/>
        <v>122</v>
      </c>
      <c r="B130" s="507" t="s">
        <v>2116</v>
      </c>
      <c r="C130" s="508" t="s">
        <v>40</v>
      </c>
      <c r="D130" s="509">
        <v>1</v>
      </c>
      <c r="E130" s="510">
        <f t="shared" si="10"/>
        <v>81600</v>
      </c>
      <c r="F130" s="511">
        <v>81600</v>
      </c>
      <c r="G130" s="769">
        <f t="shared" si="20"/>
        <v>81600</v>
      </c>
      <c r="H130" s="774">
        <f t="shared" si="14"/>
        <v>81600</v>
      </c>
      <c r="I130" s="512">
        <f t="shared" si="17"/>
        <v>0</v>
      </c>
      <c r="J130" s="513">
        <f t="shared" si="16"/>
        <v>0</v>
      </c>
      <c r="K130" s="521"/>
    </row>
    <row r="131" spans="1:11" s="514" customFormat="1" ht="21.75" customHeight="1" x14ac:dyDescent="0.3">
      <c r="A131" s="443">
        <f t="shared" si="15"/>
        <v>123</v>
      </c>
      <c r="B131" s="507" t="s">
        <v>2117</v>
      </c>
      <c r="C131" s="508" t="s">
        <v>40</v>
      </c>
      <c r="D131" s="509">
        <v>1</v>
      </c>
      <c r="E131" s="510">
        <f t="shared" si="10"/>
        <v>552967.5</v>
      </c>
      <c r="F131" s="511">
        <v>552967.5</v>
      </c>
      <c r="G131" s="769">
        <f t="shared" si="20"/>
        <v>552967.5</v>
      </c>
      <c r="H131" s="774">
        <f t="shared" si="14"/>
        <v>552967.5</v>
      </c>
      <c r="I131" s="512">
        <f t="shared" si="17"/>
        <v>0</v>
      </c>
      <c r="J131" s="513">
        <f t="shared" si="16"/>
        <v>0</v>
      </c>
      <c r="K131" s="521"/>
    </row>
    <row r="132" spans="1:11" s="514" customFormat="1" ht="21.75" customHeight="1" x14ac:dyDescent="0.3">
      <c r="A132" s="443">
        <f t="shared" si="15"/>
        <v>124</v>
      </c>
      <c r="B132" s="507" t="s">
        <v>2118</v>
      </c>
      <c r="C132" s="508" t="s">
        <v>40</v>
      </c>
      <c r="D132" s="509">
        <v>1</v>
      </c>
      <c r="E132" s="510">
        <f t="shared" si="10"/>
        <v>169408.53</v>
      </c>
      <c r="F132" s="511">
        <v>169408.53</v>
      </c>
      <c r="G132" s="769">
        <v>169408.53</v>
      </c>
      <c r="H132" s="774">
        <f t="shared" si="14"/>
        <v>169408.53</v>
      </c>
      <c r="I132" s="512">
        <f t="shared" si="17"/>
        <v>0</v>
      </c>
      <c r="J132" s="513">
        <f t="shared" si="16"/>
        <v>0</v>
      </c>
      <c r="K132" s="521"/>
    </row>
    <row r="133" spans="1:11" s="514" customFormat="1" ht="21.75" customHeight="1" x14ac:dyDescent="0.3">
      <c r="A133" s="443">
        <f t="shared" si="15"/>
        <v>125</v>
      </c>
      <c r="B133" s="507" t="s">
        <v>2119</v>
      </c>
      <c r="C133" s="508" t="s">
        <v>40</v>
      </c>
      <c r="D133" s="509">
        <v>1</v>
      </c>
      <c r="E133" s="510">
        <f>ROUND(F133/D133,2)</f>
        <v>38250</v>
      </c>
      <c r="F133" s="511">
        <v>38250</v>
      </c>
      <c r="G133" s="769">
        <f t="shared" si="20"/>
        <v>38250</v>
      </c>
      <c r="H133" s="774">
        <f t="shared" si="14"/>
        <v>38250</v>
      </c>
      <c r="I133" s="512">
        <f>E133-G133</f>
        <v>0</v>
      </c>
      <c r="J133" s="513">
        <f t="shared" si="16"/>
        <v>0</v>
      </c>
      <c r="K133" s="521"/>
    </row>
    <row r="134" spans="1:11" s="514" customFormat="1" ht="21.75" customHeight="1" x14ac:dyDescent="0.3">
      <c r="A134" s="443">
        <f t="shared" si="15"/>
        <v>126</v>
      </c>
      <c r="B134" s="507" t="s">
        <v>2120</v>
      </c>
      <c r="C134" s="508" t="s">
        <v>40</v>
      </c>
      <c r="D134" s="509">
        <v>1</v>
      </c>
      <c r="E134" s="510">
        <f t="shared" si="10"/>
        <v>25500</v>
      </c>
      <c r="F134" s="511">
        <v>25500</v>
      </c>
      <c r="G134" s="769">
        <f t="shared" si="20"/>
        <v>25500</v>
      </c>
      <c r="H134" s="774">
        <f t="shared" si="14"/>
        <v>25500</v>
      </c>
      <c r="I134" s="512">
        <f t="shared" ref="I134" si="21">E134-G134</f>
        <v>0</v>
      </c>
      <c r="J134" s="513">
        <f t="shared" si="16"/>
        <v>0</v>
      </c>
      <c r="K134" s="521"/>
    </row>
    <row r="135" spans="1:11" s="483" customFormat="1" ht="19.5" customHeight="1" x14ac:dyDescent="0.35">
      <c r="A135" s="485"/>
      <c r="B135" s="920" t="s">
        <v>2040</v>
      </c>
      <c r="C135" s="921"/>
      <c r="D135" s="921"/>
      <c r="E135" s="684"/>
      <c r="F135" s="685">
        <f>SUM(F75:F134)</f>
        <v>11186243.100000001</v>
      </c>
      <c r="G135" s="778"/>
      <c r="H135" s="779">
        <f>SUM(H75:H134)</f>
        <v>11183998.2512</v>
      </c>
      <c r="I135" s="686"/>
      <c r="J135" s="685">
        <f>SUM(J75:J134)</f>
        <v>2244.8499999999985</v>
      </c>
      <c r="K135" s="490"/>
    </row>
    <row r="136" spans="1:11" s="692" customFormat="1" ht="21" customHeight="1" x14ac:dyDescent="0.3">
      <c r="A136" s="693"/>
      <c r="B136" s="981" t="s">
        <v>2122</v>
      </c>
      <c r="C136" s="982"/>
      <c r="D136" s="982"/>
      <c r="E136" s="982"/>
      <c r="F136" s="982"/>
      <c r="G136" s="982"/>
      <c r="H136" s="982"/>
      <c r="I136" s="982"/>
      <c r="J136" s="982"/>
      <c r="K136" s="690"/>
    </row>
    <row r="137" spans="1:11" ht="23.25" customHeight="1" x14ac:dyDescent="0.3">
      <c r="A137" s="443">
        <f>A134+1</f>
        <v>127</v>
      </c>
      <c r="B137" s="428" t="s">
        <v>2056</v>
      </c>
      <c r="C137" s="442" t="s">
        <v>5</v>
      </c>
      <c r="D137" s="492">
        <v>4.032</v>
      </c>
      <c r="E137" s="647">
        <f t="shared" ref="E137:E138" si="22">ROUND(F137/D137,2)</f>
        <v>281.3</v>
      </c>
      <c r="F137" s="648">
        <v>1134.2</v>
      </c>
      <c r="G137" s="767">
        <v>416</v>
      </c>
      <c r="H137" s="768">
        <f t="shared" ref="H137:H199" si="23">G137*D137</f>
        <v>1677.3119999999999</v>
      </c>
      <c r="I137" s="482">
        <f t="shared" ref="I137:J141" si="24">E137-G137</f>
        <v>-134.69999999999999</v>
      </c>
      <c r="J137" s="481">
        <f t="shared" si="24"/>
        <v>-543.11199999999985</v>
      </c>
      <c r="K137" s="519"/>
    </row>
    <row r="138" spans="1:11" s="514" customFormat="1" ht="21.75" customHeight="1" x14ac:dyDescent="0.3">
      <c r="A138" s="443">
        <f>A137+1</f>
        <v>128</v>
      </c>
      <c r="B138" s="507" t="s">
        <v>2057</v>
      </c>
      <c r="C138" s="508" t="s">
        <v>364</v>
      </c>
      <c r="D138" s="731">
        <v>2</v>
      </c>
      <c r="E138" s="510">
        <f t="shared" si="22"/>
        <v>66.3</v>
      </c>
      <c r="F138" s="511">
        <v>132.6</v>
      </c>
      <c r="G138" s="769">
        <f t="shared" ref="G138:G139" si="25">E138</f>
        <v>66.3</v>
      </c>
      <c r="H138" s="768">
        <f t="shared" si="23"/>
        <v>132.6</v>
      </c>
      <c r="I138" s="512">
        <f t="shared" si="24"/>
        <v>0</v>
      </c>
      <c r="J138" s="513">
        <f t="shared" si="24"/>
        <v>0</v>
      </c>
      <c r="K138" s="521"/>
    </row>
    <row r="139" spans="1:11" s="514" customFormat="1" ht="21.75" customHeight="1" x14ac:dyDescent="0.3">
      <c r="A139" s="443">
        <f t="shared" ref="A139:A199" si="26">A138+1</f>
        <v>129</v>
      </c>
      <c r="B139" s="507" t="s">
        <v>2058</v>
      </c>
      <c r="C139" s="508" t="s">
        <v>5</v>
      </c>
      <c r="D139" s="731">
        <v>87</v>
      </c>
      <c r="E139" s="510">
        <f>ROUND(F139/D139,2)</f>
        <v>238.68</v>
      </c>
      <c r="F139" s="511">
        <f>20765.16</f>
        <v>20765.16</v>
      </c>
      <c r="G139" s="769">
        <f t="shared" si="25"/>
        <v>238.68</v>
      </c>
      <c r="H139" s="768">
        <f t="shared" si="23"/>
        <v>20765.16</v>
      </c>
      <c r="I139" s="512">
        <f t="shared" si="24"/>
        <v>0</v>
      </c>
      <c r="J139" s="513">
        <f t="shared" si="24"/>
        <v>0</v>
      </c>
      <c r="K139" s="521"/>
    </row>
    <row r="140" spans="1:11" s="514" customFormat="1" ht="21.75" customHeight="1" x14ac:dyDescent="0.3">
      <c r="A140" s="443">
        <f t="shared" si="26"/>
        <v>130</v>
      </c>
      <c r="B140" s="507" t="s">
        <v>2059</v>
      </c>
      <c r="C140" s="508" t="s">
        <v>40</v>
      </c>
      <c r="D140" s="731">
        <v>1</v>
      </c>
      <c r="E140" s="510">
        <f>ROUND(F140/D140,2)</f>
        <v>160.65</v>
      </c>
      <c r="F140" s="511">
        <v>160.65</v>
      </c>
      <c r="G140" s="769">
        <f>E140</f>
        <v>160.65</v>
      </c>
      <c r="H140" s="768">
        <f t="shared" si="23"/>
        <v>160.65</v>
      </c>
      <c r="I140" s="512">
        <f t="shared" si="24"/>
        <v>0</v>
      </c>
      <c r="J140" s="513">
        <f t="shared" si="24"/>
        <v>0</v>
      </c>
      <c r="K140" s="521"/>
    </row>
    <row r="141" spans="1:11" ht="23.25" customHeight="1" x14ac:dyDescent="0.3">
      <c r="A141" s="443">
        <f t="shared" si="26"/>
        <v>131</v>
      </c>
      <c r="B141" s="428" t="s">
        <v>2061</v>
      </c>
      <c r="C141" s="442" t="s">
        <v>17</v>
      </c>
      <c r="D141" s="442">
        <f>1.49+3.256</f>
        <v>4.7459999999999996</v>
      </c>
      <c r="E141" s="647">
        <f>ROUND(F141/D141,2)</f>
        <v>516.53</v>
      </c>
      <c r="F141" s="648">
        <f>769.65+1681.79</f>
        <v>2451.44</v>
      </c>
      <c r="G141" s="767">
        <v>800</v>
      </c>
      <c r="H141" s="768">
        <f t="shared" si="23"/>
        <v>3796.7999999999997</v>
      </c>
      <c r="I141" s="482">
        <f t="shared" si="24"/>
        <v>-283.47000000000003</v>
      </c>
      <c r="J141" s="481">
        <f t="shared" ref="J141:J199" si="27">ROUND(F141-H141,2)</f>
        <v>-1345.36</v>
      </c>
    </row>
    <row r="142" spans="1:11" s="514" customFormat="1" ht="21.75" customHeight="1" x14ac:dyDescent="0.3">
      <c r="A142" s="443">
        <f t="shared" si="26"/>
        <v>132</v>
      </c>
      <c r="B142" s="507" t="s">
        <v>2062</v>
      </c>
      <c r="C142" s="508" t="s">
        <v>5</v>
      </c>
      <c r="D142" s="509">
        <f>10*1.1</f>
        <v>11</v>
      </c>
      <c r="E142" s="510">
        <f t="shared" ref="E142:E197" si="28">ROUND(F142/D142,2)</f>
        <v>142.80000000000001</v>
      </c>
      <c r="F142" s="511">
        <v>1570.8</v>
      </c>
      <c r="G142" s="769">
        <f>E142</f>
        <v>142.80000000000001</v>
      </c>
      <c r="H142" s="768">
        <f t="shared" si="23"/>
        <v>1570.8000000000002</v>
      </c>
      <c r="I142" s="512">
        <f>E142-G142</f>
        <v>0</v>
      </c>
      <c r="J142" s="513">
        <f t="shared" si="27"/>
        <v>0</v>
      </c>
      <c r="K142" s="521"/>
    </row>
    <row r="143" spans="1:11" ht="23.25" customHeight="1" x14ac:dyDescent="0.3">
      <c r="A143" s="443">
        <f t="shared" si="26"/>
        <v>133</v>
      </c>
      <c r="B143" s="428" t="s">
        <v>2063</v>
      </c>
      <c r="C143" s="442" t="s">
        <v>5</v>
      </c>
      <c r="D143" s="493">
        <f>20*1.1</f>
        <v>22</v>
      </c>
      <c r="E143" s="647">
        <f t="shared" si="28"/>
        <v>49.08</v>
      </c>
      <c r="F143" s="648">
        <v>1079.69</v>
      </c>
      <c r="G143" s="767">
        <v>63</v>
      </c>
      <c r="H143" s="768">
        <f t="shared" si="23"/>
        <v>1386</v>
      </c>
      <c r="I143" s="482">
        <f>E143-G143</f>
        <v>-13.920000000000002</v>
      </c>
      <c r="J143" s="481">
        <f t="shared" si="27"/>
        <v>-306.31</v>
      </c>
    </row>
    <row r="144" spans="1:11" ht="23.25" customHeight="1" x14ac:dyDescent="0.3">
      <c r="A144" s="443">
        <f t="shared" si="26"/>
        <v>134</v>
      </c>
      <c r="B144" s="428" t="s">
        <v>2064</v>
      </c>
      <c r="C144" s="442" t="s">
        <v>2065</v>
      </c>
      <c r="D144" s="493">
        <v>4</v>
      </c>
      <c r="E144" s="647">
        <f t="shared" si="28"/>
        <v>21.96</v>
      </c>
      <c r="F144" s="648">
        <v>87.82</v>
      </c>
      <c r="G144" s="767">
        <v>308</v>
      </c>
      <c r="H144" s="768">
        <f t="shared" si="23"/>
        <v>1232</v>
      </c>
      <c r="I144" s="482">
        <f>E144-G144</f>
        <v>-286.04000000000002</v>
      </c>
      <c r="J144" s="481">
        <f t="shared" si="27"/>
        <v>-1144.18</v>
      </c>
    </row>
    <row r="145" spans="1:11" ht="23.25" customHeight="1" x14ac:dyDescent="0.3">
      <c r="A145" s="443">
        <f t="shared" si="26"/>
        <v>135</v>
      </c>
      <c r="B145" s="428" t="s">
        <v>2066</v>
      </c>
      <c r="C145" s="442" t="s">
        <v>40</v>
      </c>
      <c r="D145" s="493">
        <v>6</v>
      </c>
      <c r="E145" s="647">
        <f t="shared" si="28"/>
        <v>1403.69</v>
      </c>
      <c r="F145" s="648">
        <v>8422.1299999999992</v>
      </c>
      <c r="G145" s="767">
        <v>2750</v>
      </c>
      <c r="H145" s="768">
        <f t="shared" si="23"/>
        <v>16500</v>
      </c>
      <c r="I145" s="482">
        <f t="shared" ref="I145:J197" si="29">E145-G145</f>
        <v>-1346.31</v>
      </c>
      <c r="J145" s="481">
        <f t="shared" si="27"/>
        <v>-8077.87</v>
      </c>
    </row>
    <row r="146" spans="1:11" ht="23.25" customHeight="1" x14ac:dyDescent="0.3">
      <c r="A146" s="443">
        <f t="shared" si="26"/>
        <v>136</v>
      </c>
      <c r="B146" s="428" t="s">
        <v>2067</v>
      </c>
      <c r="C146" s="442" t="s">
        <v>5</v>
      </c>
      <c r="D146" s="492">
        <f>10*1.02</f>
        <v>10.199999999999999</v>
      </c>
      <c r="E146" s="647">
        <f t="shared" si="28"/>
        <v>184.6</v>
      </c>
      <c r="F146" s="648">
        <v>1882.92</v>
      </c>
      <c r="G146" s="767">
        <v>274</v>
      </c>
      <c r="H146" s="768">
        <f t="shared" si="23"/>
        <v>2794.7999999999997</v>
      </c>
      <c r="I146" s="482">
        <f t="shared" si="29"/>
        <v>-89.4</v>
      </c>
      <c r="J146" s="481">
        <f t="shared" si="27"/>
        <v>-911.88</v>
      </c>
    </row>
    <row r="147" spans="1:11" s="514" customFormat="1" ht="21.75" customHeight="1" x14ac:dyDescent="0.3">
      <c r="A147" s="443">
        <f t="shared" si="26"/>
        <v>137</v>
      </c>
      <c r="B147" s="507" t="s">
        <v>2068</v>
      </c>
      <c r="C147" s="508" t="s">
        <v>5</v>
      </c>
      <c r="D147" s="516">
        <f>26*1.02</f>
        <v>26.52</v>
      </c>
      <c r="E147" s="510">
        <f t="shared" si="28"/>
        <v>490.88</v>
      </c>
      <c r="F147" s="511">
        <v>13018.14</v>
      </c>
      <c r="G147" s="769">
        <f t="shared" ref="G147:G157" si="30">E147</f>
        <v>490.88</v>
      </c>
      <c r="H147" s="768">
        <f t="shared" si="23"/>
        <v>13018.1376</v>
      </c>
      <c r="I147" s="512">
        <f t="shared" si="29"/>
        <v>0</v>
      </c>
      <c r="J147" s="513">
        <f t="shared" si="27"/>
        <v>0</v>
      </c>
      <c r="K147" s="521"/>
    </row>
    <row r="148" spans="1:11" s="514" customFormat="1" ht="21.75" customHeight="1" x14ac:dyDescent="0.3">
      <c r="A148" s="443">
        <f t="shared" si="26"/>
        <v>138</v>
      </c>
      <c r="B148" s="507" t="s">
        <v>2069</v>
      </c>
      <c r="C148" s="508" t="s">
        <v>5</v>
      </c>
      <c r="D148" s="516">
        <f>48*1.02</f>
        <v>48.96</v>
      </c>
      <c r="E148" s="510">
        <f t="shared" si="28"/>
        <v>210.38</v>
      </c>
      <c r="F148" s="511">
        <v>10300.200000000001</v>
      </c>
      <c r="G148" s="769">
        <f t="shared" si="30"/>
        <v>210.38</v>
      </c>
      <c r="H148" s="768">
        <f t="shared" si="23"/>
        <v>10300.2048</v>
      </c>
      <c r="I148" s="512">
        <f t="shared" si="29"/>
        <v>0</v>
      </c>
      <c r="J148" s="513">
        <f t="shared" si="27"/>
        <v>0</v>
      </c>
      <c r="K148" s="521"/>
    </row>
    <row r="149" spans="1:11" s="514" customFormat="1" ht="21.75" customHeight="1" x14ac:dyDescent="0.3">
      <c r="A149" s="443">
        <f t="shared" si="26"/>
        <v>139</v>
      </c>
      <c r="B149" s="507" t="s">
        <v>2070</v>
      </c>
      <c r="C149" s="508" t="s">
        <v>5</v>
      </c>
      <c r="D149" s="516">
        <f>10*1.02</f>
        <v>10.199999999999999</v>
      </c>
      <c r="E149" s="510">
        <f t="shared" si="28"/>
        <v>490.88</v>
      </c>
      <c r="F149" s="511">
        <v>5006.9799999999996</v>
      </c>
      <c r="G149" s="769">
        <f t="shared" si="30"/>
        <v>490.88</v>
      </c>
      <c r="H149" s="768">
        <f t="shared" si="23"/>
        <v>5006.9759999999997</v>
      </c>
      <c r="I149" s="512">
        <f t="shared" si="29"/>
        <v>0</v>
      </c>
      <c r="J149" s="513">
        <f t="shared" si="27"/>
        <v>0</v>
      </c>
      <c r="K149" s="521"/>
    </row>
    <row r="150" spans="1:11" s="514" customFormat="1" ht="21.75" customHeight="1" x14ac:dyDescent="0.3">
      <c r="A150" s="443">
        <f t="shared" si="26"/>
        <v>140</v>
      </c>
      <c r="B150" s="507" t="s">
        <v>2071</v>
      </c>
      <c r="C150" s="508" t="s">
        <v>5</v>
      </c>
      <c r="D150" s="516">
        <f>10*1.02</f>
        <v>10.199999999999999</v>
      </c>
      <c r="E150" s="510">
        <f t="shared" si="28"/>
        <v>660.24</v>
      </c>
      <c r="F150" s="511">
        <v>6734.45</v>
      </c>
      <c r="G150" s="769">
        <f t="shared" si="30"/>
        <v>660.24</v>
      </c>
      <c r="H150" s="768">
        <f t="shared" si="23"/>
        <v>6734.4479999999994</v>
      </c>
      <c r="I150" s="512">
        <f t="shared" si="29"/>
        <v>0</v>
      </c>
      <c r="J150" s="513">
        <f t="shared" si="27"/>
        <v>0</v>
      </c>
      <c r="K150" s="521"/>
    </row>
    <row r="151" spans="1:11" s="514" customFormat="1" ht="21.75" customHeight="1" x14ac:dyDescent="0.3">
      <c r="A151" s="443">
        <f t="shared" si="26"/>
        <v>141</v>
      </c>
      <c r="B151" s="507" t="s">
        <v>2072</v>
      </c>
      <c r="C151" s="508" t="s">
        <v>5</v>
      </c>
      <c r="D151" s="516">
        <f>48*1.02</f>
        <v>48.96</v>
      </c>
      <c r="E151" s="510">
        <f t="shared" si="28"/>
        <v>373.58</v>
      </c>
      <c r="F151" s="511">
        <v>18290.48</v>
      </c>
      <c r="G151" s="769">
        <f t="shared" si="30"/>
        <v>373.58</v>
      </c>
      <c r="H151" s="768">
        <f t="shared" si="23"/>
        <v>18290.4768</v>
      </c>
      <c r="I151" s="512">
        <f t="shared" si="29"/>
        <v>0</v>
      </c>
      <c r="J151" s="513">
        <f t="shared" si="27"/>
        <v>0</v>
      </c>
      <c r="K151" s="521"/>
    </row>
    <row r="152" spans="1:11" s="514" customFormat="1" ht="21.75" customHeight="1" x14ac:dyDescent="0.3">
      <c r="A152" s="443">
        <f t="shared" si="26"/>
        <v>142</v>
      </c>
      <c r="B152" s="507" t="s">
        <v>2073</v>
      </c>
      <c r="C152" s="508" t="s">
        <v>40</v>
      </c>
      <c r="D152" s="509">
        <v>1</v>
      </c>
      <c r="E152" s="510">
        <f t="shared" si="28"/>
        <v>35548.28</v>
      </c>
      <c r="F152" s="511">
        <v>35548.28</v>
      </c>
      <c r="G152" s="769">
        <f t="shared" si="30"/>
        <v>35548.28</v>
      </c>
      <c r="H152" s="768">
        <f t="shared" si="23"/>
        <v>35548.28</v>
      </c>
      <c r="I152" s="512">
        <f t="shared" si="29"/>
        <v>0</v>
      </c>
      <c r="J152" s="513">
        <f t="shared" si="27"/>
        <v>0</v>
      </c>
      <c r="K152" s="521"/>
    </row>
    <row r="153" spans="1:11" s="514" customFormat="1" ht="21.75" customHeight="1" x14ac:dyDescent="0.3">
      <c r="A153" s="443">
        <f t="shared" si="26"/>
        <v>143</v>
      </c>
      <c r="B153" s="507" t="s">
        <v>2074</v>
      </c>
      <c r="C153" s="508" t="s">
        <v>40</v>
      </c>
      <c r="D153" s="509">
        <v>2</v>
      </c>
      <c r="E153" s="510">
        <f t="shared" si="28"/>
        <v>323</v>
      </c>
      <c r="F153" s="511">
        <f>646</f>
        <v>646</v>
      </c>
      <c r="G153" s="769">
        <f t="shared" si="30"/>
        <v>323</v>
      </c>
      <c r="H153" s="768">
        <f t="shared" si="23"/>
        <v>646</v>
      </c>
      <c r="I153" s="512">
        <f t="shared" si="29"/>
        <v>0</v>
      </c>
      <c r="J153" s="513">
        <f t="shared" si="27"/>
        <v>0</v>
      </c>
      <c r="K153" s="521"/>
    </row>
    <row r="154" spans="1:11" s="514" customFormat="1" ht="21.75" customHeight="1" x14ac:dyDescent="0.3">
      <c r="A154" s="443">
        <f t="shared" si="26"/>
        <v>144</v>
      </c>
      <c r="B154" s="507" t="s">
        <v>2075</v>
      </c>
      <c r="C154" s="508" t="s">
        <v>40</v>
      </c>
      <c r="D154" s="509">
        <v>2</v>
      </c>
      <c r="E154" s="510">
        <f t="shared" si="28"/>
        <v>510</v>
      </c>
      <c r="F154" s="511">
        <f>1020</f>
        <v>1020</v>
      </c>
      <c r="G154" s="769">
        <f t="shared" si="30"/>
        <v>510</v>
      </c>
      <c r="H154" s="768">
        <f t="shared" si="23"/>
        <v>1020</v>
      </c>
      <c r="I154" s="512">
        <f t="shared" si="29"/>
        <v>0</v>
      </c>
      <c r="J154" s="513">
        <f t="shared" si="27"/>
        <v>0</v>
      </c>
      <c r="K154" s="521"/>
    </row>
    <row r="155" spans="1:11" s="514" customFormat="1" ht="21.75" customHeight="1" x14ac:dyDescent="0.3">
      <c r="A155" s="443">
        <f t="shared" si="26"/>
        <v>145</v>
      </c>
      <c r="B155" s="507" t="s">
        <v>2076</v>
      </c>
      <c r="C155" s="508" t="s">
        <v>40</v>
      </c>
      <c r="D155" s="509">
        <v>1</v>
      </c>
      <c r="E155" s="510">
        <f t="shared" si="28"/>
        <v>1419.5</v>
      </c>
      <c r="F155" s="511">
        <f>1419.5</f>
        <v>1419.5</v>
      </c>
      <c r="G155" s="769">
        <f t="shared" si="30"/>
        <v>1419.5</v>
      </c>
      <c r="H155" s="768">
        <f t="shared" si="23"/>
        <v>1419.5</v>
      </c>
      <c r="I155" s="512">
        <f t="shared" si="29"/>
        <v>0</v>
      </c>
      <c r="J155" s="513">
        <f t="shared" si="27"/>
        <v>0</v>
      </c>
      <c r="K155" s="521"/>
    </row>
    <row r="156" spans="1:11" s="514" customFormat="1" ht="21.75" customHeight="1" x14ac:dyDescent="0.3">
      <c r="A156" s="443">
        <f t="shared" si="26"/>
        <v>146</v>
      </c>
      <c r="B156" s="507" t="s">
        <v>2077</v>
      </c>
      <c r="C156" s="508" t="s">
        <v>40</v>
      </c>
      <c r="D156" s="509">
        <v>4</v>
      </c>
      <c r="E156" s="510">
        <f t="shared" si="28"/>
        <v>1167.9000000000001</v>
      </c>
      <c r="F156" s="511">
        <f>4671.6</f>
        <v>4671.6000000000004</v>
      </c>
      <c r="G156" s="769">
        <f t="shared" si="30"/>
        <v>1167.9000000000001</v>
      </c>
      <c r="H156" s="768">
        <f t="shared" si="23"/>
        <v>4671.6000000000004</v>
      </c>
      <c r="I156" s="512">
        <f t="shared" si="29"/>
        <v>0</v>
      </c>
      <c r="J156" s="513">
        <f t="shared" si="27"/>
        <v>0</v>
      </c>
      <c r="K156" s="521"/>
    </row>
    <row r="157" spans="1:11" s="514" customFormat="1" ht="21.75" customHeight="1" x14ac:dyDescent="0.3">
      <c r="A157" s="443">
        <f t="shared" si="26"/>
        <v>147</v>
      </c>
      <c r="B157" s="507" t="s">
        <v>2078</v>
      </c>
      <c r="C157" s="508" t="s">
        <v>40</v>
      </c>
      <c r="D157" s="509">
        <v>2</v>
      </c>
      <c r="E157" s="510">
        <f t="shared" si="28"/>
        <v>558.45000000000005</v>
      </c>
      <c r="F157" s="511">
        <v>1116.9000000000001</v>
      </c>
      <c r="G157" s="769">
        <f t="shared" si="30"/>
        <v>558.45000000000005</v>
      </c>
      <c r="H157" s="768">
        <f t="shared" si="23"/>
        <v>1116.9000000000001</v>
      </c>
      <c r="I157" s="512">
        <f t="shared" si="29"/>
        <v>0</v>
      </c>
      <c r="J157" s="513">
        <f t="shared" si="27"/>
        <v>0</v>
      </c>
      <c r="K157" s="521"/>
    </row>
    <row r="158" spans="1:11" ht="23.25" customHeight="1" x14ac:dyDescent="0.3">
      <c r="A158" s="443">
        <f t="shared" si="26"/>
        <v>148</v>
      </c>
      <c r="B158" s="428" t="s">
        <v>377</v>
      </c>
      <c r="C158" s="442" t="s">
        <v>5</v>
      </c>
      <c r="D158" s="493">
        <v>8</v>
      </c>
      <c r="E158" s="647">
        <f t="shared" si="28"/>
        <v>92.81</v>
      </c>
      <c r="F158" s="648">
        <v>742.44</v>
      </c>
      <c r="G158" s="767">
        <v>147</v>
      </c>
      <c r="H158" s="768">
        <f t="shared" si="23"/>
        <v>1176</v>
      </c>
      <c r="I158" s="482">
        <f t="shared" si="29"/>
        <v>-54.19</v>
      </c>
      <c r="J158" s="481">
        <f t="shared" si="27"/>
        <v>-433.56</v>
      </c>
    </row>
    <row r="159" spans="1:11" ht="23.25" customHeight="1" x14ac:dyDescent="0.3">
      <c r="A159" s="443">
        <f t="shared" si="26"/>
        <v>149</v>
      </c>
      <c r="B159" s="428" t="s">
        <v>2079</v>
      </c>
      <c r="C159" s="442" t="s">
        <v>40</v>
      </c>
      <c r="D159" s="493">
        <v>4</v>
      </c>
      <c r="E159" s="647">
        <f t="shared" si="28"/>
        <v>23.76</v>
      </c>
      <c r="F159" s="648">
        <v>95.05</v>
      </c>
      <c r="G159" s="767">
        <v>62</v>
      </c>
      <c r="H159" s="768">
        <f t="shared" si="23"/>
        <v>248</v>
      </c>
      <c r="I159" s="482">
        <f t="shared" si="29"/>
        <v>-38.239999999999995</v>
      </c>
      <c r="J159" s="481">
        <f t="shared" si="27"/>
        <v>-152.94999999999999</v>
      </c>
    </row>
    <row r="160" spans="1:11" ht="23.25" customHeight="1" x14ac:dyDescent="0.3">
      <c r="A160" s="443">
        <f t="shared" si="26"/>
        <v>150</v>
      </c>
      <c r="B160" s="428" t="s">
        <v>2080</v>
      </c>
      <c r="C160" s="442" t="s">
        <v>5</v>
      </c>
      <c r="D160" s="492">
        <f>8*1.03</f>
        <v>8.24</v>
      </c>
      <c r="E160" s="647">
        <f t="shared" si="28"/>
        <v>68.81</v>
      </c>
      <c r="F160" s="648">
        <v>566.97</v>
      </c>
      <c r="G160" s="767">
        <v>162</v>
      </c>
      <c r="H160" s="768">
        <f t="shared" si="23"/>
        <v>1334.88</v>
      </c>
      <c r="I160" s="482">
        <f t="shared" si="29"/>
        <v>-93.19</v>
      </c>
      <c r="J160" s="481">
        <f t="shared" si="27"/>
        <v>-767.91</v>
      </c>
    </row>
    <row r="161" spans="1:11" s="514" customFormat="1" ht="21.75" customHeight="1" x14ac:dyDescent="0.3">
      <c r="A161" s="443">
        <f t="shared" si="26"/>
        <v>151</v>
      </c>
      <c r="B161" s="507" t="s">
        <v>2081</v>
      </c>
      <c r="C161" s="508" t="s">
        <v>40</v>
      </c>
      <c r="D161" s="509">
        <v>1</v>
      </c>
      <c r="E161" s="510">
        <f t="shared" si="28"/>
        <v>1982265.12</v>
      </c>
      <c r="F161" s="511">
        <v>1982265.12</v>
      </c>
      <c r="G161" s="780">
        <v>1958760</v>
      </c>
      <c r="H161" s="768">
        <f t="shared" si="23"/>
        <v>1958760</v>
      </c>
      <c r="I161" s="512">
        <f t="shared" si="29"/>
        <v>23505.120000000112</v>
      </c>
      <c r="J161" s="513">
        <f t="shared" si="27"/>
        <v>23505.119999999999</v>
      </c>
      <c r="K161" s="521"/>
    </row>
    <row r="162" spans="1:11" s="514" customFormat="1" ht="34.5" customHeight="1" x14ac:dyDescent="0.3">
      <c r="A162" s="443">
        <f t="shared" si="26"/>
        <v>152</v>
      </c>
      <c r="B162" s="507" t="s">
        <v>2082</v>
      </c>
      <c r="C162" s="508" t="s">
        <v>40</v>
      </c>
      <c r="D162" s="509">
        <v>4</v>
      </c>
      <c r="E162" s="510">
        <f t="shared" si="28"/>
        <v>31450</v>
      </c>
      <c r="F162" s="511">
        <v>125800</v>
      </c>
      <c r="G162" s="769">
        <f t="shared" ref="G162:G169" si="31">E162</f>
        <v>31450</v>
      </c>
      <c r="H162" s="768">
        <f t="shared" si="23"/>
        <v>125800</v>
      </c>
      <c r="I162" s="512">
        <f t="shared" si="29"/>
        <v>0</v>
      </c>
      <c r="J162" s="513">
        <f t="shared" si="27"/>
        <v>0</v>
      </c>
      <c r="K162" s="521"/>
    </row>
    <row r="163" spans="1:11" s="514" customFormat="1" ht="21.75" customHeight="1" x14ac:dyDescent="0.3">
      <c r="A163" s="443">
        <f t="shared" si="26"/>
        <v>153</v>
      </c>
      <c r="B163" s="507" t="s">
        <v>2083</v>
      </c>
      <c r="C163" s="508" t="s">
        <v>40</v>
      </c>
      <c r="D163" s="509">
        <v>4</v>
      </c>
      <c r="E163" s="510">
        <f t="shared" si="28"/>
        <v>106250</v>
      </c>
      <c r="F163" s="511">
        <v>425000</v>
      </c>
      <c r="G163" s="769">
        <f t="shared" si="31"/>
        <v>106250</v>
      </c>
      <c r="H163" s="768">
        <f t="shared" si="23"/>
        <v>425000</v>
      </c>
      <c r="I163" s="512">
        <f t="shared" si="29"/>
        <v>0</v>
      </c>
      <c r="J163" s="513">
        <f t="shared" si="27"/>
        <v>0</v>
      </c>
      <c r="K163" s="521"/>
    </row>
    <row r="164" spans="1:11" s="514" customFormat="1" ht="21.75" customHeight="1" x14ac:dyDescent="0.3">
      <c r="A164" s="443">
        <f t="shared" si="26"/>
        <v>154</v>
      </c>
      <c r="B164" s="507" t="s">
        <v>2084</v>
      </c>
      <c r="C164" s="508" t="s">
        <v>40</v>
      </c>
      <c r="D164" s="509">
        <v>19</v>
      </c>
      <c r="E164" s="510">
        <f t="shared" si="28"/>
        <v>638.35</v>
      </c>
      <c r="F164" s="511">
        <v>12128.65</v>
      </c>
      <c r="G164" s="769">
        <f t="shared" si="31"/>
        <v>638.35</v>
      </c>
      <c r="H164" s="768">
        <f t="shared" si="23"/>
        <v>12128.65</v>
      </c>
      <c r="I164" s="512">
        <f t="shared" si="29"/>
        <v>0</v>
      </c>
      <c r="J164" s="513">
        <f t="shared" si="27"/>
        <v>0</v>
      </c>
      <c r="K164" s="521"/>
    </row>
    <row r="165" spans="1:11" s="514" customFormat="1" ht="21" customHeight="1" x14ac:dyDescent="0.3">
      <c r="A165" s="443">
        <f t="shared" si="26"/>
        <v>155</v>
      </c>
      <c r="B165" s="507" t="s">
        <v>2085</v>
      </c>
      <c r="C165" s="508" t="s">
        <v>40</v>
      </c>
      <c r="D165" s="509">
        <v>22</v>
      </c>
      <c r="E165" s="510">
        <f t="shared" si="28"/>
        <v>3581.9</v>
      </c>
      <c r="F165" s="511">
        <v>78801.8</v>
      </c>
      <c r="G165" s="769">
        <f t="shared" si="31"/>
        <v>3581.9</v>
      </c>
      <c r="H165" s="768">
        <f t="shared" si="23"/>
        <v>78801.8</v>
      </c>
      <c r="I165" s="512">
        <f t="shared" si="29"/>
        <v>0</v>
      </c>
      <c r="J165" s="513">
        <f t="shared" si="27"/>
        <v>0</v>
      </c>
      <c r="K165" s="521"/>
    </row>
    <row r="166" spans="1:11" ht="24" customHeight="1" x14ac:dyDescent="0.3">
      <c r="A166" s="443">
        <f t="shared" si="26"/>
        <v>156</v>
      </c>
      <c r="B166" s="507" t="s">
        <v>2086</v>
      </c>
      <c r="C166" s="732" t="s">
        <v>364</v>
      </c>
      <c r="D166" s="732">
        <v>2</v>
      </c>
      <c r="E166" s="510">
        <f t="shared" si="28"/>
        <v>3581.9</v>
      </c>
      <c r="F166" s="511">
        <v>7163.8</v>
      </c>
      <c r="G166" s="769">
        <f t="shared" si="31"/>
        <v>3581.9</v>
      </c>
      <c r="H166" s="768">
        <f t="shared" si="23"/>
        <v>7163.8</v>
      </c>
      <c r="I166" s="512">
        <f t="shared" si="29"/>
        <v>0</v>
      </c>
      <c r="J166" s="513">
        <f t="shared" si="29"/>
        <v>0</v>
      </c>
      <c r="K166" s="520"/>
    </row>
    <row r="167" spans="1:11" s="514" customFormat="1" ht="21.75" customHeight="1" x14ac:dyDescent="0.3">
      <c r="A167" s="443">
        <f t="shared" si="26"/>
        <v>157</v>
      </c>
      <c r="B167" s="507" t="s">
        <v>2087</v>
      </c>
      <c r="C167" s="508" t="s">
        <v>5</v>
      </c>
      <c r="D167" s="509">
        <f>178</f>
        <v>178</v>
      </c>
      <c r="E167" s="510">
        <f t="shared" si="28"/>
        <v>168.3</v>
      </c>
      <c r="F167" s="511">
        <v>29957.4</v>
      </c>
      <c r="G167" s="769">
        <f t="shared" si="31"/>
        <v>168.3</v>
      </c>
      <c r="H167" s="768">
        <f t="shared" si="23"/>
        <v>29957.4</v>
      </c>
      <c r="I167" s="512">
        <f t="shared" si="29"/>
        <v>0</v>
      </c>
      <c r="J167" s="513">
        <f t="shared" si="27"/>
        <v>0</v>
      </c>
      <c r="K167" s="521"/>
    </row>
    <row r="168" spans="1:11" s="514" customFormat="1" ht="21" customHeight="1" x14ac:dyDescent="0.3">
      <c r="A168" s="443">
        <f t="shared" si="26"/>
        <v>158</v>
      </c>
      <c r="B168" s="507" t="s">
        <v>2088</v>
      </c>
      <c r="C168" s="508" t="s">
        <v>40</v>
      </c>
      <c r="D168" s="509">
        <v>12</v>
      </c>
      <c r="E168" s="510">
        <f t="shared" si="28"/>
        <v>5158.6499999999996</v>
      </c>
      <c r="F168" s="511">
        <v>61903.8</v>
      </c>
      <c r="G168" s="769">
        <f t="shared" si="31"/>
        <v>5158.6499999999996</v>
      </c>
      <c r="H168" s="768">
        <f t="shared" si="23"/>
        <v>61903.799999999996</v>
      </c>
      <c r="I168" s="512">
        <f t="shared" si="29"/>
        <v>0</v>
      </c>
      <c r="J168" s="513">
        <f t="shared" si="27"/>
        <v>0</v>
      </c>
      <c r="K168" s="521"/>
    </row>
    <row r="169" spans="1:11" s="514" customFormat="1" ht="21.75" customHeight="1" x14ac:dyDescent="0.3">
      <c r="A169" s="443">
        <f t="shared" si="26"/>
        <v>159</v>
      </c>
      <c r="B169" s="507" t="s">
        <v>2090</v>
      </c>
      <c r="C169" s="508" t="s">
        <v>40</v>
      </c>
      <c r="D169" s="509">
        <v>1</v>
      </c>
      <c r="E169" s="510">
        <f t="shared" si="28"/>
        <v>285600</v>
      </c>
      <c r="F169" s="511">
        <v>285600</v>
      </c>
      <c r="G169" s="769">
        <f t="shared" si="31"/>
        <v>285600</v>
      </c>
      <c r="H169" s="768">
        <f t="shared" si="23"/>
        <v>285600</v>
      </c>
      <c r="I169" s="512">
        <f t="shared" si="29"/>
        <v>0</v>
      </c>
      <c r="J169" s="513">
        <f t="shared" si="27"/>
        <v>0</v>
      </c>
      <c r="K169" s="521"/>
    </row>
    <row r="170" spans="1:11" ht="23.25" customHeight="1" x14ac:dyDescent="0.3">
      <c r="A170" s="443">
        <f t="shared" si="26"/>
        <v>160</v>
      </c>
      <c r="B170" s="428" t="s">
        <v>2123</v>
      </c>
      <c r="C170" s="442" t="s">
        <v>5</v>
      </c>
      <c r="D170" s="496">
        <v>2.5</v>
      </c>
      <c r="E170" s="647">
        <f t="shared" si="28"/>
        <v>67.540000000000006</v>
      </c>
      <c r="F170" s="648">
        <v>168.84</v>
      </c>
      <c r="G170" s="767">
        <v>908</v>
      </c>
      <c r="H170" s="768">
        <f t="shared" si="23"/>
        <v>2270</v>
      </c>
      <c r="I170" s="482">
        <f t="shared" si="29"/>
        <v>-840.46</v>
      </c>
      <c r="J170" s="481">
        <f t="shared" si="27"/>
        <v>-2101.16</v>
      </c>
    </row>
    <row r="171" spans="1:11" ht="23.25" customHeight="1" x14ac:dyDescent="0.3">
      <c r="A171" s="443">
        <f t="shared" si="26"/>
        <v>161</v>
      </c>
      <c r="B171" s="428" t="s">
        <v>2092</v>
      </c>
      <c r="C171" s="442" t="s">
        <v>40</v>
      </c>
      <c r="D171" s="493">
        <v>2</v>
      </c>
      <c r="E171" s="647">
        <f t="shared" si="28"/>
        <v>5.43</v>
      </c>
      <c r="F171" s="648">
        <v>10.85</v>
      </c>
      <c r="G171" s="767">
        <v>5</v>
      </c>
      <c r="H171" s="768">
        <f t="shared" si="23"/>
        <v>10</v>
      </c>
      <c r="I171" s="482">
        <f t="shared" si="29"/>
        <v>0.42999999999999972</v>
      </c>
      <c r="J171" s="481">
        <f t="shared" si="27"/>
        <v>0.85</v>
      </c>
    </row>
    <row r="172" spans="1:11" ht="23.25" customHeight="1" x14ac:dyDescent="0.3">
      <c r="A172" s="443">
        <f t="shared" si="26"/>
        <v>162</v>
      </c>
      <c r="B172" s="428" t="s">
        <v>2093</v>
      </c>
      <c r="C172" s="442" t="s">
        <v>1385</v>
      </c>
      <c r="D172" s="493">
        <v>4</v>
      </c>
      <c r="E172" s="647">
        <f t="shared" si="28"/>
        <v>3.62</v>
      </c>
      <c r="F172" s="648">
        <f>14.21+0.26</f>
        <v>14.47</v>
      </c>
      <c r="G172" s="767">
        <v>1</v>
      </c>
      <c r="H172" s="768">
        <f t="shared" si="23"/>
        <v>4</v>
      </c>
      <c r="I172" s="482">
        <f t="shared" si="29"/>
        <v>2.62</v>
      </c>
      <c r="J172" s="481">
        <f t="shared" si="27"/>
        <v>10.47</v>
      </c>
    </row>
    <row r="173" spans="1:11" s="514" customFormat="1" ht="21" customHeight="1" x14ac:dyDescent="0.3">
      <c r="A173" s="443">
        <f t="shared" si="26"/>
        <v>163</v>
      </c>
      <c r="B173" s="507" t="s">
        <v>2094</v>
      </c>
      <c r="C173" s="508" t="s">
        <v>40</v>
      </c>
      <c r="D173" s="509">
        <v>3</v>
      </c>
      <c r="E173" s="510">
        <f t="shared" si="28"/>
        <v>68850</v>
      </c>
      <c r="F173" s="511">
        <v>206550</v>
      </c>
      <c r="G173" s="769">
        <f t="shared" ref="G173:G188" si="32">E173</f>
        <v>68850</v>
      </c>
      <c r="H173" s="768">
        <f t="shared" si="23"/>
        <v>206550</v>
      </c>
      <c r="I173" s="512">
        <f t="shared" si="29"/>
        <v>0</v>
      </c>
      <c r="J173" s="513">
        <f t="shared" si="27"/>
        <v>0</v>
      </c>
      <c r="K173" s="521"/>
    </row>
    <row r="174" spans="1:11" s="514" customFormat="1" ht="21.75" customHeight="1" x14ac:dyDescent="0.3">
      <c r="A174" s="443">
        <f t="shared" si="26"/>
        <v>164</v>
      </c>
      <c r="B174" s="507" t="s">
        <v>2095</v>
      </c>
      <c r="C174" s="508" t="s">
        <v>40</v>
      </c>
      <c r="D174" s="509">
        <v>24</v>
      </c>
      <c r="E174" s="510">
        <f t="shared" si="28"/>
        <v>2106.3000000000002</v>
      </c>
      <c r="F174" s="511">
        <v>50551.199999999997</v>
      </c>
      <c r="G174" s="769">
        <f t="shared" si="32"/>
        <v>2106.3000000000002</v>
      </c>
      <c r="H174" s="768">
        <f t="shared" si="23"/>
        <v>50551.200000000004</v>
      </c>
      <c r="I174" s="512">
        <f t="shared" si="29"/>
        <v>0</v>
      </c>
      <c r="J174" s="513">
        <f t="shared" si="27"/>
        <v>0</v>
      </c>
      <c r="K174" s="521"/>
    </row>
    <row r="175" spans="1:11" s="514" customFormat="1" ht="21.75" customHeight="1" x14ac:dyDescent="0.3">
      <c r="A175" s="443">
        <f t="shared" si="26"/>
        <v>165</v>
      </c>
      <c r="B175" s="507" t="s">
        <v>2096</v>
      </c>
      <c r="C175" s="508" t="s">
        <v>40</v>
      </c>
      <c r="D175" s="509">
        <v>3</v>
      </c>
      <c r="E175" s="510">
        <f t="shared" si="28"/>
        <v>2986.9</v>
      </c>
      <c r="F175" s="511">
        <v>8960.7000000000007</v>
      </c>
      <c r="G175" s="769">
        <f t="shared" si="32"/>
        <v>2986.9</v>
      </c>
      <c r="H175" s="768">
        <f t="shared" si="23"/>
        <v>8960.7000000000007</v>
      </c>
      <c r="I175" s="512">
        <f t="shared" si="29"/>
        <v>0</v>
      </c>
      <c r="J175" s="513">
        <f t="shared" si="27"/>
        <v>0</v>
      </c>
      <c r="K175" s="521"/>
    </row>
    <row r="176" spans="1:11" s="514" customFormat="1" ht="21" customHeight="1" x14ac:dyDescent="0.3">
      <c r="A176" s="443">
        <f t="shared" si="26"/>
        <v>166</v>
      </c>
      <c r="B176" s="507" t="s">
        <v>2097</v>
      </c>
      <c r="C176" s="508" t="s">
        <v>2098</v>
      </c>
      <c r="D176" s="509">
        <v>7</v>
      </c>
      <c r="E176" s="510">
        <f t="shared" si="28"/>
        <v>2277.15</v>
      </c>
      <c r="F176" s="511">
        <v>15940.05</v>
      </c>
      <c r="G176" s="769">
        <f t="shared" si="32"/>
        <v>2277.15</v>
      </c>
      <c r="H176" s="768">
        <f t="shared" si="23"/>
        <v>15940.050000000001</v>
      </c>
      <c r="I176" s="512">
        <f t="shared" si="29"/>
        <v>0</v>
      </c>
      <c r="J176" s="513">
        <f t="shared" si="27"/>
        <v>0</v>
      </c>
      <c r="K176" s="521"/>
    </row>
    <row r="177" spans="1:11" s="514" customFormat="1" ht="21.75" customHeight="1" x14ac:dyDescent="0.3">
      <c r="A177" s="443">
        <f t="shared" si="26"/>
        <v>167</v>
      </c>
      <c r="B177" s="507" t="s">
        <v>2099</v>
      </c>
      <c r="C177" s="508" t="s">
        <v>5</v>
      </c>
      <c r="D177" s="516">
        <f>10*1.02+43*1.02</f>
        <v>54.06</v>
      </c>
      <c r="E177" s="510">
        <f t="shared" si="28"/>
        <v>306</v>
      </c>
      <c r="F177" s="511">
        <f>3121.2+13421.16</f>
        <v>16542.36</v>
      </c>
      <c r="G177" s="769">
        <f t="shared" si="32"/>
        <v>306</v>
      </c>
      <c r="H177" s="768">
        <f t="shared" si="23"/>
        <v>16542.36</v>
      </c>
      <c r="I177" s="512">
        <f t="shared" si="29"/>
        <v>0</v>
      </c>
      <c r="J177" s="513">
        <f t="shared" si="27"/>
        <v>0</v>
      </c>
      <c r="K177" s="521"/>
    </row>
    <row r="178" spans="1:11" s="514" customFormat="1" ht="21.75" customHeight="1" x14ac:dyDescent="0.3">
      <c r="A178" s="443">
        <f t="shared" si="26"/>
        <v>168</v>
      </c>
      <c r="B178" s="507" t="s">
        <v>2100</v>
      </c>
      <c r="C178" s="508" t="s">
        <v>5</v>
      </c>
      <c r="D178" s="516">
        <f>172*1.02+64*1.02</f>
        <v>240.72</v>
      </c>
      <c r="E178" s="510">
        <f t="shared" si="28"/>
        <v>204</v>
      </c>
      <c r="F178" s="511">
        <f>35789.76+13317.12</f>
        <v>49106.880000000005</v>
      </c>
      <c r="G178" s="769">
        <f t="shared" si="32"/>
        <v>204</v>
      </c>
      <c r="H178" s="768">
        <f t="shared" si="23"/>
        <v>49106.879999999997</v>
      </c>
      <c r="I178" s="512">
        <f t="shared" si="29"/>
        <v>0</v>
      </c>
      <c r="J178" s="513">
        <f t="shared" si="27"/>
        <v>0</v>
      </c>
      <c r="K178" s="521"/>
    </row>
    <row r="179" spans="1:11" s="514" customFormat="1" ht="21.75" customHeight="1" x14ac:dyDescent="0.3">
      <c r="A179" s="443">
        <f t="shared" si="26"/>
        <v>169</v>
      </c>
      <c r="B179" s="507" t="s">
        <v>2101</v>
      </c>
      <c r="C179" s="508" t="s">
        <v>5</v>
      </c>
      <c r="D179" s="516">
        <f>38*1.02+16*1.02</f>
        <v>55.08</v>
      </c>
      <c r="E179" s="510">
        <f t="shared" si="28"/>
        <v>326.39999999999998</v>
      </c>
      <c r="F179" s="511">
        <f>12651.26+5326.85</f>
        <v>17978.11</v>
      </c>
      <c r="G179" s="769">
        <f t="shared" si="32"/>
        <v>326.39999999999998</v>
      </c>
      <c r="H179" s="768">
        <f t="shared" si="23"/>
        <v>17978.111999999997</v>
      </c>
      <c r="I179" s="512">
        <f t="shared" si="29"/>
        <v>0</v>
      </c>
      <c r="J179" s="513">
        <f t="shared" si="27"/>
        <v>0</v>
      </c>
      <c r="K179" s="521"/>
    </row>
    <row r="180" spans="1:11" s="514" customFormat="1" ht="21.75" customHeight="1" x14ac:dyDescent="0.3">
      <c r="A180" s="443">
        <f t="shared" si="26"/>
        <v>170</v>
      </c>
      <c r="B180" s="507" t="s">
        <v>2102</v>
      </c>
      <c r="C180" s="508" t="s">
        <v>5</v>
      </c>
      <c r="D180" s="516">
        <f>117*1.02+148*1.02</f>
        <v>270.3</v>
      </c>
      <c r="E180" s="510">
        <f t="shared" si="28"/>
        <v>485.78</v>
      </c>
      <c r="F180" s="511">
        <f>57972.99+73333.35</f>
        <v>131306.34</v>
      </c>
      <c r="G180" s="769">
        <f t="shared" si="32"/>
        <v>485.78</v>
      </c>
      <c r="H180" s="768">
        <f t="shared" si="23"/>
        <v>131306.334</v>
      </c>
      <c r="I180" s="512">
        <f t="shared" si="29"/>
        <v>0</v>
      </c>
      <c r="J180" s="513">
        <f t="shared" si="27"/>
        <v>0.01</v>
      </c>
      <c r="K180" s="521"/>
    </row>
    <row r="181" spans="1:11" s="514" customFormat="1" ht="21.75" customHeight="1" x14ac:dyDescent="0.3">
      <c r="A181" s="443">
        <f t="shared" si="26"/>
        <v>171</v>
      </c>
      <c r="B181" s="507" t="s">
        <v>2062</v>
      </c>
      <c r="C181" s="508" t="s">
        <v>5</v>
      </c>
      <c r="D181" s="516">
        <f>72*1.02</f>
        <v>73.44</v>
      </c>
      <c r="E181" s="510">
        <f t="shared" si="28"/>
        <v>142.80000000000001</v>
      </c>
      <c r="F181" s="511">
        <v>10487.23</v>
      </c>
      <c r="G181" s="769">
        <f t="shared" si="32"/>
        <v>142.80000000000001</v>
      </c>
      <c r="H181" s="768">
        <f t="shared" si="23"/>
        <v>10487.232</v>
      </c>
      <c r="I181" s="512">
        <f t="shared" si="29"/>
        <v>0</v>
      </c>
      <c r="J181" s="513">
        <f t="shared" si="27"/>
        <v>0</v>
      </c>
      <c r="K181" s="521"/>
    </row>
    <row r="182" spans="1:11" s="514" customFormat="1" ht="21.75" customHeight="1" x14ac:dyDescent="0.3">
      <c r="A182" s="443">
        <f t="shared" si="26"/>
        <v>172</v>
      </c>
      <c r="B182" s="507" t="s">
        <v>2103</v>
      </c>
      <c r="C182" s="508" t="s">
        <v>5</v>
      </c>
      <c r="D182" s="516">
        <f>10*1.02</f>
        <v>10.199999999999999</v>
      </c>
      <c r="E182" s="510">
        <f t="shared" si="28"/>
        <v>298.77999999999997</v>
      </c>
      <c r="F182" s="511">
        <v>3047.56</v>
      </c>
      <c r="G182" s="769">
        <f t="shared" si="32"/>
        <v>298.77999999999997</v>
      </c>
      <c r="H182" s="768">
        <f t="shared" si="23"/>
        <v>3047.5559999999996</v>
      </c>
      <c r="I182" s="512">
        <f t="shared" si="29"/>
        <v>0</v>
      </c>
      <c r="J182" s="513">
        <f t="shared" si="27"/>
        <v>0</v>
      </c>
      <c r="K182" s="521"/>
    </row>
    <row r="183" spans="1:11" s="514" customFormat="1" ht="21.75" customHeight="1" x14ac:dyDescent="0.3">
      <c r="A183" s="443">
        <f t="shared" si="26"/>
        <v>173</v>
      </c>
      <c r="B183" s="507" t="s">
        <v>2104</v>
      </c>
      <c r="C183" s="508" t="s">
        <v>40</v>
      </c>
      <c r="D183" s="509">
        <v>3</v>
      </c>
      <c r="E183" s="510">
        <f t="shared" si="28"/>
        <v>242250</v>
      </c>
      <c r="F183" s="511">
        <v>726750</v>
      </c>
      <c r="G183" s="769">
        <f t="shared" si="32"/>
        <v>242250</v>
      </c>
      <c r="H183" s="768">
        <f t="shared" si="23"/>
        <v>726750</v>
      </c>
      <c r="I183" s="512">
        <f t="shared" si="29"/>
        <v>0</v>
      </c>
      <c r="J183" s="513">
        <f t="shared" si="27"/>
        <v>0</v>
      </c>
      <c r="K183" s="521"/>
    </row>
    <row r="184" spans="1:11" s="514" customFormat="1" ht="21.75" customHeight="1" x14ac:dyDescent="0.3">
      <c r="A184" s="443">
        <f t="shared" si="26"/>
        <v>174</v>
      </c>
      <c r="B184" s="507" t="s">
        <v>2105</v>
      </c>
      <c r="C184" s="508" t="s">
        <v>40</v>
      </c>
      <c r="D184" s="509">
        <v>1</v>
      </c>
      <c r="E184" s="510">
        <f t="shared" si="28"/>
        <v>205700</v>
      </c>
      <c r="F184" s="511">
        <v>205700</v>
      </c>
      <c r="G184" s="769">
        <f t="shared" si="32"/>
        <v>205700</v>
      </c>
      <c r="H184" s="768">
        <f t="shared" si="23"/>
        <v>205700</v>
      </c>
      <c r="I184" s="512">
        <f t="shared" si="29"/>
        <v>0</v>
      </c>
      <c r="J184" s="513">
        <f t="shared" si="27"/>
        <v>0</v>
      </c>
      <c r="K184" s="521"/>
    </row>
    <row r="185" spans="1:11" s="514" customFormat="1" ht="21.75" customHeight="1" x14ac:dyDescent="0.3">
      <c r="A185" s="443">
        <f t="shared" si="26"/>
        <v>175</v>
      </c>
      <c r="B185" s="507" t="s">
        <v>2106</v>
      </c>
      <c r="C185" s="508" t="s">
        <v>40</v>
      </c>
      <c r="D185" s="509">
        <v>1</v>
      </c>
      <c r="E185" s="510">
        <f t="shared" si="28"/>
        <v>186150</v>
      </c>
      <c r="F185" s="511">
        <v>186150</v>
      </c>
      <c r="G185" s="769">
        <f t="shared" si="32"/>
        <v>186150</v>
      </c>
      <c r="H185" s="768">
        <f t="shared" si="23"/>
        <v>186150</v>
      </c>
      <c r="I185" s="512">
        <f t="shared" si="29"/>
        <v>0</v>
      </c>
      <c r="J185" s="513">
        <f t="shared" si="27"/>
        <v>0</v>
      </c>
      <c r="K185" s="521"/>
    </row>
    <row r="186" spans="1:11" s="514" customFormat="1" ht="21.75" customHeight="1" x14ac:dyDescent="0.3">
      <c r="A186" s="443">
        <f t="shared" si="26"/>
        <v>176</v>
      </c>
      <c r="B186" s="507" t="s">
        <v>2107</v>
      </c>
      <c r="C186" s="508" t="s">
        <v>40</v>
      </c>
      <c r="D186" s="509">
        <v>1</v>
      </c>
      <c r="E186" s="510">
        <f t="shared" si="28"/>
        <v>814300</v>
      </c>
      <c r="F186" s="511">
        <v>814300</v>
      </c>
      <c r="G186" s="769">
        <f t="shared" si="32"/>
        <v>814300</v>
      </c>
      <c r="H186" s="768">
        <f t="shared" si="23"/>
        <v>814300</v>
      </c>
      <c r="I186" s="512">
        <f t="shared" si="29"/>
        <v>0</v>
      </c>
      <c r="J186" s="513">
        <f t="shared" si="27"/>
        <v>0</v>
      </c>
      <c r="K186" s="521"/>
    </row>
    <row r="187" spans="1:11" s="514" customFormat="1" ht="21.75" customHeight="1" x14ac:dyDescent="0.3">
      <c r="A187" s="443">
        <f t="shared" si="26"/>
        <v>177</v>
      </c>
      <c r="B187" s="507" t="s">
        <v>2108</v>
      </c>
      <c r="C187" s="508" t="s">
        <v>5</v>
      </c>
      <c r="D187" s="509">
        <f>2*5</f>
        <v>10</v>
      </c>
      <c r="E187" s="510">
        <f t="shared" si="28"/>
        <v>153</v>
      </c>
      <c r="F187" s="511">
        <f>765*2</f>
        <v>1530</v>
      </c>
      <c r="G187" s="769">
        <f t="shared" si="32"/>
        <v>153</v>
      </c>
      <c r="H187" s="768">
        <f t="shared" si="23"/>
        <v>1530</v>
      </c>
      <c r="I187" s="512">
        <f t="shared" si="29"/>
        <v>0</v>
      </c>
      <c r="J187" s="513">
        <f t="shared" si="27"/>
        <v>0</v>
      </c>
      <c r="K187" s="521"/>
    </row>
    <row r="188" spans="1:11" s="514" customFormat="1" ht="24.75" customHeight="1" x14ac:dyDescent="0.3">
      <c r="A188" s="443">
        <f t="shared" si="26"/>
        <v>178</v>
      </c>
      <c r="B188" s="507" t="s">
        <v>2109</v>
      </c>
      <c r="C188" s="508" t="s">
        <v>40</v>
      </c>
      <c r="D188" s="509">
        <f>2*6</f>
        <v>12</v>
      </c>
      <c r="E188" s="510">
        <f t="shared" si="28"/>
        <v>38.25</v>
      </c>
      <c r="F188" s="511">
        <f>229.5*2</f>
        <v>459</v>
      </c>
      <c r="G188" s="769">
        <f t="shared" si="32"/>
        <v>38.25</v>
      </c>
      <c r="H188" s="768">
        <f t="shared" si="23"/>
        <v>459</v>
      </c>
      <c r="I188" s="512">
        <f t="shared" si="29"/>
        <v>0</v>
      </c>
      <c r="J188" s="513">
        <f t="shared" si="27"/>
        <v>0</v>
      </c>
      <c r="K188" s="521"/>
    </row>
    <row r="189" spans="1:11" ht="23.25" customHeight="1" x14ac:dyDescent="0.3">
      <c r="A189" s="443">
        <f t="shared" si="26"/>
        <v>179</v>
      </c>
      <c r="B189" s="428" t="s">
        <v>2110</v>
      </c>
      <c r="C189" s="442" t="s">
        <v>1385</v>
      </c>
      <c r="D189" s="493">
        <f>1+1</f>
        <v>2</v>
      </c>
      <c r="E189" s="647">
        <f t="shared" si="28"/>
        <v>49.25</v>
      </c>
      <c r="F189" s="648">
        <f>49.25*2</f>
        <v>98.5</v>
      </c>
      <c r="G189" s="767">
        <v>78</v>
      </c>
      <c r="H189" s="768">
        <f t="shared" si="23"/>
        <v>156</v>
      </c>
      <c r="I189" s="482">
        <f t="shared" si="29"/>
        <v>-28.75</v>
      </c>
      <c r="J189" s="481">
        <f t="shared" si="27"/>
        <v>-57.5</v>
      </c>
    </row>
    <row r="190" spans="1:11" s="514" customFormat="1" ht="24.75" customHeight="1" x14ac:dyDescent="0.3">
      <c r="A190" s="443">
        <f t="shared" si="26"/>
        <v>180</v>
      </c>
      <c r="B190" s="507" t="s">
        <v>2111</v>
      </c>
      <c r="C190" s="508" t="s">
        <v>40</v>
      </c>
      <c r="D190" s="509">
        <v>1</v>
      </c>
      <c r="E190" s="510">
        <f t="shared" si="28"/>
        <v>3136500</v>
      </c>
      <c r="F190" s="511">
        <v>3136500</v>
      </c>
      <c r="G190" s="769">
        <f t="shared" ref="G190:G196" si="33">E190</f>
        <v>3136500</v>
      </c>
      <c r="H190" s="768">
        <f t="shared" si="23"/>
        <v>3136500</v>
      </c>
      <c r="I190" s="512">
        <f t="shared" si="29"/>
        <v>0</v>
      </c>
      <c r="J190" s="513">
        <f t="shared" si="27"/>
        <v>0</v>
      </c>
      <c r="K190" s="521"/>
    </row>
    <row r="191" spans="1:11" s="514" customFormat="1" ht="21.75" customHeight="1" x14ac:dyDescent="0.3">
      <c r="A191" s="443">
        <f t="shared" si="26"/>
        <v>181</v>
      </c>
      <c r="B191" s="507" t="s">
        <v>2112</v>
      </c>
      <c r="C191" s="508" t="s">
        <v>40</v>
      </c>
      <c r="D191" s="509">
        <v>1</v>
      </c>
      <c r="E191" s="510">
        <f t="shared" si="28"/>
        <v>1476450</v>
      </c>
      <c r="F191" s="511">
        <v>1476450</v>
      </c>
      <c r="G191" s="769">
        <f t="shared" si="33"/>
        <v>1476450</v>
      </c>
      <c r="H191" s="768">
        <f t="shared" si="23"/>
        <v>1476450</v>
      </c>
      <c r="I191" s="512">
        <f t="shared" si="29"/>
        <v>0</v>
      </c>
      <c r="J191" s="513">
        <f t="shared" si="27"/>
        <v>0</v>
      </c>
      <c r="K191" s="521"/>
    </row>
    <row r="192" spans="1:11" s="514" customFormat="1" ht="21.75" customHeight="1" x14ac:dyDescent="0.3">
      <c r="A192" s="443">
        <f t="shared" si="26"/>
        <v>182</v>
      </c>
      <c r="B192" s="507" t="s">
        <v>2113</v>
      </c>
      <c r="C192" s="508" t="s">
        <v>40</v>
      </c>
      <c r="D192" s="509">
        <v>4</v>
      </c>
      <c r="E192" s="510">
        <f t="shared" si="28"/>
        <v>460.2</v>
      </c>
      <c r="F192" s="511">
        <v>1840.8</v>
      </c>
      <c r="G192" s="769">
        <f t="shared" si="33"/>
        <v>460.2</v>
      </c>
      <c r="H192" s="768">
        <f t="shared" si="23"/>
        <v>1840.8</v>
      </c>
      <c r="I192" s="512">
        <f t="shared" si="29"/>
        <v>0</v>
      </c>
      <c r="J192" s="513">
        <f t="shared" si="27"/>
        <v>0</v>
      </c>
      <c r="K192" s="521"/>
    </row>
    <row r="193" spans="1:11" s="514" customFormat="1" ht="21.75" customHeight="1" x14ac:dyDescent="0.3">
      <c r="A193" s="443">
        <f t="shared" si="26"/>
        <v>183</v>
      </c>
      <c r="B193" s="507" t="s">
        <v>2121</v>
      </c>
      <c r="C193" s="508" t="s">
        <v>5</v>
      </c>
      <c r="D193" s="509">
        <v>1</v>
      </c>
      <c r="E193" s="510">
        <f t="shared" si="28"/>
        <v>430.22</v>
      </c>
      <c r="F193" s="511">
        <v>430.22</v>
      </c>
      <c r="G193" s="769">
        <f t="shared" si="33"/>
        <v>430.22</v>
      </c>
      <c r="H193" s="768">
        <f t="shared" si="23"/>
        <v>430.22</v>
      </c>
      <c r="I193" s="512">
        <f t="shared" si="29"/>
        <v>0</v>
      </c>
      <c r="J193" s="513">
        <f t="shared" si="27"/>
        <v>0</v>
      </c>
      <c r="K193" s="521"/>
    </row>
    <row r="194" spans="1:11" s="514" customFormat="1" ht="21.75" customHeight="1" x14ac:dyDescent="0.3">
      <c r="A194" s="443">
        <f t="shared" si="26"/>
        <v>184</v>
      </c>
      <c r="B194" s="507" t="s">
        <v>2115</v>
      </c>
      <c r="C194" s="508" t="s">
        <v>40</v>
      </c>
      <c r="D194" s="509">
        <v>1</v>
      </c>
      <c r="E194" s="510">
        <f t="shared" si="28"/>
        <v>81600</v>
      </c>
      <c r="F194" s="511">
        <v>81600</v>
      </c>
      <c r="G194" s="769">
        <f t="shared" si="33"/>
        <v>81600</v>
      </c>
      <c r="H194" s="768">
        <f t="shared" si="23"/>
        <v>81600</v>
      </c>
      <c r="I194" s="512">
        <f t="shared" si="29"/>
        <v>0</v>
      </c>
      <c r="J194" s="513">
        <f t="shared" si="27"/>
        <v>0</v>
      </c>
      <c r="K194" s="521"/>
    </row>
    <row r="195" spans="1:11" s="514" customFormat="1" ht="21.75" customHeight="1" x14ac:dyDescent="0.3">
      <c r="A195" s="443">
        <f t="shared" si="26"/>
        <v>185</v>
      </c>
      <c r="B195" s="507" t="s">
        <v>2116</v>
      </c>
      <c r="C195" s="508" t="s">
        <v>40</v>
      </c>
      <c r="D195" s="509">
        <v>1</v>
      </c>
      <c r="E195" s="510">
        <f t="shared" si="28"/>
        <v>81600</v>
      </c>
      <c r="F195" s="511">
        <v>81600</v>
      </c>
      <c r="G195" s="769">
        <f t="shared" si="33"/>
        <v>81600</v>
      </c>
      <c r="H195" s="768">
        <f t="shared" si="23"/>
        <v>81600</v>
      </c>
      <c r="I195" s="512">
        <f t="shared" si="29"/>
        <v>0</v>
      </c>
      <c r="J195" s="513">
        <f t="shared" si="27"/>
        <v>0</v>
      </c>
      <c r="K195" s="521"/>
    </row>
    <row r="196" spans="1:11" s="514" customFormat="1" ht="21.75" customHeight="1" x14ac:dyDescent="0.3">
      <c r="A196" s="443">
        <f t="shared" si="26"/>
        <v>186</v>
      </c>
      <c r="B196" s="507" t="s">
        <v>2117</v>
      </c>
      <c r="C196" s="508" t="s">
        <v>40</v>
      </c>
      <c r="D196" s="509">
        <v>1</v>
      </c>
      <c r="E196" s="510">
        <f t="shared" si="28"/>
        <v>552967.5</v>
      </c>
      <c r="F196" s="511">
        <v>552967.5</v>
      </c>
      <c r="G196" s="769">
        <f t="shared" si="33"/>
        <v>552967.5</v>
      </c>
      <c r="H196" s="768">
        <f t="shared" si="23"/>
        <v>552967.5</v>
      </c>
      <c r="I196" s="512">
        <f t="shared" si="29"/>
        <v>0</v>
      </c>
      <c r="J196" s="513">
        <f t="shared" si="27"/>
        <v>0</v>
      </c>
      <c r="K196" s="521"/>
    </row>
    <row r="197" spans="1:11" s="514" customFormat="1" ht="21.75" customHeight="1" x14ac:dyDescent="0.3">
      <c r="A197" s="443">
        <f t="shared" si="26"/>
        <v>187</v>
      </c>
      <c r="B197" s="507" t="s">
        <v>2118</v>
      </c>
      <c r="C197" s="508" t="s">
        <v>40</v>
      </c>
      <c r="D197" s="509">
        <v>1</v>
      </c>
      <c r="E197" s="510">
        <f t="shared" si="28"/>
        <v>169408.53</v>
      </c>
      <c r="F197" s="511">
        <v>169408.53</v>
      </c>
      <c r="G197" s="769">
        <v>169408.53</v>
      </c>
      <c r="H197" s="768">
        <f t="shared" si="23"/>
        <v>169408.53</v>
      </c>
      <c r="I197" s="512">
        <f t="shared" si="29"/>
        <v>0</v>
      </c>
      <c r="J197" s="513">
        <f t="shared" si="27"/>
        <v>0</v>
      </c>
      <c r="K197" s="521"/>
    </row>
    <row r="198" spans="1:11" s="514" customFormat="1" ht="21.75" customHeight="1" x14ac:dyDescent="0.3">
      <c r="A198" s="443">
        <f t="shared" si="26"/>
        <v>188</v>
      </c>
      <c r="B198" s="507" t="s">
        <v>2119</v>
      </c>
      <c r="C198" s="508" t="s">
        <v>40</v>
      </c>
      <c r="D198" s="509">
        <v>1</v>
      </c>
      <c r="E198" s="510">
        <f>ROUND(F198/D198,2)</f>
        <v>38250</v>
      </c>
      <c r="F198" s="511">
        <v>38250</v>
      </c>
      <c r="G198" s="769">
        <f t="shared" ref="G198:G199" si="34">E198</f>
        <v>38250</v>
      </c>
      <c r="H198" s="768">
        <f t="shared" si="23"/>
        <v>38250</v>
      </c>
      <c r="I198" s="512">
        <f>E198-G198</f>
        <v>0</v>
      </c>
      <c r="J198" s="513">
        <f t="shared" si="27"/>
        <v>0</v>
      </c>
      <c r="K198" s="521"/>
    </row>
    <row r="199" spans="1:11" s="514" customFormat="1" ht="21.75" customHeight="1" x14ac:dyDescent="0.3">
      <c r="A199" s="443">
        <f t="shared" si="26"/>
        <v>189</v>
      </c>
      <c r="B199" s="507" t="s">
        <v>2120</v>
      </c>
      <c r="C199" s="508" t="s">
        <v>40</v>
      </c>
      <c r="D199" s="509">
        <v>1</v>
      </c>
      <c r="E199" s="510">
        <f t="shared" ref="E199" si="35">ROUND(F199/D199,2)</f>
        <v>25500</v>
      </c>
      <c r="F199" s="511">
        <v>25500</v>
      </c>
      <c r="G199" s="769">
        <f t="shared" si="34"/>
        <v>25500</v>
      </c>
      <c r="H199" s="768">
        <f t="shared" si="23"/>
        <v>25500</v>
      </c>
      <c r="I199" s="512">
        <f t="shared" ref="I199" si="36">E199-G199</f>
        <v>0</v>
      </c>
      <c r="J199" s="513">
        <f t="shared" si="27"/>
        <v>0</v>
      </c>
      <c r="K199" s="521"/>
    </row>
    <row r="200" spans="1:11" s="483" customFormat="1" ht="19.5" customHeight="1" x14ac:dyDescent="0.35">
      <c r="A200" s="485"/>
      <c r="B200" s="920" t="s">
        <v>2124</v>
      </c>
      <c r="C200" s="921"/>
      <c r="D200" s="921"/>
      <c r="E200" s="684"/>
      <c r="F200" s="685">
        <f>SUM(F137:F199)</f>
        <v>11155684.109999999</v>
      </c>
      <c r="G200" s="778"/>
      <c r="H200" s="779">
        <f>SUM(H137:H199)</f>
        <v>11148009.449200001</v>
      </c>
      <c r="I200" s="686"/>
      <c r="J200" s="685">
        <f>SUM(J137:J199)</f>
        <v>7674.6580000000022</v>
      </c>
      <c r="K200" s="490"/>
    </row>
    <row r="201" spans="1:11" s="692" customFormat="1" ht="21" customHeight="1" x14ac:dyDescent="0.3">
      <c r="A201" s="693"/>
      <c r="B201" s="981" t="s">
        <v>2125</v>
      </c>
      <c r="C201" s="982"/>
      <c r="D201" s="982"/>
      <c r="E201" s="982"/>
      <c r="F201" s="982"/>
      <c r="G201" s="982"/>
      <c r="H201" s="982"/>
      <c r="I201" s="982"/>
      <c r="J201" s="982"/>
      <c r="K201" s="690"/>
    </row>
    <row r="202" spans="1:11" ht="23.25" customHeight="1" x14ac:dyDescent="0.3">
      <c r="A202" s="443">
        <f>A199+1</f>
        <v>190</v>
      </c>
      <c r="B202" s="428" t="s">
        <v>2056</v>
      </c>
      <c r="C202" s="442" t="s">
        <v>5</v>
      </c>
      <c r="D202" s="496">
        <f>12*1.008</f>
        <v>12.096</v>
      </c>
      <c r="E202" s="647">
        <f t="shared" ref="E202:E203" si="37">ROUND(F202/D202,2)</f>
        <v>281.29000000000002</v>
      </c>
      <c r="F202" s="648">
        <v>3402.5</v>
      </c>
      <c r="G202" s="767">
        <v>416</v>
      </c>
      <c r="H202" s="768">
        <f>G202*D202</f>
        <v>5031.9359999999997</v>
      </c>
      <c r="I202" s="482">
        <f t="shared" ref="I202:J206" si="38">E202-G202</f>
        <v>-134.70999999999998</v>
      </c>
      <c r="J202" s="481">
        <f t="shared" si="38"/>
        <v>-1629.4359999999997</v>
      </c>
      <c r="K202" s="519"/>
    </row>
    <row r="203" spans="1:11" s="514" customFormat="1" ht="21.75" customHeight="1" x14ac:dyDescent="0.3">
      <c r="A203" s="443">
        <f>A202+1</f>
        <v>191</v>
      </c>
      <c r="B203" s="507" t="s">
        <v>2057</v>
      </c>
      <c r="C203" s="508" t="s">
        <v>364</v>
      </c>
      <c r="D203" s="731">
        <v>4</v>
      </c>
      <c r="E203" s="510">
        <f t="shared" si="37"/>
        <v>66.3</v>
      </c>
      <c r="F203" s="511">
        <v>265.2</v>
      </c>
      <c r="G203" s="769">
        <f t="shared" ref="G203:G204" si="39">E203</f>
        <v>66.3</v>
      </c>
      <c r="H203" s="768">
        <f t="shared" ref="H203:H264" si="40">G203*D203</f>
        <v>265.2</v>
      </c>
      <c r="I203" s="512">
        <f t="shared" si="38"/>
        <v>0</v>
      </c>
      <c r="J203" s="513">
        <f t="shared" si="38"/>
        <v>0</v>
      </c>
      <c r="K203" s="521"/>
    </row>
    <row r="204" spans="1:11" s="514" customFormat="1" ht="21.75" customHeight="1" x14ac:dyDescent="0.3">
      <c r="A204" s="443">
        <f t="shared" ref="A204:A264" si="41">A203+1</f>
        <v>192</v>
      </c>
      <c r="B204" s="507" t="s">
        <v>2058</v>
      </c>
      <c r="C204" s="508" t="s">
        <v>5</v>
      </c>
      <c r="D204" s="731">
        <f>40+87</f>
        <v>127</v>
      </c>
      <c r="E204" s="510">
        <f>ROUND(F204/D204,2)</f>
        <v>238.68</v>
      </c>
      <c r="F204" s="511">
        <f>30312.36</f>
        <v>30312.36</v>
      </c>
      <c r="G204" s="769">
        <f t="shared" si="39"/>
        <v>238.68</v>
      </c>
      <c r="H204" s="768">
        <f t="shared" si="40"/>
        <v>30312.36</v>
      </c>
      <c r="I204" s="512">
        <f t="shared" si="38"/>
        <v>0</v>
      </c>
      <c r="J204" s="513">
        <f t="shared" si="38"/>
        <v>0</v>
      </c>
      <c r="K204" s="521"/>
    </row>
    <row r="205" spans="1:11" s="514" customFormat="1" ht="21.75" customHeight="1" x14ac:dyDescent="0.3">
      <c r="A205" s="443">
        <f t="shared" si="41"/>
        <v>193</v>
      </c>
      <c r="B205" s="507" t="s">
        <v>2059</v>
      </c>
      <c r="C205" s="508" t="s">
        <v>40</v>
      </c>
      <c r="D205" s="731">
        <v>2</v>
      </c>
      <c r="E205" s="510">
        <f>ROUND(F205/D205,2)</f>
        <v>160.65</v>
      </c>
      <c r="F205" s="511">
        <v>321.3</v>
      </c>
      <c r="G205" s="769">
        <f>E205</f>
        <v>160.65</v>
      </c>
      <c r="H205" s="768">
        <f t="shared" si="40"/>
        <v>321.3</v>
      </c>
      <c r="I205" s="512">
        <f t="shared" si="38"/>
        <v>0</v>
      </c>
      <c r="J205" s="513">
        <f t="shared" si="38"/>
        <v>0</v>
      </c>
      <c r="K205" s="521"/>
    </row>
    <row r="206" spans="1:11" ht="23.25" customHeight="1" x14ac:dyDescent="0.3">
      <c r="A206" s="443">
        <f t="shared" si="41"/>
        <v>194</v>
      </c>
      <c r="B206" s="428" t="s">
        <v>2061</v>
      </c>
      <c r="C206" s="442" t="s">
        <v>17</v>
      </c>
      <c r="D206" s="442">
        <f>2.56+5.599</f>
        <v>8.1590000000000007</v>
      </c>
      <c r="E206" s="647">
        <f>ROUND(F206/D206,2)</f>
        <v>516.51</v>
      </c>
      <c r="F206" s="648">
        <f>1322.24+2891.93</f>
        <v>4214.17</v>
      </c>
      <c r="G206" s="767">
        <v>800</v>
      </c>
      <c r="H206" s="768">
        <f t="shared" si="40"/>
        <v>6527.2000000000007</v>
      </c>
      <c r="I206" s="482">
        <f t="shared" si="38"/>
        <v>-283.49</v>
      </c>
      <c r="J206" s="481">
        <f t="shared" ref="J206:J230" si="42">ROUND(F206-H206,2)</f>
        <v>-2313.0300000000002</v>
      </c>
    </row>
    <row r="207" spans="1:11" s="514" customFormat="1" ht="21.75" customHeight="1" x14ac:dyDescent="0.3">
      <c r="A207" s="443">
        <f t="shared" si="41"/>
        <v>195</v>
      </c>
      <c r="B207" s="507" t="s">
        <v>2062</v>
      </c>
      <c r="C207" s="508" t="s">
        <v>5</v>
      </c>
      <c r="D207" s="509">
        <f>10*1.1</f>
        <v>11</v>
      </c>
      <c r="E207" s="510">
        <f t="shared" ref="E207:E262" si="43">ROUND(F207/D207,2)</f>
        <v>142.80000000000001</v>
      </c>
      <c r="F207" s="511">
        <v>1570.8</v>
      </c>
      <c r="G207" s="769">
        <f>E207</f>
        <v>142.80000000000001</v>
      </c>
      <c r="H207" s="768">
        <f t="shared" si="40"/>
        <v>1570.8000000000002</v>
      </c>
      <c r="I207" s="512">
        <f>E207-G207</f>
        <v>0</v>
      </c>
      <c r="J207" s="513">
        <f t="shared" si="42"/>
        <v>0</v>
      </c>
      <c r="K207" s="521"/>
    </row>
    <row r="208" spans="1:11" ht="23.25" customHeight="1" x14ac:dyDescent="0.3">
      <c r="A208" s="443">
        <f t="shared" si="41"/>
        <v>196</v>
      </c>
      <c r="B208" s="428" t="s">
        <v>2063</v>
      </c>
      <c r="C208" s="442" t="s">
        <v>5</v>
      </c>
      <c r="D208" s="493">
        <f>20*1.1</f>
        <v>22</v>
      </c>
      <c r="E208" s="647">
        <f t="shared" si="43"/>
        <v>49.08</v>
      </c>
      <c r="F208" s="648">
        <v>1079.69</v>
      </c>
      <c r="G208" s="767">
        <v>63</v>
      </c>
      <c r="H208" s="768">
        <f t="shared" si="40"/>
        <v>1386</v>
      </c>
      <c r="I208" s="482">
        <f>E208-G208</f>
        <v>-13.920000000000002</v>
      </c>
      <c r="J208" s="481">
        <f t="shared" si="42"/>
        <v>-306.31</v>
      </c>
    </row>
    <row r="209" spans="1:11" ht="23.25" customHeight="1" x14ac:dyDescent="0.3">
      <c r="A209" s="443">
        <f t="shared" si="41"/>
        <v>197</v>
      </c>
      <c r="B209" s="428" t="s">
        <v>2064</v>
      </c>
      <c r="C209" s="442" t="s">
        <v>2065</v>
      </c>
      <c r="D209" s="493">
        <v>4</v>
      </c>
      <c r="E209" s="647">
        <f t="shared" si="43"/>
        <v>21.96</v>
      </c>
      <c r="F209" s="648">
        <v>87.82</v>
      </c>
      <c r="G209" s="767">
        <v>308</v>
      </c>
      <c r="H209" s="768">
        <f t="shared" si="40"/>
        <v>1232</v>
      </c>
      <c r="I209" s="482">
        <f>E209-G209</f>
        <v>-286.04000000000002</v>
      </c>
      <c r="J209" s="481">
        <f t="shared" si="42"/>
        <v>-1144.18</v>
      </c>
    </row>
    <row r="210" spans="1:11" ht="23.25" customHeight="1" x14ac:dyDescent="0.3">
      <c r="A210" s="443">
        <f t="shared" si="41"/>
        <v>198</v>
      </c>
      <c r="B210" s="428" t="s">
        <v>2066</v>
      </c>
      <c r="C210" s="442" t="s">
        <v>40</v>
      </c>
      <c r="D210" s="493">
        <v>6</v>
      </c>
      <c r="E210" s="647">
        <f t="shared" si="43"/>
        <v>1403.69</v>
      </c>
      <c r="F210" s="648">
        <v>8422.1299999999992</v>
      </c>
      <c r="G210" s="767">
        <v>2750</v>
      </c>
      <c r="H210" s="768">
        <f t="shared" si="40"/>
        <v>16500</v>
      </c>
      <c r="I210" s="482">
        <f t="shared" ref="I210:J262" si="44">E210-G210</f>
        <v>-1346.31</v>
      </c>
      <c r="J210" s="481">
        <f t="shared" si="42"/>
        <v>-8077.87</v>
      </c>
    </row>
    <row r="211" spans="1:11" ht="23.25" customHeight="1" x14ac:dyDescent="0.3">
      <c r="A211" s="443">
        <f t="shared" si="41"/>
        <v>199</v>
      </c>
      <c r="B211" s="428" t="s">
        <v>2067</v>
      </c>
      <c r="C211" s="442" t="s">
        <v>5</v>
      </c>
      <c r="D211" s="492">
        <f>20*1.02</f>
        <v>20.399999999999999</v>
      </c>
      <c r="E211" s="647">
        <f t="shared" si="43"/>
        <v>184.6</v>
      </c>
      <c r="F211" s="648">
        <v>3765.84</v>
      </c>
      <c r="G211" s="767">
        <v>274</v>
      </c>
      <c r="H211" s="768">
        <f t="shared" si="40"/>
        <v>5589.5999999999995</v>
      </c>
      <c r="I211" s="482">
        <f t="shared" si="44"/>
        <v>-89.4</v>
      </c>
      <c r="J211" s="481">
        <f t="shared" si="42"/>
        <v>-1823.76</v>
      </c>
    </row>
    <row r="212" spans="1:11" s="514" customFormat="1" ht="21.75" customHeight="1" x14ac:dyDescent="0.3">
      <c r="A212" s="443">
        <f t="shared" si="41"/>
        <v>200</v>
      </c>
      <c r="B212" s="507" t="s">
        <v>2068</v>
      </c>
      <c r="C212" s="508" t="s">
        <v>5</v>
      </c>
      <c r="D212" s="516">
        <f>34*1.02</f>
        <v>34.68</v>
      </c>
      <c r="E212" s="510">
        <f t="shared" si="43"/>
        <v>490.88</v>
      </c>
      <c r="F212" s="511">
        <v>17023.72</v>
      </c>
      <c r="G212" s="769">
        <f>E212</f>
        <v>490.88</v>
      </c>
      <c r="H212" s="768">
        <f t="shared" si="40"/>
        <v>17023.718399999998</v>
      </c>
      <c r="I212" s="512">
        <f t="shared" si="44"/>
        <v>0</v>
      </c>
      <c r="J212" s="513">
        <f t="shared" si="42"/>
        <v>0</v>
      </c>
      <c r="K212" s="521"/>
    </row>
    <row r="213" spans="1:11" s="514" customFormat="1" ht="21.75" customHeight="1" x14ac:dyDescent="0.3">
      <c r="A213" s="443">
        <f t="shared" si="41"/>
        <v>201</v>
      </c>
      <c r="B213" s="507" t="s">
        <v>2069</v>
      </c>
      <c r="C213" s="508" t="s">
        <v>5</v>
      </c>
      <c r="D213" s="516">
        <f>64*1.02</f>
        <v>65.28</v>
      </c>
      <c r="E213" s="510">
        <f t="shared" si="43"/>
        <v>210.38</v>
      </c>
      <c r="F213" s="511">
        <v>13733.61</v>
      </c>
      <c r="G213" s="769">
        <f t="shared" ref="G213:G222" si="45">E213</f>
        <v>210.38</v>
      </c>
      <c r="H213" s="768">
        <f t="shared" si="40"/>
        <v>13733.606400000001</v>
      </c>
      <c r="I213" s="512">
        <f t="shared" si="44"/>
        <v>0</v>
      </c>
      <c r="J213" s="513">
        <f t="shared" si="42"/>
        <v>0</v>
      </c>
      <c r="K213" s="521"/>
    </row>
    <row r="214" spans="1:11" s="514" customFormat="1" ht="21.75" customHeight="1" x14ac:dyDescent="0.3">
      <c r="A214" s="443">
        <f t="shared" si="41"/>
        <v>202</v>
      </c>
      <c r="B214" s="507" t="s">
        <v>2070</v>
      </c>
      <c r="C214" s="508" t="s">
        <v>5</v>
      </c>
      <c r="D214" s="516">
        <f>18*1.02</f>
        <v>18.36</v>
      </c>
      <c r="E214" s="510">
        <f t="shared" si="43"/>
        <v>490.88</v>
      </c>
      <c r="F214" s="511">
        <v>9012.56</v>
      </c>
      <c r="G214" s="769">
        <f t="shared" si="45"/>
        <v>490.88</v>
      </c>
      <c r="H214" s="768">
        <f t="shared" si="40"/>
        <v>9012.5568000000003</v>
      </c>
      <c r="I214" s="512">
        <f t="shared" si="44"/>
        <v>0</v>
      </c>
      <c r="J214" s="513">
        <f t="shared" si="42"/>
        <v>0</v>
      </c>
      <c r="K214" s="521"/>
    </row>
    <row r="215" spans="1:11" s="514" customFormat="1" ht="21.75" customHeight="1" x14ac:dyDescent="0.3">
      <c r="A215" s="443">
        <f t="shared" si="41"/>
        <v>203</v>
      </c>
      <c r="B215" s="507" t="s">
        <v>2071</v>
      </c>
      <c r="C215" s="508" t="s">
        <v>5</v>
      </c>
      <c r="D215" s="516">
        <f>18*1.02</f>
        <v>18.36</v>
      </c>
      <c r="E215" s="510">
        <f t="shared" si="43"/>
        <v>660.24</v>
      </c>
      <c r="F215" s="511">
        <v>12122.01</v>
      </c>
      <c r="G215" s="769">
        <f t="shared" si="45"/>
        <v>660.24</v>
      </c>
      <c r="H215" s="768">
        <f t="shared" si="40"/>
        <v>12122.0064</v>
      </c>
      <c r="I215" s="512">
        <f t="shared" si="44"/>
        <v>0</v>
      </c>
      <c r="J215" s="513">
        <f t="shared" si="42"/>
        <v>0</v>
      </c>
      <c r="K215" s="521"/>
    </row>
    <row r="216" spans="1:11" s="514" customFormat="1" ht="21.75" customHeight="1" x14ac:dyDescent="0.3">
      <c r="A216" s="443">
        <f t="shared" si="41"/>
        <v>204</v>
      </c>
      <c r="B216" s="507" t="s">
        <v>2072</v>
      </c>
      <c r="C216" s="508" t="s">
        <v>5</v>
      </c>
      <c r="D216" s="516">
        <f>64*1.02</f>
        <v>65.28</v>
      </c>
      <c r="E216" s="510">
        <f t="shared" si="43"/>
        <v>373.58</v>
      </c>
      <c r="F216" s="511">
        <v>24387.3</v>
      </c>
      <c r="G216" s="769">
        <f t="shared" si="45"/>
        <v>373.58</v>
      </c>
      <c r="H216" s="768">
        <f t="shared" si="40"/>
        <v>24387.3024</v>
      </c>
      <c r="I216" s="512">
        <f t="shared" si="44"/>
        <v>0</v>
      </c>
      <c r="J216" s="513">
        <f t="shared" si="42"/>
        <v>0</v>
      </c>
      <c r="K216" s="521"/>
    </row>
    <row r="217" spans="1:11" s="514" customFormat="1" ht="21.75" customHeight="1" x14ac:dyDescent="0.3">
      <c r="A217" s="443">
        <f t="shared" si="41"/>
        <v>205</v>
      </c>
      <c r="B217" s="507" t="s">
        <v>2073</v>
      </c>
      <c r="C217" s="508" t="s">
        <v>40</v>
      </c>
      <c r="D217" s="509">
        <v>2</v>
      </c>
      <c r="E217" s="510">
        <f t="shared" si="43"/>
        <v>35548.28</v>
      </c>
      <c r="F217" s="511">
        <f>2*35548.28</f>
        <v>71096.56</v>
      </c>
      <c r="G217" s="769">
        <f t="shared" si="45"/>
        <v>35548.28</v>
      </c>
      <c r="H217" s="768">
        <f t="shared" si="40"/>
        <v>71096.56</v>
      </c>
      <c r="I217" s="512">
        <f t="shared" si="44"/>
        <v>0</v>
      </c>
      <c r="J217" s="513">
        <f t="shared" si="42"/>
        <v>0</v>
      </c>
      <c r="K217" s="521"/>
    </row>
    <row r="218" spans="1:11" s="514" customFormat="1" ht="21.75" customHeight="1" x14ac:dyDescent="0.3">
      <c r="A218" s="443">
        <f t="shared" si="41"/>
        <v>206</v>
      </c>
      <c r="B218" s="507" t="s">
        <v>2074</v>
      </c>
      <c r="C218" s="508" t="s">
        <v>40</v>
      </c>
      <c r="D218" s="509">
        <f>2*2</f>
        <v>4</v>
      </c>
      <c r="E218" s="510">
        <f t="shared" si="43"/>
        <v>323</v>
      </c>
      <c r="F218" s="511">
        <v>1292</v>
      </c>
      <c r="G218" s="769">
        <f t="shared" si="45"/>
        <v>323</v>
      </c>
      <c r="H218" s="768">
        <f t="shared" si="40"/>
        <v>1292</v>
      </c>
      <c r="I218" s="512">
        <f t="shared" si="44"/>
        <v>0</v>
      </c>
      <c r="J218" s="513">
        <f t="shared" si="42"/>
        <v>0</v>
      </c>
      <c r="K218" s="521"/>
    </row>
    <row r="219" spans="1:11" s="514" customFormat="1" ht="21.75" customHeight="1" x14ac:dyDescent="0.3">
      <c r="A219" s="443">
        <f t="shared" si="41"/>
        <v>207</v>
      </c>
      <c r="B219" s="507" t="s">
        <v>2075</v>
      </c>
      <c r="C219" s="508" t="s">
        <v>40</v>
      </c>
      <c r="D219" s="509">
        <v>4</v>
      </c>
      <c r="E219" s="510">
        <f t="shared" si="43"/>
        <v>510</v>
      </c>
      <c r="F219" s="511">
        <v>2040</v>
      </c>
      <c r="G219" s="769">
        <f t="shared" si="45"/>
        <v>510</v>
      </c>
      <c r="H219" s="768">
        <f t="shared" si="40"/>
        <v>2040</v>
      </c>
      <c r="I219" s="512">
        <f t="shared" si="44"/>
        <v>0</v>
      </c>
      <c r="J219" s="513">
        <f t="shared" si="42"/>
        <v>0</v>
      </c>
      <c r="K219" s="521"/>
    </row>
    <row r="220" spans="1:11" s="514" customFormat="1" ht="21.75" customHeight="1" x14ac:dyDescent="0.3">
      <c r="A220" s="443">
        <f t="shared" si="41"/>
        <v>208</v>
      </c>
      <c r="B220" s="507" t="s">
        <v>2076</v>
      </c>
      <c r="C220" s="508" t="s">
        <v>40</v>
      </c>
      <c r="D220" s="509">
        <v>2</v>
      </c>
      <c r="E220" s="510">
        <f t="shared" si="43"/>
        <v>1419.5</v>
      </c>
      <c r="F220" s="511">
        <v>2839</v>
      </c>
      <c r="G220" s="769">
        <f t="shared" si="45"/>
        <v>1419.5</v>
      </c>
      <c r="H220" s="768">
        <f t="shared" si="40"/>
        <v>2839</v>
      </c>
      <c r="I220" s="512">
        <f t="shared" si="44"/>
        <v>0</v>
      </c>
      <c r="J220" s="513">
        <f t="shared" si="42"/>
        <v>0</v>
      </c>
      <c r="K220" s="521"/>
    </row>
    <row r="221" spans="1:11" s="514" customFormat="1" ht="21.75" customHeight="1" x14ac:dyDescent="0.3">
      <c r="A221" s="443">
        <f t="shared" si="41"/>
        <v>209</v>
      </c>
      <c r="B221" s="507" t="s">
        <v>2077</v>
      </c>
      <c r="C221" s="508" t="s">
        <v>40</v>
      </c>
      <c r="D221" s="509">
        <v>6</v>
      </c>
      <c r="E221" s="510">
        <f t="shared" si="43"/>
        <v>1167.9000000000001</v>
      </c>
      <c r="F221" s="511">
        <v>7007.4</v>
      </c>
      <c r="G221" s="769">
        <f t="shared" si="45"/>
        <v>1167.9000000000001</v>
      </c>
      <c r="H221" s="768">
        <f t="shared" si="40"/>
        <v>7007.4000000000005</v>
      </c>
      <c r="I221" s="512">
        <f t="shared" si="44"/>
        <v>0</v>
      </c>
      <c r="J221" s="513">
        <f t="shared" si="42"/>
        <v>0</v>
      </c>
      <c r="K221" s="521"/>
    </row>
    <row r="222" spans="1:11" s="514" customFormat="1" ht="21.75" customHeight="1" x14ac:dyDescent="0.3">
      <c r="A222" s="443">
        <f t="shared" si="41"/>
        <v>210</v>
      </c>
      <c r="B222" s="507" t="s">
        <v>2078</v>
      </c>
      <c r="C222" s="508" t="s">
        <v>40</v>
      </c>
      <c r="D222" s="509">
        <v>4</v>
      </c>
      <c r="E222" s="510">
        <f t="shared" si="43"/>
        <v>558.45000000000005</v>
      </c>
      <c r="F222" s="511">
        <v>2233.8000000000002</v>
      </c>
      <c r="G222" s="769">
        <f t="shared" si="45"/>
        <v>558.45000000000005</v>
      </c>
      <c r="H222" s="768">
        <f t="shared" si="40"/>
        <v>2233.8000000000002</v>
      </c>
      <c r="I222" s="512">
        <f t="shared" si="44"/>
        <v>0</v>
      </c>
      <c r="J222" s="513">
        <f t="shared" si="42"/>
        <v>0</v>
      </c>
      <c r="K222" s="521"/>
    </row>
    <row r="223" spans="1:11" ht="23.25" customHeight="1" x14ac:dyDescent="0.3">
      <c r="A223" s="443">
        <f t="shared" si="41"/>
        <v>211</v>
      </c>
      <c r="B223" s="428" t="s">
        <v>377</v>
      </c>
      <c r="C223" s="442" t="s">
        <v>5</v>
      </c>
      <c r="D223" s="493">
        <v>18</v>
      </c>
      <c r="E223" s="647">
        <f t="shared" si="43"/>
        <v>82.49</v>
      </c>
      <c r="F223" s="648">
        <v>1484.88</v>
      </c>
      <c r="G223" s="767">
        <v>147</v>
      </c>
      <c r="H223" s="768">
        <f t="shared" si="40"/>
        <v>2646</v>
      </c>
      <c r="I223" s="482">
        <f t="shared" si="44"/>
        <v>-64.510000000000005</v>
      </c>
      <c r="J223" s="481">
        <f t="shared" si="42"/>
        <v>-1161.1199999999999</v>
      </c>
    </row>
    <row r="224" spans="1:11" ht="23.25" customHeight="1" x14ac:dyDescent="0.3">
      <c r="A224" s="443">
        <f t="shared" si="41"/>
        <v>212</v>
      </c>
      <c r="B224" s="428" t="s">
        <v>2079</v>
      </c>
      <c r="C224" s="442" t="s">
        <v>40</v>
      </c>
      <c r="D224" s="493">
        <v>4</v>
      </c>
      <c r="E224" s="647">
        <f t="shared" si="43"/>
        <v>23.76</v>
      </c>
      <c r="F224" s="648">
        <v>95.05</v>
      </c>
      <c r="G224" s="767">
        <v>62</v>
      </c>
      <c r="H224" s="768">
        <f t="shared" si="40"/>
        <v>248</v>
      </c>
      <c r="I224" s="482">
        <f t="shared" si="44"/>
        <v>-38.239999999999995</v>
      </c>
      <c r="J224" s="481">
        <f t="shared" si="42"/>
        <v>-152.94999999999999</v>
      </c>
    </row>
    <row r="225" spans="1:11" ht="23.25" customHeight="1" x14ac:dyDescent="0.3">
      <c r="A225" s="443">
        <f t="shared" si="41"/>
        <v>213</v>
      </c>
      <c r="B225" s="428" t="s">
        <v>2080</v>
      </c>
      <c r="C225" s="442" t="s">
        <v>5</v>
      </c>
      <c r="D225" s="492">
        <f>8*1.03</f>
        <v>8.24</v>
      </c>
      <c r="E225" s="647">
        <f t="shared" si="43"/>
        <v>68.81</v>
      </c>
      <c r="F225" s="648">
        <v>566.97</v>
      </c>
      <c r="G225" s="767">
        <v>162</v>
      </c>
      <c r="H225" s="768">
        <f t="shared" si="40"/>
        <v>1334.88</v>
      </c>
      <c r="I225" s="482">
        <f t="shared" si="44"/>
        <v>-93.19</v>
      </c>
      <c r="J225" s="481">
        <f t="shared" si="42"/>
        <v>-767.91</v>
      </c>
    </row>
    <row r="226" spans="1:11" s="514" customFormat="1" ht="21.75" customHeight="1" x14ac:dyDescent="0.3">
      <c r="A226" s="443">
        <f t="shared" si="41"/>
        <v>214</v>
      </c>
      <c r="B226" s="507" t="s">
        <v>2081</v>
      </c>
      <c r="C226" s="508" t="s">
        <v>40</v>
      </c>
      <c r="D226" s="509">
        <v>1</v>
      </c>
      <c r="E226" s="510">
        <f t="shared" si="43"/>
        <v>1982265.12</v>
      </c>
      <c r="F226" s="511">
        <v>1982265.12</v>
      </c>
      <c r="G226" s="780">
        <v>1958760</v>
      </c>
      <c r="H226" s="768">
        <f t="shared" si="40"/>
        <v>1958760</v>
      </c>
      <c r="I226" s="512">
        <f t="shared" si="44"/>
        <v>23505.120000000112</v>
      </c>
      <c r="J226" s="513">
        <f t="shared" si="42"/>
        <v>23505.119999999999</v>
      </c>
      <c r="K226" s="521"/>
    </row>
    <row r="227" spans="1:11" s="514" customFormat="1" ht="34.5" customHeight="1" x14ac:dyDescent="0.3">
      <c r="A227" s="443">
        <f t="shared" si="41"/>
        <v>215</v>
      </c>
      <c r="B227" s="507" t="s">
        <v>2082</v>
      </c>
      <c r="C227" s="508" t="s">
        <v>40</v>
      </c>
      <c r="D227" s="509">
        <v>4</v>
      </c>
      <c r="E227" s="510">
        <f t="shared" si="43"/>
        <v>31450</v>
      </c>
      <c r="F227" s="511">
        <v>125800</v>
      </c>
      <c r="G227" s="769">
        <f t="shared" ref="G227:G234" si="46">E227</f>
        <v>31450</v>
      </c>
      <c r="H227" s="768">
        <f t="shared" si="40"/>
        <v>125800</v>
      </c>
      <c r="I227" s="512">
        <f t="shared" si="44"/>
        <v>0</v>
      </c>
      <c r="J227" s="513">
        <f t="shared" si="42"/>
        <v>0</v>
      </c>
      <c r="K227" s="521"/>
    </row>
    <row r="228" spans="1:11" s="514" customFormat="1" ht="21.75" customHeight="1" x14ac:dyDescent="0.3">
      <c r="A228" s="443">
        <f t="shared" si="41"/>
        <v>216</v>
      </c>
      <c r="B228" s="507" t="s">
        <v>2083</v>
      </c>
      <c r="C228" s="508" t="s">
        <v>40</v>
      </c>
      <c r="D228" s="509">
        <v>4</v>
      </c>
      <c r="E228" s="510">
        <f t="shared" si="43"/>
        <v>106250</v>
      </c>
      <c r="F228" s="511">
        <v>425000</v>
      </c>
      <c r="G228" s="769">
        <f t="shared" si="46"/>
        <v>106250</v>
      </c>
      <c r="H228" s="768">
        <f t="shared" si="40"/>
        <v>425000</v>
      </c>
      <c r="I228" s="512">
        <f t="shared" si="44"/>
        <v>0</v>
      </c>
      <c r="J228" s="513">
        <f t="shared" si="42"/>
        <v>0</v>
      </c>
      <c r="K228" s="521"/>
    </row>
    <row r="229" spans="1:11" s="514" customFormat="1" ht="21.75" customHeight="1" x14ac:dyDescent="0.3">
      <c r="A229" s="443">
        <f t="shared" si="41"/>
        <v>217</v>
      </c>
      <c r="B229" s="507" t="s">
        <v>2084</v>
      </c>
      <c r="C229" s="508" t="s">
        <v>40</v>
      </c>
      <c r="D229" s="509">
        <v>15</v>
      </c>
      <c r="E229" s="510">
        <f t="shared" si="43"/>
        <v>638.35</v>
      </c>
      <c r="F229" s="511">
        <v>9575.25</v>
      </c>
      <c r="G229" s="769">
        <f t="shared" si="46"/>
        <v>638.35</v>
      </c>
      <c r="H229" s="768">
        <f t="shared" si="40"/>
        <v>9575.25</v>
      </c>
      <c r="I229" s="512">
        <f t="shared" si="44"/>
        <v>0</v>
      </c>
      <c r="J229" s="513">
        <f t="shared" si="42"/>
        <v>0</v>
      </c>
      <c r="K229" s="521"/>
    </row>
    <row r="230" spans="1:11" s="514" customFormat="1" ht="21" customHeight="1" x14ac:dyDescent="0.3">
      <c r="A230" s="443">
        <f t="shared" si="41"/>
        <v>218</v>
      </c>
      <c r="B230" s="507" t="s">
        <v>2085</v>
      </c>
      <c r="C230" s="508" t="s">
        <v>40</v>
      </c>
      <c r="D230" s="509">
        <v>18</v>
      </c>
      <c r="E230" s="510">
        <f t="shared" si="43"/>
        <v>3581.9</v>
      </c>
      <c r="F230" s="511">
        <v>64474.2</v>
      </c>
      <c r="G230" s="769">
        <f t="shared" si="46"/>
        <v>3581.9</v>
      </c>
      <c r="H230" s="768">
        <f t="shared" si="40"/>
        <v>64474.200000000004</v>
      </c>
      <c r="I230" s="512">
        <f t="shared" si="44"/>
        <v>0</v>
      </c>
      <c r="J230" s="513">
        <f t="shared" si="42"/>
        <v>0</v>
      </c>
      <c r="K230" s="521"/>
    </row>
    <row r="231" spans="1:11" ht="24" customHeight="1" x14ac:dyDescent="0.3">
      <c r="A231" s="443">
        <f t="shared" si="41"/>
        <v>219</v>
      </c>
      <c r="B231" s="507" t="s">
        <v>2086</v>
      </c>
      <c r="C231" s="732" t="s">
        <v>364</v>
      </c>
      <c r="D231" s="732">
        <v>2</v>
      </c>
      <c r="E231" s="510">
        <f t="shared" si="43"/>
        <v>3581.9</v>
      </c>
      <c r="F231" s="511">
        <v>7163.8</v>
      </c>
      <c r="G231" s="769">
        <f t="shared" si="46"/>
        <v>3581.9</v>
      </c>
      <c r="H231" s="768">
        <f t="shared" si="40"/>
        <v>7163.8</v>
      </c>
      <c r="I231" s="512">
        <f t="shared" si="44"/>
        <v>0</v>
      </c>
      <c r="J231" s="513">
        <f t="shared" si="44"/>
        <v>0</v>
      </c>
      <c r="K231" s="520"/>
    </row>
    <row r="232" spans="1:11" s="514" customFormat="1" ht="21.75" customHeight="1" x14ac:dyDescent="0.3">
      <c r="A232" s="443">
        <f t="shared" si="41"/>
        <v>220</v>
      </c>
      <c r="B232" s="507" t="s">
        <v>2087</v>
      </c>
      <c r="C232" s="508" t="s">
        <v>5</v>
      </c>
      <c r="D232" s="509">
        <v>224</v>
      </c>
      <c r="E232" s="510">
        <f t="shared" si="43"/>
        <v>168.3</v>
      </c>
      <c r="F232" s="511">
        <v>37699.199999999997</v>
      </c>
      <c r="G232" s="769">
        <f t="shared" si="46"/>
        <v>168.3</v>
      </c>
      <c r="H232" s="768">
        <f t="shared" si="40"/>
        <v>37699.200000000004</v>
      </c>
      <c r="I232" s="512">
        <f t="shared" si="44"/>
        <v>0</v>
      </c>
      <c r="J232" s="513">
        <f t="shared" ref="J232:J264" si="47">ROUND(F232-H232,2)</f>
        <v>0</v>
      </c>
      <c r="K232" s="521"/>
    </row>
    <row r="233" spans="1:11" s="514" customFormat="1" ht="21" customHeight="1" x14ac:dyDescent="0.3">
      <c r="A233" s="443">
        <f t="shared" si="41"/>
        <v>221</v>
      </c>
      <c r="B233" s="507" t="s">
        <v>2088</v>
      </c>
      <c r="C233" s="508" t="s">
        <v>40</v>
      </c>
      <c r="D233" s="509">
        <v>10</v>
      </c>
      <c r="E233" s="510">
        <f t="shared" si="43"/>
        <v>5158.6499999999996</v>
      </c>
      <c r="F233" s="511">
        <v>51586.5</v>
      </c>
      <c r="G233" s="769">
        <f t="shared" si="46"/>
        <v>5158.6499999999996</v>
      </c>
      <c r="H233" s="768">
        <f t="shared" si="40"/>
        <v>51586.5</v>
      </c>
      <c r="I233" s="512">
        <f t="shared" si="44"/>
        <v>0</v>
      </c>
      <c r="J233" s="513">
        <f t="shared" si="47"/>
        <v>0</v>
      </c>
      <c r="K233" s="521"/>
    </row>
    <row r="234" spans="1:11" s="514" customFormat="1" ht="21.75" customHeight="1" x14ac:dyDescent="0.3">
      <c r="A234" s="443">
        <f t="shared" si="41"/>
        <v>222</v>
      </c>
      <c r="B234" s="507" t="s">
        <v>2090</v>
      </c>
      <c r="C234" s="508" t="s">
        <v>40</v>
      </c>
      <c r="D234" s="509">
        <v>1</v>
      </c>
      <c r="E234" s="510">
        <f t="shared" si="43"/>
        <v>285600</v>
      </c>
      <c r="F234" s="511">
        <v>285600</v>
      </c>
      <c r="G234" s="769">
        <f t="shared" si="46"/>
        <v>285600</v>
      </c>
      <c r="H234" s="768">
        <f t="shared" si="40"/>
        <v>285600</v>
      </c>
      <c r="I234" s="512">
        <f t="shared" si="44"/>
        <v>0</v>
      </c>
      <c r="J234" s="513">
        <f t="shared" si="47"/>
        <v>0</v>
      </c>
      <c r="K234" s="521"/>
    </row>
    <row r="235" spans="1:11" ht="23.25" customHeight="1" x14ac:dyDescent="0.3">
      <c r="A235" s="443">
        <f t="shared" si="41"/>
        <v>223</v>
      </c>
      <c r="B235" s="428" t="s">
        <v>2123</v>
      </c>
      <c r="C235" s="442" t="s">
        <v>5</v>
      </c>
      <c r="D235" s="496">
        <v>2.5</v>
      </c>
      <c r="E235" s="647">
        <f t="shared" si="43"/>
        <v>67.540000000000006</v>
      </c>
      <c r="F235" s="648">
        <v>168.84</v>
      </c>
      <c r="G235" s="767">
        <v>908</v>
      </c>
      <c r="H235" s="768">
        <f t="shared" si="40"/>
        <v>2270</v>
      </c>
      <c r="I235" s="482">
        <f t="shared" si="44"/>
        <v>-840.46</v>
      </c>
      <c r="J235" s="481">
        <f t="shared" si="47"/>
        <v>-2101.16</v>
      </c>
    </row>
    <row r="236" spans="1:11" ht="23.25" customHeight="1" x14ac:dyDescent="0.3">
      <c r="A236" s="443">
        <f t="shared" si="41"/>
        <v>224</v>
      </c>
      <c r="B236" s="428" t="s">
        <v>2092</v>
      </c>
      <c r="C236" s="442" t="s">
        <v>40</v>
      </c>
      <c r="D236" s="493">
        <v>2</v>
      </c>
      <c r="E236" s="647">
        <f t="shared" si="43"/>
        <v>5.43</v>
      </c>
      <c r="F236" s="648">
        <v>10.85</v>
      </c>
      <c r="G236" s="767">
        <v>5</v>
      </c>
      <c r="H236" s="768">
        <f t="shared" si="40"/>
        <v>10</v>
      </c>
      <c r="I236" s="482">
        <f t="shared" si="44"/>
        <v>0.42999999999999972</v>
      </c>
      <c r="J236" s="481">
        <f t="shared" si="47"/>
        <v>0.85</v>
      </c>
    </row>
    <row r="237" spans="1:11" ht="23.25" customHeight="1" x14ac:dyDescent="0.3">
      <c r="A237" s="443">
        <f t="shared" si="41"/>
        <v>225</v>
      </c>
      <c r="B237" s="428" t="s">
        <v>2093</v>
      </c>
      <c r="C237" s="442" t="s">
        <v>1385</v>
      </c>
      <c r="D237" s="493">
        <v>4</v>
      </c>
      <c r="E237" s="647">
        <f t="shared" si="43"/>
        <v>3.62</v>
      </c>
      <c r="F237" s="648">
        <f>14.21+0.26</f>
        <v>14.47</v>
      </c>
      <c r="G237" s="767">
        <v>1</v>
      </c>
      <c r="H237" s="768">
        <f t="shared" si="40"/>
        <v>4</v>
      </c>
      <c r="I237" s="482">
        <f t="shared" si="44"/>
        <v>2.62</v>
      </c>
      <c r="J237" s="481">
        <f t="shared" si="47"/>
        <v>10.47</v>
      </c>
    </row>
    <row r="238" spans="1:11" s="514" customFormat="1" ht="21" customHeight="1" x14ac:dyDescent="0.3">
      <c r="A238" s="443">
        <f t="shared" si="41"/>
        <v>226</v>
      </c>
      <c r="B238" s="507" t="s">
        <v>2094</v>
      </c>
      <c r="C238" s="508" t="s">
        <v>40</v>
      </c>
      <c r="D238" s="509">
        <v>3</v>
      </c>
      <c r="E238" s="510">
        <f t="shared" si="43"/>
        <v>68850</v>
      </c>
      <c r="F238" s="511">
        <v>206550</v>
      </c>
      <c r="G238" s="769">
        <f t="shared" ref="G238:G253" si="48">E238</f>
        <v>68850</v>
      </c>
      <c r="H238" s="768">
        <f t="shared" si="40"/>
        <v>206550</v>
      </c>
      <c r="I238" s="512">
        <f t="shared" si="44"/>
        <v>0</v>
      </c>
      <c r="J238" s="513">
        <f t="shared" si="47"/>
        <v>0</v>
      </c>
      <c r="K238" s="521"/>
    </row>
    <row r="239" spans="1:11" s="514" customFormat="1" ht="21.75" customHeight="1" x14ac:dyDescent="0.3">
      <c r="A239" s="443">
        <f t="shared" si="41"/>
        <v>227</v>
      </c>
      <c r="B239" s="507" t="s">
        <v>2095</v>
      </c>
      <c r="C239" s="508" t="s">
        <v>40</v>
      </c>
      <c r="D239" s="509">
        <v>20</v>
      </c>
      <c r="E239" s="510">
        <f t="shared" si="43"/>
        <v>2106.3000000000002</v>
      </c>
      <c r="F239" s="511">
        <v>42126</v>
      </c>
      <c r="G239" s="769">
        <f t="shared" si="48"/>
        <v>2106.3000000000002</v>
      </c>
      <c r="H239" s="768">
        <f t="shared" si="40"/>
        <v>42126</v>
      </c>
      <c r="I239" s="512">
        <f t="shared" si="44"/>
        <v>0</v>
      </c>
      <c r="J239" s="513">
        <f t="shared" si="47"/>
        <v>0</v>
      </c>
      <c r="K239" s="521"/>
    </row>
    <row r="240" spans="1:11" s="514" customFormat="1" ht="21.75" customHeight="1" x14ac:dyDescent="0.3">
      <c r="A240" s="443">
        <f t="shared" si="41"/>
        <v>228</v>
      </c>
      <c r="B240" s="507" t="s">
        <v>2096</v>
      </c>
      <c r="C240" s="508" t="s">
        <v>40</v>
      </c>
      <c r="D240" s="509">
        <v>3</v>
      </c>
      <c r="E240" s="510">
        <f t="shared" si="43"/>
        <v>2986.9</v>
      </c>
      <c r="F240" s="511">
        <v>8960.7000000000007</v>
      </c>
      <c r="G240" s="769">
        <f t="shared" si="48"/>
        <v>2986.9</v>
      </c>
      <c r="H240" s="768">
        <f t="shared" si="40"/>
        <v>8960.7000000000007</v>
      </c>
      <c r="I240" s="512">
        <f t="shared" si="44"/>
        <v>0</v>
      </c>
      <c r="J240" s="513">
        <f t="shared" si="47"/>
        <v>0</v>
      </c>
      <c r="K240" s="521"/>
    </row>
    <row r="241" spans="1:11" s="514" customFormat="1" ht="21" customHeight="1" x14ac:dyDescent="0.3">
      <c r="A241" s="443">
        <f t="shared" si="41"/>
        <v>229</v>
      </c>
      <c r="B241" s="507" t="s">
        <v>2097</v>
      </c>
      <c r="C241" s="508" t="s">
        <v>2098</v>
      </c>
      <c r="D241" s="509">
        <v>10</v>
      </c>
      <c r="E241" s="510">
        <f t="shared" si="43"/>
        <v>2277.15</v>
      </c>
      <c r="F241" s="511">
        <v>22771.5</v>
      </c>
      <c r="G241" s="769">
        <f t="shared" si="48"/>
        <v>2277.15</v>
      </c>
      <c r="H241" s="768">
        <f t="shared" si="40"/>
        <v>22771.5</v>
      </c>
      <c r="I241" s="512">
        <f t="shared" si="44"/>
        <v>0</v>
      </c>
      <c r="J241" s="513">
        <f t="shared" si="47"/>
        <v>0</v>
      </c>
      <c r="K241" s="521"/>
    </row>
    <row r="242" spans="1:11" s="514" customFormat="1" ht="21.75" customHeight="1" x14ac:dyDescent="0.3">
      <c r="A242" s="443">
        <f t="shared" si="41"/>
        <v>230</v>
      </c>
      <c r="B242" s="507" t="s">
        <v>2099</v>
      </c>
      <c r="C242" s="508" t="s">
        <v>5</v>
      </c>
      <c r="D242" s="516">
        <f>14*1.02+43*1.02</f>
        <v>58.14</v>
      </c>
      <c r="E242" s="510">
        <f t="shared" si="43"/>
        <v>306</v>
      </c>
      <c r="F242" s="511">
        <f>4369.68+13421.16</f>
        <v>17790.84</v>
      </c>
      <c r="G242" s="769">
        <f t="shared" si="48"/>
        <v>306</v>
      </c>
      <c r="H242" s="768">
        <f t="shared" si="40"/>
        <v>17790.84</v>
      </c>
      <c r="I242" s="512">
        <f t="shared" si="44"/>
        <v>0</v>
      </c>
      <c r="J242" s="513">
        <f t="shared" si="47"/>
        <v>0</v>
      </c>
      <c r="K242" s="521"/>
    </row>
    <row r="243" spans="1:11" s="514" customFormat="1" ht="21.75" customHeight="1" x14ac:dyDescent="0.3">
      <c r="A243" s="443">
        <f t="shared" si="41"/>
        <v>231</v>
      </c>
      <c r="B243" s="507" t="s">
        <v>2100</v>
      </c>
      <c r="C243" s="508" t="s">
        <v>5</v>
      </c>
      <c r="D243" s="516">
        <f>172*1.02+64*1.02</f>
        <v>240.72</v>
      </c>
      <c r="E243" s="510">
        <f t="shared" si="43"/>
        <v>204</v>
      </c>
      <c r="F243" s="511">
        <f>35789.76+13317.12</f>
        <v>49106.880000000005</v>
      </c>
      <c r="G243" s="769">
        <f t="shared" si="48"/>
        <v>204</v>
      </c>
      <c r="H243" s="768">
        <f t="shared" si="40"/>
        <v>49106.879999999997</v>
      </c>
      <c r="I243" s="512">
        <f t="shared" si="44"/>
        <v>0</v>
      </c>
      <c r="J243" s="513">
        <f t="shared" si="47"/>
        <v>0</v>
      </c>
      <c r="K243" s="521"/>
    </row>
    <row r="244" spans="1:11" s="514" customFormat="1" ht="21.75" customHeight="1" x14ac:dyDescent="0.3">
      <c r="A244" s="443">
        <f t="shared" si="41"/>
        <v>232</v>
      </c>
      <c r="B244" s="507" t="s">
        <v>2101</v>
      </c>
      <c r="C244" s="508" t="s">
        <v>5</v>
      </c>
      <c r="D244" s="516">
        <f>29*1.02+16*1.02</f>
        <v>45.900000000000006</v>
      </c>
      <c r="E244" s="510">
        <f t="shared" si="43"/>
        <v>326.39999999999998</v>
      </c>
      <c r="F244" s="511">
        <f>9654.91+5326.85</f>
        <v>14981.76</v>
      </c>
      <c r="G244" s="769">
        <f t="shared" si="48"/>
        <v>326.39999999999998</v>
      </c>
      <c r="H244" s="768">
        <f t="shared" si="40"/>
        <v>14981.76</v>
      </c>
      <c r="I244" s="512">
        <f t="shared" si="44"/>
        <v>0</v>
      </c>
      <c r="J244" s="513">
        <f t="shared" si="47"/>
        <v>0</v>
      </c>
      <c r="K244" s="521"/>
    </row>
    <row r="245" spans="1:11" s="514" customFormat="1" ht="21.75" customHeight="1" x14ac:dyDescent="0.3">
      <c r="A245" s="443">
        <f t="shared" si="41"/>
        <v>233</v>
      </c>
      <c r="B245" s="507" t="s">
        <v>2102</v>
      </c>
      <c r="C245" s="508" t="s">
        <v>5</v>
      </c>
      <c r="D245" s="516">
        <f>277*1.02+148*1.02</f>
        <v>433.5</v>
      </c>
      <c r="E245" s="510">
        <f t="shared" si="43"/>
        <v>485.78</v>
      </c>
      <c r="F245" s="511">
        <f>137252.28+73333.35</f>
        <v>210585.63</v>
      </c>
      <c r="G245" s="769">
        <f t="shared" si="48"/>
        <v>485.78</v>
      </c>
      <c r="H245" s="768">
        <f t="shared" si="40"/>
        <v>210585.62999999998</v>
      </c>
      <c r="I245" s="512">
        <f t="shared" si="44"/>
        <v>0</v>
      </c>
      <c r="J245" s="513">
        <f t="shared" si="47"/>
        <v>0</v>
      </c>
      <c r="K245" s="521"/>
    </row>
    <row r="246" spans="1:11" s="514" customFormat="1" ht="21.75" customHeight="1" x14ac:dyDescent="0.3">
      <c r="A246" s="443">
        <f t="shared" si="41"/>
        <v>234</v>
      </c>
      <c r="B246" s="507" t="s">
        <v>2062</v>
      </c>
      <c r="C246" s="508" t="s">
        <v>5</v>
      </c>
      <c r="D246" s="516">
        <f>72*1.02</f>
        <v>73.44</v>
      </c>
      <c r="E246" s="510">
        <f t="shared" si="43"/>
        <v>142.80000000000001</v>
      </c>
      <c r="F246" s="511">
        <v>10487.23</v>
      </c>
      <c r="G246" s="769">
        <f t="shared" si="48"/>
        <v>142.80000000000001</v>
      </c>
      <c r="H246" s="768">
        <f t="shared" si="40"/>
        <v>10487.232</v>
      </c>
      <c r="I246" s="512">
        <f t="shared" si="44"/>
        <v>0</v>
      </c>
      <c r="J246" s="513">
        <f t="shared" si="47"/>
        <v>0</v>
      </c>
      <c r="K246" s="521"/>
    </row>
    <row r="247" spans="1:11" s="514" customFormat="1" ht="21.75" customHeight="1" x14ac:dyDescent="0.3">
      <c r="A247" s="443">
        <f t="shared" si="41"/>
        <v>235</v>
      </c>
      <c r="B247" s="507" t="s">
        <v>2103</v>
      </c>
      <c r="C247" s="508" t="s">
        <v>5</v>
      </c>
      <c r="D247" s="516">
        <f>10*1.02</f>
        <v>10.199999999999999</v>
      </c>
      <c r="E247" s="510">
        <f t="shared" si="43"/>
        <v>298.77999999999997</v>
      </c>
      <c r="F247" s="511">
        <v>3047.56</v>
      </c>
      <c r="G247" s="769">
        <f t="shared" si="48"/>
        <v>298.77999999999997</v>
      </c>
      <c r="H247" s="768">
        <f t="shared" si="40"/>
        <v>3047.5559999999996</v>
      </c>
      <c r="I247" s="512">
        <f t="shared" si="44"/>
        <v>0</v>
      </c>
      <c r="J247" s="513">
        <f t="shared" si="47"/>
        <v>0</v>
      </c>
      <c r="K247" s="521"/>
    </row>
    <row r="248" spans="1:11" s="514" customFormat="1" ht="21.75" customHeight="1" x14ac:dyDescent="0.3">
      <c r="A248" s="443">
        <f t="shared" si="41"/>
        <v>236</v>
      </c>
      <c r="B248" s="507" t="s">
        <v>2104</v>
      </c>
      <c r="C248" s="508" t="s">
        <v>40</v>
      </c>
      <c r="D248" s="509">
        <v>3</v>
      </c>
      <c r="E248" s="510">
        <f t="shared" si="43"/>
        <v>242250</v>
      </c>
      <c r="F248" s="511">
        <v>726750</v>
      </c>
      <c r="G248" s="769">
        <f t="shared" si="48"/>
        <v>242250</v>
      </c>
      <c r="H248" s="768">
        <f t="shared" si="40"/>
        <v>726750</v>
      </c>
      <c r="I248" s="512">
        <f t="shared" si="44"/>
        <v>0</v>
      </c>
      <c r="J248" s="513">
        <f t="shared" si="47"/>
        <v>0</v>
      </c>
      <c r="K248" s="521"/>
    </row>
    <row r="249" spans="1:11" s="514" customFormat="1" ht="21.75" customHeight="1" x14ac:dyDescent="0.3">
      <c r="A249" s="443">
        <f t="shared" si="41"/>
        <v>237</v>
      </c>
      <c r="B249" s="507" t="s">
        <v>2105</v>
      </c>
      <c r="C249" s="508" t="s">
        <v>40</v>
      </c>
      <c r="D249" s="509">
        <v>1</v>
      </c>
      <c r="E249" s="510">
        <f t="shared" si="43"/>
        <v>205700</v>
      </c>
      <c r="F249" s="511">
        <v>205700</v>
      </c>
      <c r="G249" s="769">
        <f t="shared" si="48"/>
        <v>205700</v>
      </c>
      <c r="H249" s="768">
        <f t="shared" si="40"/>
        <v>205700</v>
      </c>
      <c r="I249" s="512">
        <f t="shared" si="44"/>
        <v>0</v>
      </c>
      <c r="J249" s="513">
        <f t="shared" si="47"/>
        <v>0</v>
      </c>
      <c r="K249" s="521"/>
    </row>
    <row r="250" spans="1:11" s="514" customFormat="1" ht="21.75" customHeight="1" x14ac:dyDescent="0.3">
      <c r="A250" s="443">
        <f t="shared" si="41"/>
        <v>238</v>
      </c>
      <c r="B250" s="507" t="s">
        <v>2106</v>
      </c>
      <c r="C250" s="508" t="s">
        <v>40</v>
      </c>
      <c r="D250" s="509">
        <v>1</v>
      </c>
      <c r="E250" s="510">
        <f t="shared" si="43"/>
        <v>186150</v>
      </c>
      <c r="F250" s="511">
        <v>186150</v>
      </c>
      <c r="G250" s="769">
        <f t="shared" si="48"/>
        <v>186150</v>
      </c>
      <c r="H250" s="768">
        <f t="shared" si="40"/>
        <v>186150</v>
      </c>
      <c r="I250" s="512">
        <f t="shared" si="44"/>
        <v>0</v>
      </c>
      <c r="J250" s="513">
        <f t="shared" si="47"/>
        <v>0</v>
      </c>
      <c r="K250" s="521"/>
    </row>
    <row r="251" spans="1:11" s="514" customFormat="1" ht="21.75" customHeight="1" x14ac:dyDescent="0.3">
      <c r="A251" s="443">
        <f t="shared" si="41"/>
        <v>239</v>
      </c>
      <c r="B251" s="507" t="s">
        <v>2107</v>
      </c>
      <c r="C251" s="508" t="s">
        <v>40</v>
      </c>
      <c r="D251" s="509">
        <v>1</v>
      </c>
      <c r="E251" s="510">
        <f t="shared" si="43"/>
        <v>814300</v>
      </c>
      <c r="F251" s="511">
        <v>814300</v>
      </c>
      <c r="G251" s="769">
        <f t="shared" si="48"/>
        <v>814300</v>
      </c>
      <c r="H251" s="768">
        <f t="shared" si="40"/>
        <v>814300</v>
      </c>
      <c r="I251" s="512">
        <f t="shared" si="44"/>
        <v>0</v>
      </c>
      <c r="J251" s="513">
        <f t="shared" si="47"/>
        <v>0</v>
      </c>
      <c r="K251" s="521"/>
    </row>
    <row r="252" spans="1:11" s="514" customFormat="1" ht="21.75" customHeight="1" x14ac:dyDescent="0.3">
      <c r="A252" s="443">
        <f t="shared" si="41"/>
        <v>240</v>
      </c>
      <c r="B252" s="507" t="s">
        <v>2108</v>
      </c>
      <c r="C252" s="508" t="s">
        <v>5</v>
      </c>
      <c r="D252" s="509">
        <f>2*5</f>
        <v>10</v>
      </c>
      <c r="E252" s="510">
        <f t="shared" si="43"/>
        <v>153</v>
      </c>
      <c r="F252" s="511">
        <f>765*2</f>
        <v>1530</v>
      </c>
      <c r="G252" s="769">
        <f t="shared" si="48"/>
        <v>153</v>
      </c>
      <c r="H252" s="768">
        <f t="shared" si="40"/>
        <v>1530</v>
      </c>
      <c r="I252" s="512">
        <f t="shared" si="44"/>
        <v>0</v>
      </c>
      <c r="J252" s="513">
        <f t="shared" si="47"/>
        <v>0</v>
      </c>
      <c r="K252" s="521"/>
    </row>
    <row r="253" spans="1:11" s="514" customFormat="1" ht="24.75" customHeight="1" x14ac:dyDescent="0.3">
      <c r="A253" s="443">
        <f t="shared" si="41"/>
        <v>241</v>
      </c>
      <c r="B253" s="507" t="s">
        <v>2109</v>
      </c>
      <c r="C253" s="508" t="s">
        <v>40</v>
      </c>
      <c r="D253" s="509">
        <f>2*6</f>
        <v>12</v>
      </c>
      <c r="E253" s="510">
        <f t="shared" si="43"/>
        <v>38.25</v>
      </c>
      <c r="F253" s="511">
        <f>229.5*2</f>
        <v>459</v>
      </c>
      <c r="G253" s="769">
        <f t="shared" si="48"/>
        <v>38.25</v>
      </c>
      <c r="H253" s="768">
        <f t="shared" si="40"/>
        <v>459</v>
      </c>
      <c r="I253" s="512">
        <f t="shared" si="44"/>
        <v>0</v>
      </c>
      <c r="J253" s="513">
        <f t="shared" si="47"/>
        <v>0</v>
      </c>
      <c r="K253" s="521"/>
    </row>
    <row r="254" spans="1:11" ht="23.25" customHeight="1" x14ac:dyDescent="0.3">
      <c r="A254" s="443">
        <f t="shared" si="41"/>
        <v>242</v>
      </c>
      <c r="B254" s="428" t="s">
        <v>2110</v>
      </c>
      <c r="C254" s="442" t="s">
        <v>1385</v>
      </c>
      <c r="D254" s="493">
        <f>1+1</f>
        <v>2</v>
      </c>
      <c r="E254" s="647">
        <f t="shared" si="43"/>
        <v>49.25</v>
      </c>
      <c r="F254" s="648">
        <f>49.25*2</f>
        <v>98.5</v>
      </c>
      <c r="G254" s="767">
        <v>78</v>
      </c>
      <c r="H254" s="768">
        <f t="shared" si="40"/>
        <v>156</v>
      </c>
      <c r="I254" s="482">
        <f t="shared" si="44"/>
        <v>-28.75</v>
      </c>
      <c r="J254" s="481">
        <f t="shared" si="47"/>
        <v>-57.5</v>
      </c>
    </row>
    <row r="255" spans="1:11" s="514" customFormat="1" ht="24.75" customHeight="1" x14ac:dyDescent="0.3">
      <c r="A255" s="443">
        <f t="shared" si="41"/>
        <v>243</v>
      </c>
      <c r="B255" s="507" t="s">
        <v>2111</v>
      </c>
      <c r="C255" s="508" t="s">
        <v>40</v>
      </c>
      <c r="D255" s="509">
        <v>1</v>
      </c>
      <c r="E255" s="510">
        <f t="shared" si="43"/>
        <v>3136500</v>
      </c>
      <c r="F255" s="511">
        <v>3136500</v>
      </c>
      <c r="G255" s="769">
        <f t="shared" ref="G255:G261" si="49">E255</f>
        <v>3136500</v>
      </c>
      <c r="H255" s="768">
        <f t="shared" si="40"/>
        <v>3136500</v>
      </c>
      <c r="I255" s="512">
        <f t="shared" si="44"/>
        <v>0</v>
      </c>
      <c r="J255" s="513">
        <f t="shared" si="47"/>
        <v>0</v>
      </c>
      <c r="K255" s="521"/>
    </row>
    <row r="256" spans="1:11" s="514" customFormat="1" ht="21.75" customHeight="1" x14ac:dyDescent="0.3">
      <c r="A256" s="443">
        <f t="shared" si="41"/>
        <v>244</v>
      </c>
      <c r="B256" s="507" t="s">
        <v>2112</v>
      </c>
      <c r="C256" s="508" t="s">
        <v>40</v>
      </c>
      <c r="D256" s="509">
        <v>1</v>
      </c>
      <c r="E256" s="510">
        <f t="shared" si="43"/>
        <v>1476450</v>
      </c>
      <c r="F256" s="511">
        <v>1476450</v>
      </c>
      <c r="G256" s="769">
        <f t="shared" si="49"/>
        <v>1476450</v>
      </c>
      <c r="H256" s="768">
        <f t="shared" si="40"/>
        <v>1476450</v>
      </c>
      <c r="I256" s="512">
        <f t="shared" si="44"/>
        <v>0</v>
      </c>
      <c r="J256" s="513">
        <f t="shared" si="47"/>
        <v>0</v>
      </c>
      <c r="K256" s="521"/>
    </row>
    <row r="257" spans="1:12" s="514" customFormat="1" ht="21.75" customHeight="1" x14ac:dyDescent="0.3">
      <c r="A257" s="443">
        <f t="shared" si="41"/>
        <v>245</v>
      </c>
      <c r="B257" s="507" t="s">
        <v>2113</v>
      </c>
      <c r="C257" s="508" t="s">
        <v>40</v>
      </c>
      <c r="D257" s="509">
        <v>4</v>
      </c>
      <c r="E257" s="510">
        <f t="shared" si="43"/>
        <v>460.2</v>
      </c>
      <c r="F257" s="511">
        <v>1840.8</v>
      </c>
      <c r="G257" s="769">
        <f t="shared" si="49"/>
        <v>460.2</v>
      </c>
      <c r="H257" s="768">
        <f t="shared" si="40"/>
        <v>1840.8</v>
      </c>
      <c r="I257" s="512">
        <f t="shared" si="44"/>
        <v>0</v>
      </c>
      <c r="J257" s="513">
        <f t="shared" si="47"/>
        <v>0</v>
      </c>
      <c r="K257" s="521"/>
    </row>
    <row r="258" spans="1:12" s="514" customFormat="1" ht="21.75" customHeight="1" x14ac:dyDescent="0.3">
      <c r="A258" s="443">
        <f t="shared" si="41"/>
        <v>246</v>
      </c>
      <c r="B258" s="507" t="s">
        <v>2121</v>
      </c>
      <c r="C258" s="508" t="s">
        <v>5</v>
      </c>
      <c r="D258" s="509">
        <v>1</v>
      </c>
      <c r="E258" s="510">
        <f t="shared" si="43"/>
        <v>430.22</v>
      </c>
      <c r="F258" s="511">
        <v>430.22</v>
      </c>
      <c r="G258" s="769">
        <f t="shared" si="49"/>
        <v>430.22</v>
      </c>
      <c r="H258" s="768">
        <f t="shared" si="40"/>
        <v>430.22</v>
      </c>
      <c r="I258" s="512">
        <f t="shared" si="44"/>
        <v>0</v>
      </c>
      <c r="J258" s="513">
        <f t="shared" si="47"/>
        <v>0</v>
      </c>
      <c r="K258" s="521"/>
    </row>
    <row r="259" spans="1:12" s="514" customFormat="1" ht="21.75" customHeight="1" x14ac:dyDescent="0.3">
      <c r="A259" s="443">
        <f t="shared" si="41"/>
        <v>247</v>
      </c>
      <c r="B259" s="507" t="s">
        <v>2115</v>
      </c>
      <c r="C259" s="508" t="s">
        <v>40</v>
      </c>
      <c r="D259" s="509">
        <v>1</v>
      </c>
      <c r="E259" s="510">
        <f t="shared" si="43"/>
        <v>81600</v>
      </c>
      <c r="F259" s="511">
        <v>81600</v>
      </c>
      <c r="G259" s="769">
        <f t="shared" si="49"/>
        <v>81600</v>
      </c>
      <c r="H259" s="768">
        <f t="shared" si="40"/>
        <v>81600</v>
      </c>
      <c r="I259" s="512">
        <f t="shared" si="44"/>
        <v>0</v>
      </c>
      <c r="J259" s="513">
        <f t="shared" si="47"/>
        <v>0</v>
      </c>
      <c r="K259" s="521"/>
    </row>
    <row r="260" spans="1:12" s="514" customFormat="1" ht="21.75" customHeight="1" x14ac:dyDescent="0.3">
      <c r="A260" s="443">
        <f t="shared" si="41"/>
        <v>248</v>
      </c>
      <c r="B260" s="507" t="s">
        <v>2116</v>
      </c>
      <c r="C260" s="508" t="s">
        <v>40</v>
      </c>
      <c r="D260" s="509">
        <v>1</v>
      </c>
      <c r="E260" s="510">
        <f t="shared" si="43"/>
        <v>81600</v>
      </c>
      <c r="F260" s="511">
        <v>81600</v>
      </c>
      <c r="G260" s="769">
        <f t="shared" si="49"/>
        <v>81600</v>
      </c>
      <c r="H260" s="768">
        <f t="shared" si="40"/>
        <v>81600</v>
      </c>
      <c r="I260" s="512">
        <f t="shared" si="44"/>
        <v>0</v>
      </c>
      <c r="J260" s="513">
        <f t="shared" si="47"/>
        <v>0</v>
      </c>
      <c r="K260" s="521"/>
    </row>
    <row r="261" spans="1:12" s="514" customFormat="1" ht="21.75" customHeight="1" x14ac:dyDescent="0.3">
      <c r="A261" s="443">
        <f t="shared" si="41"/>
        <v>249</v>
      </c>
      <c r="B261" s="507" t="s">
        <v>2117</v>
      </c>
      <c r="C261" s="508" t="s">
        <v>40</v>
      </c>
      <c r="D261" s="509">
        <v>1</v>
      </c>
      <c r="E261" s="510">
        <f t="shared" si="43"/>
        <v>552967.5</v>
      </c>
      <c r="F261" s="511">
        <v>552967.5</v>
      </c>
      <c r="G261" s="769">
        <f t="shared" si="49"/>
        <v>552967.5</v>
      </c>
      <c r="H261" s="768">
        <f t="shared" si="40"/>
        <v>552967.5</v>
      </c>
      <c r="I261" s="512">
        <f t="shared" si="44"/>
        <v>0</v>
      </c>
      <c r="J261" s="513">
        <f t="shared" si="47"/>
        <v>0</v>
      </c>
      <c r="K261" s="521"/>
    </row>
    <row r="262" spans="1:12" s="514" customFormat="1" ht="21.75" customHeight="1" x14ac:dyDescent="0.3">
      <c r="A262" s="443">
        <f t="shared" si="41"/>
        <v>250</v>
      </c>
      <c r="B262" s="507" t="s">
        <v>2118</v>
      </c>
      <c r="C262" s="508" t="s">
        <v>40</v>
      </c>
      <c r="D262" s="509">
        <v>1</v>
      </c>
      <c r="E262" s="510">
        <f t="shared" si="43"/>
        <v>169408.53</v>
      </c>
      <c r="F262" s="511">
        <v>169408.53</v>
      </c>
      <c r="G262" s="769">
        <v>169408.53</v>
      </c>
      <c r="H262" s="768">
        <f t="shared" si="40"/>
        <v>169408.53</v>
      </c>
      <c r="I262" s="512">
        <f t="shared" si="44"/>
        <v>0</v>
      </c>
      <c r="J262" s="513">
        <f t="shared" si="47"/>
        <v>0</v>
      </c>
      <c r="K262" s="521"/>
    </row>
    <row r="263" spans="1:12" s="514" customFormat="1" ht="21.75" customHeight="1" x14ac:dyDescent="0.3">
      <c r="A263" s="443">
        <f t="shared" si="41"/>
        <v>251</v>
      </c>
      <c r="B263" s="507" t="s">
        <v>2119</v>
      </c>
      <c r="C263" s="508" t="s">
        <v>40</v>
      </c>
      <c r="D263" s="509">
        <v>1</v>
      </c>
      <c r="E263" s="510">
        <f>ROUND(F263/D263,2)</f>
        <v>38250</v>
      </c>
      <c r="F263" s="511">
        <v>38250</v>
      </c>
      <c r="G263" s="769">
        <f t="shared" ref="G263:G264" si="50">E263</f>
        <v>38250</v>
      </c>
      <c r="H263" s="768">
        <f t="shared" si="40"/>
        <v>38250</v>
      </c>
      <c r="I263" s="512">
        <f>E263-G263</f>
        <v>0</v>
      </c>
      <c r="J263" s="513">
        <f t="shared" si="47"/>
        <v>0</v>
      </c>
      <c r="K263" s="521"/>
    </row>
    <row r="264" spans="1:12" s="514" customFormat="1" ht="21.75" customHeight="1" x14ac:dyDescent="0.3">
      <c r="A264" s="443">
        <f t="shared" si="41"/>
        <v>252</v>
      </c>
      <c r="B264" s="507" t="s">
        <v>2120</v>
      </c>
      <c r="C264" s="508" t="s">
        <v>40</v>
      </c>
      <c r="D264" s="509">
        <v>1</v>
      </c>
      <c r="E264" s="510">
        <f t="shared" ref="E264" si="51">ROUND(F264/D264,2)</f>
        <v>25500</v>
      </c>
      <c r="F264" s="511">
        <v>25500</v>
      </c>
      <c r="G264" s="769">
        <f t="shared" si="50"/>
        <v>25500</v>
      </c>
      <c r="H264" s="768">
        <f t="shared" si="40"/>
        <v>25500</v>
      </c>
      <c r="I264" s="512">
        <f t="shared" ref="I264" si="52">E264-G264</f>
        <v>0</v>
      </c>
      <c r="J264" s="513">
        <f t="shared" si="47"/>
        <v>0</v>
      </c>
      <c r="K264" s="521"/>
    </row>
    <row r="265" spans="1:12" s="483" customFormat="1" ht="19.5" customHeight="1" x14ac:dyDescent="0.35">
      <c r="A265" s="485"/>
      <c r="B265" s="920" t="s">
        <v>2126</v>
      </c>
      <c r="C265" s="921"/>
      <c r="D265" s="921"/>
      <c r="E265" s="684"/>
      <c r="F265" s="685">
        <f>SUM(F202:F264)</f>
        <v>11293677.550000001</v>
      </c>
      <c r="G265" s="778"/>
      <c r="H265" s="779">
        <f>SUM(H202:H264)</f>
        <v>11289696.3244</v>
      </c>
      <c r="I265" s="686"/>
      <c r="J265" s="685">
        <f>SUM(J202:J264)</f>
        <v>3981.2139999999963</v>
      </c>
      <c r="K265" s="490"/>
    </row>
    <row r="266" spans="1:12" s="673" customFormat="1" ht="30.75" customHeight="1" x14ac:dyDescent="0.35">
      <c r="A266" s="667"/>
      <c r="B266" s="979" t="s">
        <v>2127</v>
      </c>
      <c r="C266" s="980"/>
      <c r="D266" s="980"/>
      <c r="E266" s="668"/>
      <c r="F266" s="728">
        <f>F265+F200+F135+F73</f>
        <v>62611259.570000008</v>
      </c>
      <c r="G266" s="781"/>
      <c r="H266" s="782">
        <f>H265+H200+H135+H73</f>
        <v>62566869.032199994</v>
      </c>
      <c r="I266" s="729"/>
      <c r="J266" s="728">
        <f>J265+J200+J135+J73</f>
        <v>44390.501999999986</v>
      </c>
      <c r="K266" s="672"/>
      <c r="L266" s="730"/>
    </row>
  </sheetData>
  <mergeCells count="18">
    <mergeCell ref="B200:D200"/>
    <mergeCell ref="B201:J201"/>
    <mergeCell ref="B265:D265"/>
    <mergeCell ref="B266:D266"/>
    <mergeCell ref="B5:J5"/>
    <mergeCell ref="B6:J6"/>
    <mergeCell ref="B73:D73"/>
    <mergeCell ref="B74:J74"/>
    <mergeCell ref="B135:D135"/>
    <mergeCell ref="B136:J136"/>
    <mergeCell ref="A1:J1"/>
    <mergeCell ref="A2:A4"/>
    <mergeCell ref="B2:B4"/>
    <mergeCell ref="C2:C4"/>
    <mergeCell ref="D2:D4"/>
    <mergeCell ref="E2:F3"/>
    <mergeCell ref="G2:H3"/>
    <mergeCell ref="I2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EDC6C-6124-4989-BF1A-601150F19513}">
  <sheetPr>
    <tabColor theme="9" tint="0.59999389629810485"/>
  </sheetPr>
  <dimension ref="A1:L70"/>
  <sheetViews>
    <sheetView topLeftCell="A52" zoomScale="50" zoomScaleNormal="50" workbookViewId="0">
      <selection activeCell="H70" sqref="G6:H70"/>
    </sheetView>
  </sheetViews>
  <sheetFormatPr defaultRowHeight="18" x14ac:dyDescent="0.3"/>
  <cols>
    <col min="1" max="1" width="6.109375" customWidth="1"/>
    <col min="2" max="2" width="109.5546875" style="106" customWidth="1"/>
    <col min="3" max="3" width="13" style="106" customWidth="1"/>
    <col min="4" max="4" width="15.109375" customWidth="1"/>
    <col min="5" max="5" width="14.33203125" style="271" customWidth="1"/>
    <col min="6" max="6" width="19.6640625" style="198" customWidth="1"/>
    <col min="7" max="7" width="13.5546875" style="295" customWidth="1"/>
    <col min="8" max="8" width="18.44140625" style="209" customWidth="1"/>
    <col min="9" max="9" width="14" style="271" customWidth="1"/>
    <col min="10" max="10" width="17.33203125" style="211" customWidth="1"/>
    <col min="11" max="11" width="26.109375" style="489" customWidth="1"/>
    <col min="12" max="12" width="26" customWidth="1"/>
    <col min="15" max="15" width="19.109375" customWidth="1"/>
  </cols>
  <sheetData>
    <row r="1" spans="1:12" ht="89.25" customHeight="1" x14ac:dyDescent="0.3">
      <c r="A1" s="863" t="s">
        <v>1387</v>
      </c>
      <c r="B1" s="863"/>
      <c r="C1" s="863"/>
      <c r="D1" s="863"/>
      <c r="E1" s="863"/>
      <c r="F1" s="863"/>
      <c r="G1" s="863"/>
      <c r="H1" s="863"/>
      <c r="I1" s="863"/>
      <c r="J1" s="863"/>
    </row>
    <row r="2" spans="1:12" ht="13.5" customHeight="1" x14ac:dyDescent="0.3">
      <c r="A2" s="864" t="s">
        <v>13</v>
      </c>
      <c r="B2" s="867" t="s">
        <v>1</v>
      </c>
      <c r="C2" s="870" t="s">
        <v>0</v>
      </c>
      <c r="D2" s="871" t="s">
        <v>4</v>
      </c>
      <c r="E2" s="872" t="s">
        <v>1374</v>
      </c>
      <c r="F2" s="873"/>
      <c r="G2" s="876" t="s">
        <v>1377</v>
      </c>
      <c r="H2" s="877"/>
      <c r="I2" s="880" t="s">
        <v>1376</v>
      </c>
      <c r="J2" s="881"/>
    </row>
    <row r="3" spans="1:12" ht="22.5" customHeight="1" x14ac:dyDescent="0.3">
      <c r="A3" s="865"/>
      <c r="B3" s="868"/>
      <c r="C3" s="870"/>
      <c r="D3" s="871"/>
      <c r="E3" s="874"/>
      <c r="F3" s="875"/>
      <c r="G3" s="878"/>
      <c r="H3" s="879"/>
      <c r="I3" s="882"/>
      <c r="J3" s="883"/>
    </row>
    <row r="4" spans="1:12" ht="31.2" x14ac:dyDescent="0.3">
      <c r="A4" s="866"/>
      <c r="B4" s="869"/>
      <c r="C4" s="870"/>
      <c r="D4" s="871"/>
      <c r="E4" s="423" t="s">
        <v>317</v>
      </c>
      <c r="F4" s="423" t="s">
        <v>310</v>
      </c>
      <c r="G4" s="424" t="s">
        <v>317</v>
      </c>
      <c r="H4" s="424" t="s">
        <v>315</v>
      </c>
      <c r="I4" s="425" t="s">
        <v>317</v>
      </c>
      <c r="J4" s="426" t="s">
        <v>316</v>
      </c>
    </row>
    <row r="5" spans="1:12" s="483" customFormat="1" ht="19.5" customHeight="1" x14ac:dyDescent="0.35">
      <c r="A5" s="485"/>
      <c r="B5" s="920" t="s">
        <v>2128</v>
      </c>
      <c r="C5" s="921"/>
      <c r="D5" s="921"/>
      <c r="E5" s="921"/>
      <c r="F5" s="921"/>
      <c r="G5" s="921"/>
      <c r="H5" s="921"/>
      <c r="I5" s="921"/>
      <c r="J5" s="921"/>
    </row>
    <row r="6" spans="1:12" ht="22.5" customHeight="1" x14ac:dyDescent="0.3">
      <c r="A6" s="443">
        <f>A4+1</f>
        <v>1</v>
      </c>
      <c r="B6" s="650" t="s">
        <v>2129</v>
      </c>
      <c r="C6" s="442" t="s">
        <v>5</v>
      </c>
      <c r="D6" s="565">
        <v>8083.7950000000001</v>
      </c>
      <c r="E6" s="643">
        <f>ROUND(F6/D6,2)</f>
        <v>18.21</v>
      </c>
      <c r="F6" s="733">
        <f>(6011.11*1.075*1.025+(39456+4045.32+7567.98)/23.62983*(8.083795))*6.11</f>
        <v>147216.56732235962</v>
      </c>
      <c r="G6" s="767">
        <v>57.53</v>
      </c>
      <c r="H6" s="785">
        <f t="shared" ref="H6:H7" si="0">ROUND(G6*D6,2)</f>
        <v>465060.73</v>
      </c>
      <c r="I6" s="482">
        <f t="shared" ref="I6:I7" si="1">ROUND(E6-G6,2)</f>
        <v>-39.32</v>
      </c>
      <c r="J6" s="481">
        <f t="shared" ref="J6:J7" si="2">F6-H6</f>
        <v>-317844.16267764033</v>
      </c>
    </row>
    <row r="7" spans="1:12" ht="21" customHeight="1" x14ac:dyDescent="0.3">
      <c r="A7" s="443">
        <f>A6+1</f>
        <v>2</v>
      </c>
      <c r="B7" s="650" t="s">
        <v>1417</v>
      </c>
      <c r="C7" s="442" t="s">
        <v>1416</v>
      </c>
      <c r="D7" s="568">
        <v>181</v>
      </c>
      <c r="E7" s="643">
        <f>ROUND(F7/D7,2)</f>
        <v>0</v>
      </c>
      <c r="F7" s="644"/>
      <c r="G7" s="767">
        <v>2000</v>
      </c>
      <c r="H7" s="785">
        <f t="shared" si="0"/>
        <v>362000</v>
      </c>
      <c r="I7" s="482">
        <f t="shared" si="1"/>
        <v>-2000</v>
      </c>
      <c r="J7" s="481">
        <f t="shared" si="2"/>
        <v>-362000</v>
      </c>
    </row>
    <row r="8" spans="1:12" s="484" customFormat="1" ht="21.75" customHeight="1" x14ac:dyDescent="0.3">
      <c r="A8" s="486"/>
      <c r="B8" s="487" t="s">
        <v>2130</v>
      </c>
      <c r="C8" s="488"/>
      <c r="D8" s="497"/>
      <c r="E8" s="734"/>
      <c r="F8" s="735"/>
      <c r="G8" s="795"/>
      <c r="H8" s="796"/>
      <c r="I8" s="736"/>
      <c r="J8" s="738"/>
      <c r="K8" s="491"/>
    </row>
    <row r="9" spans="1:12" ht="21" customHeight="1" x14ac:dyDescent="0.3">
      <c r="A9" s="630">
        <f>A6+1</f>
        <v>2</v>
      </c>
      <c r="B9" s="428" t="s">
        <v>2131</v>
      </c>
      <c r="C9" s="422" t="s">
        <v>17</v>
      </c>
      <c r="D9" s="678">
        <v>7.19</v>
      </c>
      <c r="E9" s="647">
        <f>ROUND(F9/D9,2)</f>
        <v>2114.7600000000002</v>
      </c>
      <c r="F9" s="733">
        <v>15205.1</v>
      </c>
      <c r="G9" s="767">
        <v>3000</v>
      </c>
      <c r="H9" s="768">
        <f>ROUND(G9*D9,2)</f>
        <v>21570</v>
      </c>
      <c r="I9" s="482">
        <f t="shared" ref="I9:I23" si="3">E9-G9</f>
        <v>-885.23999999999978</v>
      </c>
      <c r="J9" s="701">
        <f>ROUND(F9-H9,2)</f>
        <v>-6364.9</v>
      </c>
    </row>
    <row r="10" spans="1:12" ht="20.25" customHeight="1" x14ac:dyDescent="0.3">
      <c r="A10" s="630">
        <f t="shared" ref="A10:A40" si="4">A9+1</f>
        <v>3</v>
      </c>
      <c r="B10" s="428" t="s">
        <v>2132</v>
      </c>
      <c r="C10" s="442" t="s">
        <v>17</v>
      </c>
      <c r="D10" s="678">
        <f>D9</f>
        <v>7.19</v>
      </c>
      <c r="E10" s="647">
        <f>ROUND(F10/D10,2)</f>
        <v>76.44</v>
      </c>
      <c r="F10" s="733">
        <f>547.58+2</f>
        <v>549.58000000000004</v>
      </c>
      <c r="G10" s="767">
        <v>364</v>
      </c>
      <c r="H10" s="768">
        <f t="shared" ref="H10:H67" si="5">ROUND(G10*D10,2)</f>
        <v>2617.16</v>
      </c>
      <c r="I10" s="482">
        <f t="shared" si="3"/>
        <v>-287.56</v>
      </c>
      <c r="J10" s="701">
        <f t="shared" ref="J10:J28" si="6">ROUND(F10-H10,2)</f>
        <v>-2067.58</v>
      </c>
    </row>
    <row r="11" spans="1:12" ht="20.25" customHeight="1" x14ac:dyDescent="0.3">
      <c r="A11" s="630">
        <f t="shared" si="4"/>
        <v>4</v>
      </c>
      <c r="B11" s="428" t="s">
        <v>2133</v>
      </c>
      <c r="C11" s="443" t="s">
        <v>28</v>
      </c>
      <c r="D11" s="678">
        <f>D10*1.9</f>
        <v>13.661</v>
      </c>
      <c r="E11" s="547">
        <f t="shared" ref="E11:E29" si="7">ROUND(F11/D11,2)</f>
        <v>187.58</v>
      </c>
      <c r="F11" s="739">
        <f>2562.53</f>
        <v>2562.5300000000002</v>
      </c>
      <c r="G11" s="767">
        <v>350</v>
      </c>
      <c r="H11" s="768">
        <f t="shared" si="5"/>
        <v>4781.3500000000004</v>
      </c>
      <c r="I11" s="482">
        <f t="shared" si="3"/>
        <v>-162.41999999999999</v>
      </c>
      <c r="J11" s="701">
        <f t="shared" si="6"/>
        <v>-2218.8200000000002</v>
      </c>
      <c r="L11" s="539"/>
    </row>
    <row r="12" spans="1:12" ht="31.5" customHeight="1" x14ac:dyDescent="0.3">
      <c r="A12" s="630">
        <f t="shared" si="4"/>
        <v>5</v>
      </c>
      <c r="B12" s="428" t="s">
        <v>2134</v>
      </c>
      <c r="C12" s="442" t="s">
        <v>17</v>
      </c>
      <c r="D12" s="678">
        <v>289.02999999999997</v>
      </c>
      <c r="E12" s="647">
        <f t="shared" si="7"/>
        <v>95.76</v>
      </c>
      <c r="F12" s="733">
        <f>25532.76+14293.95/1927.13*D12</f>
        <v>27676.559519752169</v>
      </c>
      <c r="G12" s="767">
        <v>208</v>
      </c>
      <c r="H12" s="768">
        <f t="shared" si="5"/>
        <v>60118.239999999998</v>
      </c>
      <c r="I12" s="482">
        <f t="shared" si="3"/>
        <v>-112.24</v>
      </c>
      <c r="J12" s="701">
        <f t="shared" si="6"/>
        <v>-32441.68</v>
      </c>
    </row>
    <row r="13" spans="1:12" ht="35.25" customHeight="1" x14ac:dyDescent="0.3">
      <c r="A13" s="630">
        <f t="shared" si="4"/>
        <v>6</v>
      </c>
      <c r="B13" s="428" t="s">
        <v>2135</v>
      </c>
      <c r="C13" s="442" t="s">
        <v>17</v>
      </c>
      <c r="D13" s="678">
        <v>1310.27</v>
      </c>
      <c r="E13" s="647">
        <f t="shared" si="7"/>
        <v>123.24</v>
      </c>
      <c r="F13" s="733">
        <f>151757.97+14293.95/1927.13*D13</f>
        <v>161476.53276769081</v>
      </c>
      <c r="G13" s="767">
        <v>374</v>
      </c>
      <c r="H13" s="768">
        <f t="shared" si="5"/>
        <v>490040.98</v>
      </c>
      <c r="I13" s="482">
        <f t="shared" si="3"/>
        <v>-250.76</v>
      </c>
      <c r="J13" s="701">
        <f t="shared" si="6"/>
        <v>-328564.45</v>
      </c>
    </row>
    <row r="14" spans="1:12" ht="35.25" customHeight="1" x14ac:dyDescent="0.3">
      <c r="A14" s="630">
        <f t="shared" si="4"/>
        <v>7</v>
      </c>
      <c r="B14" s="428" t="s">
        <v>2136</v>
      </c>
      <c r="C14" s="442" t="s">
        <v>17</v>
      </c>
      <c r="D14" s="678">
        <v>231.22</v>
      </c>
      <c r="E14" s="647">
        <f t="shared" si="7"/>
        <v>160.54</v>
      </c>
      <c r="F14" s="733">
        <f>35404.77+14293.95/1927.13*D14</f>
        <v>37119.779946915878</v>
      </c>
      <c r="G14" s="767">
        <v>374</v>
      </c>
      <c r="H14" s="768">
        <f t="shared" si="5"/>
        <v>86476.28</v>
      </c>
      <c r="I14" s="482">
        <f t="shared" si="3"/>
        <v>-213.46</v>
      </c>
      <c r="J14" s="701">
        <f t="shared" si="6"/>
        <v>-49356.5</v>
      </c>
    </row>
    <row r="15" spans="1:12" ht="24" customHeight="1" x14ac:dyDescent="0.3">
      <c r="A15" s="630">
        <f t="shared" si="4"/>
        <v>8</v>
      </c>
      <c r="B15" s="428" t="s">
        <v>2137</v>
      </c>
      <c r="C15" s="442" t="s">
        <v>17</v>
      </c>
      <c r="D15" s="678">
        <v>96.34</v>
      </c>
      <c r="E15" s="647">
        <f t="shared" si="7"/>
        <v>2321.17</v>
      </c>
      <c r="F15" s="733">
        <f>222907.39+14293.95/1927.13*D15</f>
        <v>223621.96511584584</v>
      </c>
      <c r="G15" s="767">
        <v>2397.5</v>
      </c>
      <c r="H15" s="768">
        <f t="shared" si="5"/>
        <v>230975.15</v>
      </c>
      <c r="I15" s="482">
        <f t="shared" si="3"/>
        <v>-76.329999999999927</v>
      </c>
      <c r="J15" s="701">
        <f t="shared" si="6"/>
        <v>-7353.18</v>
      </c>
    </row>
    <row r="16" spans="1:12" ht="20.25" customHeight="1" x14ac:dyDescent="0.3">
      <c r="A16" s="630">
        <f t="shared" si="4"/>
        <v>9</v>
      </c>
      <c r="B16" s="428" t="s">
        <v>2138</v>
      </c>
      <c r="C16" s="442" t="s">
        <v>17</v>
      </c>
      <c r="D16" s="678">
        <v>96.34</v>
      </c>
      <c r="E16" s="647">
        <f t="shared" si="7"/>
        <v>67.069999999999993</v>
      </c>
      <c r="F16" s="733">
        <f>101433.25/1512.28*D16</f>
        <v>6461.8187802523344</v>
      </c>
      <c r="G16" s="767">
        <v>260</v>
      </c>
      <c r="H16" s="768">
        <f t="shared" si="5"/>
        <v>25048.400000000001</v>
      </c>
      <c r="I16" s="482">
        <f t="shared" si="3"/>
        <v>-192.93</v>
      </c>
      <c r="J16" s="701">
        <f t="shared" si="6"/>
        <v>-18586.580000000002</v>
      </c>
    </row>
    <row r="17" spans="1:12" ht="36.75" customHeight="1" x14ac:dyDescent="0.3">
      <c r="A17" s="630">
        <f t="shared" si="4"/>
        <v>10</v>
      </c>
      <c r="B17" s="428" t="s">
        <v>2139</v>
      </c>
      <c r="C17" s="443" t="s">
        <v>28</v>
      </c>
      <c r="D17" s="678">
        <f>D16*2.03+D12*1.2+D13*2.03+D14*2.03-414.58*2.03</f>
        <v>2830.0334999999995</v>
      </c>
      <c r="E17" s="547">
        <f t="shared" si="7"/>
        <v>46.33</v>
      </c>
      <c r="F17" s="739">
        <f>131118.95</f>
        <v>131118.95000000001</v>
      </c>
      <c r="G17" s="767">
        <v>220</v>
      </c>
      <c r="H17" s="768">
        <f t="shared" si="5"/>
        <v>622607.37</v>
      </c>
      <c r="I17" s="482">
        <f t="shared" si="3"/>
        <v>-173.67000000000002</v>
      </c>
      <c r="J17" s="701">
        <f t="shared" si="6"/>
        <v>-491488.42</v>
      </c>
      <c r="L17" s="539"/>
    </row>
    <row r="18" spans="1:12" ht="34.5" customHeight="1" x14ac:dyDescent="0.3">
      <c r="A18" s="630">
        <f t="shared" si="4"/>
        <v>11</v>
      </c>
      <c r="B18" s="428" t="s">
        <v>2140</v>
      </c>
      <c r="C18" s="740" t="s">
        <v>28</v>
      </c>
      <c r="D18" s="678">
        <f>D17</f>
        <v>2830.0334999999995</v>
      </c>
      <c r="E18" s="547">
        <f t="shared" si="7"/>
        <v>40.89</v>
      </c>
      <c r="F18" s="739">
        <f>115732</f>
        <v>115732</v>
      </c>
      <c r="G18" s="767">
        <v>220</v>
      </c>
      <c r="H18" s="768">
        <f t="shared" si="5"/>
        <v>622607.37</v>
      </c>
      <c r="I18" s="482">
        <f t="shared" si="3"/>
        <v>-179.11</v>
      </c>
      <c r="J18" s="701">
        <f t="shared" si="6"/>
        <v>-506875.37</v>
      </c>
      <c r="L18" s="539"/>
    </row>
    <row r="19" spans="1:12" ht="33.75" customHeight="1" x14ac:dyDescent="0.3">
      <c r="A19" s="630">
        <f t="shared" si="4"/>
        <v>12</v>
      </c>
      <c r="B19" s="428" t="s">
        <v>2141</v>
      </c>
      <c r="C19" s="442" t="s">
        <v>17</v>
      </c>
      <c r="D19" s="678">
        <f>D12+D13+D14+96.34-414.58</f>
        <v>1512.28</v>
      </c>
      <c r="E19" s="628">
        <f t="shared" si="7"/>
        <v>67.069999999999993</v>
      </c>
      <c r="F19" s="733">
        <f>101433.25/1512.3*D19</f>
        <v>101431.90855650335</v>
      </c>
      <c r="G19" s="767">
        <v>260</v>
      </c>
      <c r="H19" s="768">
        <f t="shared" si="5"/>
        <v>393192.8</v>
      </c>
      <c r="I19" s="482">
        <f t="shared" si="3"/>
        <v>-192.93</v>
      </c>
      <c r="J19" s="701">
        <f t="shared" si="6"/>
        <v>-291760.89</v>
      </c>
    </row>
    <row r="20" spans="1:12" ht="34.5" customHeight="1" x14ac:dyDescent="0.3">
      <c r="A20" s="630">
        <f t="shared" si="4"/>
        <v>13</v>
      </c>
      <c r="B20" s="428" t="s">
        <v>2142</v>
      </c>
      <c r="C20" s="740" t="s">
        <v>28</v>
      </c>
      <c r="D20" s="678">
        <f>D17</f>
        <v>2830.0334999999995</v>
      </c>
      <c r="E20" s="646">
        <f t="shared" si="7"/>
        <v>51.96</v>
      </c>
      <c r="F20" s="739">
        <f>153513.99-6461</f>
        <v>147052.99</v>
      </c>
      <c r="G20" s="767">
        <v>220</v>
      </c>
      <c r="H20" s="768">
        <f t="shared" si="5"/>
        <v>622607.37</v>
      </c>
      <c r="I20" s="482">
        <f t="shared" si="3"/>
        <v>-168.04</v>
      </c>
      <c r="J20" s="701">
        <f t="shared" si="6"/>
        <v>-475554.38</v>
      </c>
      <c r="L20" s="539"/>
    </row>
    <row r="21" spans="1:12" ht="34.5" customHeight="1" x14ac:dyDescent="0.3">
      <c r="A21" s="630">
        <f t="shared" si="4"/>
        <v>14</v>
      </c>
      <c r="B21" s="428" t="s">
        <v>2143</v>
      </c>
      <c r="C21" s="442" t="s">
        <v>20</v>
      </c>
      <c r="D21" s="678">
        <v>3031.8</v>
      </c>
      <c r="E21" s="646">
        <f t="shared" si="7"/>
        <v>290.62</v>
      </c>
      <c r="F21" s="739">
        <f>550152.3+330959.62</f>
        <v>881111.92</v>
      </c>
      <c r="G21" s="767">
        <v>1362</v>
      </c>
      <c r="H21" s="768">
        <f t="shared" si="5"/>
        <v>4129311.6</v>
      </c>
      <c r="I21" s="482">
        <f t="shared" si="3"/>
        <v>-1071.3800000000001</v>
      </c>
      <c r="J21" s="701">
        <f t="shared" si="6"/>
        <v>-3248199.6800000002</v>
      </c>
      <c r="L21" s="539"/>
    </row>
    <row r="22" spans="1:12" ht="23.25" customHeight="1" x14ac:dyDescent="0.3">
      <c r="A22" s="630">
        <f t="shared" si="4"/>
        <v>15</v>
      </c>
      <c r="B22" s="741" t="s">
        <v>2144</v>
      </c>
      <c r="C22" s="422" t="s">
        <v>2145</v>
      </c>
      <c r="D22" s="683">
        <v>284</v>
      </c>
      <c r="E22" s="547">
        <f t="shared" si="7"/>
        <v>0</v>
      </c>
      <c r="F22" s="739"/>
      <c r="G22" s="767">
        <v>1000</v>
      </c>
      <c r="H22" s="768">
        <f t="shared" si="5"/>
        <v>284000</v>
      </c>
      <c r="I22" s="482">
        <f t="shared" si="3"/>
        <v>-1000</v>
      </c>
      <c r="J22" s="701">
        <f t="shared" si="6"/>
        <v>-284000</v>
      </c>
      <c r="L22" s="539"/>
    </row>
    <row r="23" spans="1:12" ht="21.75" customHeight="1" x14ac:dyDescent="0.3">
      <c r="A23" s="630">
        <f t="shared" si="4"/>
        <v>16</v>
      </c>
      <c r="B23" s="428" t="s">
        <v>2146</v>
      </c>
      <c r="C23" s="422" t="s">
        <v>40</v>
      </c>
      <c r="D23" s="683">
        <v>283</v>
      </c>
      <c r="E23" s="547">
        <f t="shared" si="7"/>
        <v>3260.03</v>
      </c>
      <c r="F23" s="739">
        <f>(1330665.63-404817.4)/284*D23</f>
        <v>922588.20102112659</v>
      </c>
      <c r="G23" s="767">
        <v>8879.09</v>
      </c>
      <c r="H23" s="768">
        <f t="shared" si="5"/>
        <v>2512782.4700000002</v>
      </c>
      <c r="I23" s="482">
        <f t="shared" si="3"/>
        <v>-5619.0599999999995</v>
      </c>
      <c r="J23" s="701">
        <f t="shared" si="6"/>
        <v>-1590194.27</v>
      </c>
    </row>
    <row r="24" spans="1:12" ht="21.75" customHeight="1" x14ac:dyDescent="0.3">
      <c r="A24" s="630">
        <f t="shared" si="4"/>
        <v>17</v>
      </c>
      <c r="B24" s="428" t="s">
        <v>2147</v>
      </c>
      <c r="C24" s="422" t="s">
        <v>40</v>
      </c>
      <c r="D24" s="683">
        <v>1</v>
      </c>
      <c r="E24" s="647">
        <f t="shared" si="7"/>
        <v>3260.03</v>
      </c>
      <c r="F24" s="739">
        <f>(1330665.63-404817.4)/284*D24</f>
        <v>3260.0289788732389</v>
      </c>
      <c r="G24" s="767">
        <v>11542.817000000001</v>
      </c>
      <c r="H24" s="768">
        <f t="shared" si="5"/>
        <v>11542.82</v>
      </c>
      <c r="I24" s="482">
        <f>E24-G24</f>
        <v>-8282.7870000000003</v>
      </c>
      <c r="J24" s="701">
        <f t="shared" si="6"/>
        <v>-8282.7900000000009</v>
      </c>
    </row>
    <row r="25" spans="1:12" ht="23.25" customHeight="1" x14ac:dyDescent="0.3">
      <c r="A25" s="630">
        <f t="shared" si="4"/>
        <v>18</v>
      </c>
      <c r="B25" s="428" t="s">
        <v>2148</v>
      </c>
      <c r="C25" s="442" t="s">
        <v>40</v>
      </c>
      <c r="D25" s="683">
        <v>225</v>
      </c>
      <c r="E25" s="647">
        <f t="shared" si="7"/>
        <v>9296.19</v>
      </c>
      <c r="F25" s="733">
        <f>2640117.59/284*D25</f>
        <v>2091642.4568661968</v>
      </c>
      <c r="G25" s="767">
        <v>9000</v>
      </c>
      <c r="H25" s="768">
        <f t="shared" si="5"/>
        <v>2025000</v>
      </c>
      <c r="I25" s="482">
        <f>E25-G25</f>
        <v>296.19000000000051</v>
      </c>
      <c r="J25" s="701">
        <f t="shared" si="6"/>
        <v>66642.460000000006</v>
      </c>
    </row>
    <row r="26" spans="1:12" ht="23.25" customHeight="1" x14ac:dyDescent="0.3">
      <c r="A26" s="630">
        <f t="shared" si="4"/>
        <v>19</v>
      </c>
      <c r="B26" s="428" t="s">
        <v>2149</v>
      </c>
      <c r="C26" s="442" t="s">
        <v>40</v>
      </c>
      <c r="D26" s="683">
        <v>8</v>
      </c>
      <c r="E26" s="647">
        <f t="shared" si="7"/>
        <v>9296.19</v>
      </c>
      <c r="F26" s="733">
        <f t="shared" ref="F26:F28" si="8">2640117.59/284*D26</f>
        <v>74369.509577464778</v>
      </c>
      <c r="G26" s="767">
        <v>9000</v>
      </c>
      <c r="H26" s="768">
        <f t="shared" si="5"/>
        <v>72000</v>
      </c>
      <c r="I26" s="482">
        <f>E26-G26</f>
        <v>296.19000000000051</v>
      </c>
      <c r="J26" s="701">
        <f t="shared" si="6"/>
        <v>2369.5100000000002</v>
      </c>
    </row>
    <row r="27" spans="1:12" ht="23.25" customHeight="1" x14ac:dyDescent="0.3">
      <c r="A27" s="630">
        <f t="shared" si="4"/>
        <v>20</v>
      </c>
      <c r="B27" s="428" t="s">
        <v>2150</v>
      </c>
      <c r="C27" s="442" t="s">
        <v>40</v>
      </c>
      <c r="D27" s="683">
        <v>50</v>
      </c>
      <c r="E27" s="647">
        <f t="shared" si="7"/>
        <v>9296.19</v>
      </c>
      <c r="F27" s="733">
        <f t="shared" si="8"/>
        <v>464809.43485915486</v>
      </c>
      <c r="G27" s="767">
        <v>9000</v>
      </c>
      <c r="H27" s="768">
        <f t="shared" si="5"/>
        <v>450000</v>
      </c>
      <c r="I27" s="482">
        <f>E27-G27</f>
        <v>296.19000000000051</v>
      </c>
      <c r="J27" s="701">
        <f t="shared" si="6"/>
        <v>14809.43</v>
      </c>
    </row>
    <row r="28" spans="1:12" ht="21.75" customHeight="1" x14ac:dyDescent="0.3">
      <c r="A28" s="630">
        <f t="shared" si="4"/>
        <v>21</v>
      </c>
      <c r="B28" s="428" t="s">
        <v>2151</v>
      </c>
      <c r="C28" s="422" t="s">
        <v>40</v>
      </c>
      <c r="D28" s="683">
        <v>1</v>
      </c>
      <c r="E28" s="647">
        <f t="shared" si="7"/>
        <v>9296.19</v>
      </c>
      <c r="F28" s="733">
        <f t="shared" si="8"/>
        <v>9296.1886971830972</v>
      </c>
      <c r="G28" s="767">
        <v>9000</v>
      </c>
      <c r="H28" s="768">
        <f t="shared" si="5"/>
        <v>9000</v>
      </c>
      <c r="I28" s="482">
        <f>E28-G28</f>
        <v>296.19000000000051</v>
      </c>
      <c r="J28" s="701">
        <f t="shared" si="6"/>
        <v>296.19</v>
      </c>
    </row>
    <row r="29" spans="1:12" ht="21.75" customHeight="1" x14ac:dyDescent="0.3">
      <c r="A29" s="983">
        <f t="shared" si="4"/>
        <v>22</v>
      </c>
      <c r="B29" s="428" t="s">
        <v>2152</v>
      </c>
      <c r="C29" s="986" t="s">
        <v>17</v>
      </c>
      <c r="D29" s="989">
        <v>1386.5250000000001</v>
      </c>
      <c r="E29" s="990">
        <f t="shared" si="7"/>
        <v>5191.8999999999996</v>
      </c>
      <c r="F29" s="993">
        <v>7198694.4100000001</v>
      </c>
      <c r="G29" s="858">
        <v>6842</v>
      </c>
      <c r="H29" s="899">
        <f t="shared" si="5"/>
        <v>9486604.0500000007</v>
      </c>
      <c r="I29" s="848">
        <f>E30-G30-G29-G31-G32</f>
        <v>-6842</v>
      </c>
      <c r="J29" s="953">
        <f>F29-H29-H30-H31-H32</f>
        <v>-2287909.6400000006</v>
      </c>
      <c r="L29" s="539"/>
    </row>
    <row r="30" spans="1:12" x14ac:dyDescent="0.3">
      <c r="A30" s="984"/>
      <c r="B30" s="722" t="s">
        <v>2153</v>
      </c>
      <c r="C30" s="987"/>
      <c r="D30" s="989"/>
      <c r="E30" s="991"/>
      <c r="F30" s="994"/>
      <c r="G30" s="970"/>
      <c r="H30" s="900"/>
      <c r="I30" s="895"/>
      <c r="J30" s="955"/>
    </row>
    <row r="31" spans="1:12" x14ac:dyDescent="0.3">
      <c r="A31" s="984"/>
      <c r="B31" s="722" t="s">
        <v>2154</v>
      </c>
      <c r="C31" s="988"/>
      <c r="D31" s="989"/>
      <c r="E31" s="991"/>
      <c r="F31" s="994"/>
      <c r="G31" s="970"/>
      <c r="H31" s="900"/>
      <c r="I31" s="895"/>
      <c r="J31" s="955"/>
    </row>
    <row r="32" spans="1:12" x14ac:dyDescent="0.3">
      <c r="A32" s="985"/>
      <c r="B32" s="722" t="s">
        <v>2155</v>
      </c>
      <c r="C32" s="662" t="s">
        <v>1975</v>
      </c>
      <c r="D32" s="717">
        <f>2+3</f>
        <v>5</v>
      </c>
      <c r="E32" s="992"/>
      <c r="F32" s="995"/>
      <c r="G32" s="859"/>
      <c r="H32" s="901"/>
      <c r="I32" s="849"/>
      <c r="J32" s="954"/>
    </row>
    <row r="33" spans="1:12" ht="21.75" customHeight="1" x14ac:dyDescent="0.3">
      <c r="A33" s="630">
        <f>A29+1</f>
        <v>23</v>
      </c>
      <c r="B33" s="428" t="s">
        <v>2156</v>
      </c>
      <c r="C33" s="442" t="s">
        <v>17</v>
      </c>
      <c r="D33" s="678">
        <v>62.88</v>
      </c>
      <c r="E33" s="647">
        <f t="shared" ref="E33:E65" si="9">ROUND(F33/D33,2)</f>
        <v>879.53</v>
      </c>
      <c r="F33" s="733">
        <v>55305.05</v>
      </c>
      <c r="G33" s="767">
        <v>1480.83</v>
      </c>
      <c r="H33" s="768">
        <f t="shared" si="5"/>
        <v>93114.59</v>
      </c>
      <c r="I33" s="482">
        <f>E33-G33</f>
        <v>-601.29999999999995</v>
      </c>
      <c r="J33" s="701">
        <f t="shared" ref="J33:J40" si="10">ROUND(F33-H33,2)</f>
        <v>-37809.54</v>
      </c>
    </row>
    <row r="34" spans="1:12" ht="24" customHeight="1" x14ac:dyDescent="0.3">
      <c r="A34" s="630">
        <f t="shared" si="4"/>
        <v>24</v>
      </c>
      <c r="B34" s="428" t="s">
        <v>2157</v>
      </c>
      <c r="C34" s="442" t="s">
        <v>17</v>
      </c>
      <c r="D34" s="678">
        <v>62.88</v>
      </c>
      <c r="E34" s="647">
        <f t="shared" si="9"/>
        <v>945.85</v>
      </c>
      <c r="F34" s="733">
        <v>59475.23</v>
      </c>
      <c r="G34" s="767">
        <v>1680</v>
      </c>
      <c r="H34" s="768">
        <f t="shared" si="5"/>
        <v>105638.39999999999</v>
      </c>
      <c r="I34" s="482">
        <f>E34-G34</f>
        <v>-734.15</v>
      </c>
      <c r="J34" s="701">
        <f t="shared" si="10"/>
        <v>-46163.17</v>
      </c>
    </row>
    <row r="35" spans="1:12" ht="24" customHeight="1" x14ac:dyDescent="0.3">
      <c r="A35" s="630">
        <f t="shared" si="4"/>
        <v>25</v>
      </c>
      <c r="B35" s="428" t="s">
        <v>2158</v>
      </c>
      <c r="C35" s="442" t="s">
        <v>17</v>
      </c>
      <c r="D35" s="678">
        <v>414.58</v>
      </c>
      <c r="E35" s="547">
        <f>ROUND(F35/D35,2)</f>
        <v>619.14</v>
      </c>
      <c r="F35" s="739">
        <v>256681.54</v>
      </c>
      <c r="G35" s="767">
        <v>1184.664</v>
      </c>
      <c r="H35" s="768">
        <f t="shared" si="5"/>
        <v>491138</v>
      </c>
      <c r="I35" s="482">
        <f>E35-G35</f>
        <v>-565.524</v>
      </c>
      <c r="J35" s="701">
        <f t="shared" si="10"/>
        <v>-234456.46</v>
      </c>
      <c r="L35" s="539"/>
    </row>
    <row r="36" spans="1:12" ht="23.25" customHeight="1" x14ac:dyDescent="0.3">
      <c r="A36" s="630">
        <f t="shared" si="4"/>
        <v>26</v>
      </c>
      <c r="B36" s="428" t="s">
        <v>2159</v>
      </c>
      <c r="C36" s="442" t="s">
        <v>28</v>
      </c>
      <c r="D36" s="742">
        <v>146.51739000000001</v>
      </c>
      <c r="E36" s="647">
        <f t="shared" si="9"/>
        <v>1441.69</v>
      </c>
      <c r="F36" s="733">
        <v>211232.63</v>
      </c>
      <c r="G36" s="767">
        <v>4173</v>
      </c>
      <c r="H36" s="768">
        <f t="shared" si="5"/>
        <v>611417.06999999995</v>
      </c>
      <c r="I36" s="482">
        <f>E36-G36</f>
        <v>-2731.31</v>
      </c>
      <c r="J36" s="701">
        <f t="shared" si="10"/>
        <v>-400184.44</v>
      </c>
    </row>
    <row r="37" spans="1:12" ht="35.25" customHeight="1" x14ac:dyDescent="0.3">
      <c r="A37" s="630">
        <f t="shared" si="4"/>
        <v>27</v>
      </c>
      <c r="B37" s="428" t="s">
        <v>2160</v>
      </c>
      <c r="C37" s="442" t="s">
        <v>28</v>
      </c>
      <c r="D37" s="678">
        <v>13.66</v>
      </c>
      <c r="E37" s="647">
        <f t="shared" si="9"/>
        <v>46.1</v>
      </c>
      <c r="F37" s="733">
        <v>629.70000000000005</v>
      </c>
      <c r="G37" s="767">
        <v>260</v>
      </c>
      <c r="H37" s="768">
        <f t="shared" si="5"/>
        <v>3551.6</v>
      </c>
      <c r="I37" s="482">
        <f>E37-G37</f>
        <v>-213.9</v>
      </c>
      <c r="J37" s="701">
        <f t="shared" si="10"/>
        <v>-2921.9</v>
      </c>
    </row>
    <row r="38" spans="1:12" ht="24" customHeight="1" x14ac:dyDescent="0.3">
      <c r="A38" s="630">
        <f t="shared" si="4"/>
        <v>28</v>
      </c>
      <c r="B38" s="428" t="s">
        <v>2161</v>
      </c>
      <c r="C38" s="442" t="s">
        <v>28</v>
      </c>
      <c r="D38" s="675">
        <f>22.5368*1.9</f>
        <v>42.819919999999996</v>
      </c>
      <c r="E38" s="647">
        <f t="shared" si="9"/>
        <v>188.31</v>
      </c>
      <c r="F38" s="733">
        <v>8063.37</v>
      </c>
      <c r="G38" s="767">
        <v>220</v>
      </c>
      <c r="H38" s="768">
        <f t="shared" si="5"/>
        <v>9420.3799999999992</v>
      </c>
      <c r="I38" s="482">
        <f t="shared" ref="I38:I40" si="11">E38-G38</f>
        <v>-31.689999999999998</v>
      </c>
      <c r="J38" s="701">
        <f t="shared" si="10"/>
        <v>-1357.01</v>
      </c>
    </row>
    <row r="39" spans="1:12" ht="20.25" customHeight="1" x14ac:dyDescent="0.3">
      <c r="A39" s="630">
        <f t="shared" si="4"/>
        <v>29</v>
      </c>
      <c r="B39" s="428" t="s">
        <v>2162</v>
      </c>
      <c r="C39" s="442" t="s">
        <v>17</v>
      </c>
      <c r="D39" s="678">
        <v>414.58</v>
      </c>
      <c r="E39" s="647">
        <f t="shared" si="9"/>
        <v>86.7</v>
      </c>
      <c r="F39" s="733">
        <f>35945.5</f>
        <v>35945.5</v>
      </c>
      <c r="G39" s="767">
        <v>260</v>
      </c>
      <c r="H39" s="768">
        <f t="shared" si="5"/>
        <v>107790.8</v>
      </c>
      <c r="I39" s="482">
        <f t="shared" si="11"/>
        <v>-173.3</v>
      </c>
      <c r="J39" s="701">
        <f t="shared" si="10"/>
        <v>-71845.3</v>
      </c>
    </row>
    <row r="40" spans="1:12" ht="24.75" customHeight="1" x14ac:dyDescent="0.3">
      <c r="A40" s="630">
        <f t="shared" si="4"/>
        <v>30</v>
      </c>
      <c r="B40" s="428" t="s">
        <v>2163</v>
      </c>
      <c r="C40" s="443" t="s">
        <v>28</v>
      </c>
      <c r="D40" s="682">
        <f>D39*2.03</f>
        <v>841.59739999999988</v>
      </c>
      <c r="E40" s="547">
        <f t="shared" si="9"/>
        <v>215.71</v>
      </c>
      <c r="F40" s="739">
        <f>181543.86</f>
        <v>181543.86</v>
      </c>
      <c r="G40" s="767">
        <v>220</v>
      </c>
      <c r="H40" s="768">
        <f t="shared" si="5"/>
        <v>185151.43</v>
      </c>
      <c r="I40" s="482">
        <f t="shared" si="11"/>
        <v>-4.289999999999992</v>
      </c>
      <c r="J40" s="701">
        <f t="shared" si="10"/>
        <v>-3607.57</v>
      </c>
      <c r="L40" s="539"/>
    </row>
    <row r="41" spans="1:12" s="484" customFormat="1" ht="21.75" customHeight="1" x14ac:dyDescent="0.3">
      <c r="A41" s="486"/>
      <c r="B41" s="487" t="s">
        <v>2164</v>
      </c>
      <c r="C41" s="488"/>
      <c r="D41" s="497"/>
      <c r="E41" s="734"/>
      <c r="F41" s="584"/>
      <c r="G41" s="795"/>
      <c r="H41" s="796"/>
      <c r="I41" s="743"/>
      <c r="J41" s="744"/>
      <c r="K41" s="489"/>
    </row>
    <row r="42" spans="1:12" s="483" customFormat="1" ht="19.5" customHeight="1" x14ac:dyDescent="0.35">
      <c r="A42" s="630">
        <f>A40+1</f>
        <v>31</v>
      </c>
      <c r="B42" s="428" t="s">
        <v>2165</v>
      </c>
      <c r="C42" s="442" t="s">
        <v>5</v>
      </c>
      <c r="D42" s="683">
        <v>15820</v>
      </c>
      <c r="E42" s="547">
        <f t="shared" si="9"/>
        <v>119.75</v>
      </c>
      <c r="F42" s="733">
        <f>2212977.72/18480*D42</f>
        <v>1894443.0481818183</v>
      </c>
      <c r="G42" s="767">
        <v>479</v>
      </c>
      <c r="H42" s="768">
        <f t="shared" si="5"/>
        <v>7577780</v>
      </c>
      <c r="I42" s="482">
        <f t="shared" ref="I42:I51" si="12">E42-G42</f>
        <v>-359.25</v>
      </c>
      <c r="J42" s="701">
        <f t="shared" ref="J42:J67" si="13">ROUND(F42-H42,2)</f>
        <v>-5683336.9500000002</v>
      </c>
      <c r="K42" s="489"/>
    </row>
    <row r="43" spans="1:12" s="483" customFormat="1" ht="19.5" customHeight="1" x14ac:dyDescent="0.35">
      <c r="A43" s="664">
        <f>A42+1</f>
        <v>32</v>
      </c>
      <c r="B43" s="428" t="s">
        <v>2166</v>
      </c>
      <c r="C43" s="442" t="s">
        <v>5</v>
      </c>
      <c r="D43" s="678">
        <v>2660</v>
      </c>
      <c r="E43" s="547">
        <f t="shared" si="9"/>
        <v>119.75</v>
      </c>
      <c r="F43" s="733">
        <f>2212977.72/18480*D43</f>
        <v>318534.67181818187</v>
      </c>
      <c r="G43" s="767">
        <v>479</v>
      </c>
      <c r="H43" s="768">
        <f t="shared" si="5"/>
        <v>1274140</v>
      </c>
      <c r="I43" s="482">
        <f t="shared" si="12"/>
        <v>-359.25</v>
      </c>
      <c r="J43" s="701">
        <f t="shared" si="13"/>
        <v>-955605.33</v>
      </c>
      <c r="K43" s="490"/>
    </row>
    <row r="44" spans="1:12" s="483" customFormat="1" ht="19.5" customHeight="1" x14ac:dyDescent="0.35">
      <c r="A44" s="664">
        <f t="shared" ref="A44:A67" si="14">A43+1</f>
        <v>33</v>
      </c>
      <c r="B44" s="428" t="s">
        <v>2167</v>
      </c>
      <c r="C44" s="442" t="s">
        <v>5</v>
      </c>
      <c r="D44" s="683">
        <f>15820+D43</f>
        <v>18480</v>
      </c>
      <c r="E44" s="547">
        <f>ROUND(F44/D44,2)</f>
        <v>794.51</v>
      </c>
      <c r="F44" s="733">
        <f>14682466.32/18480*D44</f>
        <v>14682466.32</v>
      </c>
      <c r="G44" s="767">
        <v>700</v>
      </c>
      <c r="H44" s="768">
        <f t="shared" si="5"/>
        <v>12936000</v>
      </c>
      <c r="I44" s="482">
        <f>E44-G44</f>
        <v>94.509999999999991</v>
      </c>
      <c r="J44" s="701">
        <f t="shared" si="13"/>
        <v>1746466.32</v>
      </c>
      <c r="K44" s="490"/>
    </row>
    <row r="45" spans="1:12" s="483" customFormat="1" ht="19.5" customHeight="1" x14ac:dyDescent="0.35">
      <c r="A45" s="664">
        <f t="shared" si="14"/>
        <v>34</v>
      </c>
      <c r="B45" s="428" t="s">
        <v>2168</v>
      </c>
      <c r="C45" s="442" t="s">
        <v>40</v>
      </c>
      <c r="D45" s="683">
        <v>42</v>
      </c>
      <c r="E45" s="547">
        <f t="shared" si="9"/>
        <v>24551.46</v>
      </c>
      <c r="F45" s="745">
        <f>1031161.22/42*D45</f>
        <v>1031161.22</v>
      </c>
      <c r="G45" s="767">
        <v>23323.886999999999</v>
      </c>
      <c r="H45" s="768">
        <f t="shared" si="5"/>
        <v>979603.25</v>
      </c>
      <c r="I45" s="482">
        <f t="shared" si="12"/>
        <v>1227.5730000000003</v>
      </c>
      <c r="J45" s="701">
        <f t="shared" si="13"/>
        <v>51557.97</v>
      </c>
      <c r="K45" s="490"/>
    </row>
    <row r="46" spans="1:12" s="483" customFormat="1" ht="21.75" customHeight="1" x14ac:dyDescent="0.35">
      <c r="A46" s="664">
        <f t="shared" si="14"/>
        <v>35</v>
      </c>
      <c r="B46" s="428" t="s">
        <v>2169</v>
      </c>
      <c r="C46" s="442" t="s">
        <v>26</v>
      </c>
      <c r="D46" s="746">
        <v>36</v>
      </c>
      <c r="E46" s="547">
        <f t="shared" si="9"/>
        <v>4238.66</v>
      </c>
      <c r="F46" s="745">
        <f>152591.85/36*D46</f>
        <v>152591.85</v>
      </c>
      <c r="G46" s="767">
        <v>4026.7269999999999</v>
      </c>
      <c r="H46" s="768">
        <f t="shared" si="5"/>
        <v>144962.17000000001</v>
      </c>
      <c r="I46" s="482">
        <f t="shared" si="12"/>
        <v>211.93299999999999</v>
      </c>
      <c r="J46" s="701">
        <f t="shared" si="13"/>
        <v>7629.68</v>
      </c>
      <c r="K46" s="490"/>
    </row>
    <row r="47" spans="1:12" s="483" customFormat="1" ht="19.5" customHeight="1" x14ac:dyDescent="0.35">
      <c r="A47" s="664">
        <f t="shared" si="14"/>
        <v>36</v>
      </c>
      <c r="B47" s="428" t="s">
        <v>2170</v>
      </c>
      <c r="C47" s="442" t="s">
        <v>5</v>
      </c>
      <c r="D47" s="683">
        <v>7270</v>
      </c>
      <c r="E47" s="547">
        <f t="shared" si="9"/>
        <v>4.97</v>
      </c>
      <c r="F47" s="745">
        <f>36167.05</f>
        <v>36167.050000000003</v>
      </c>
      <c r="G47" s="767">
        <v>402.35999999999996</v>
      </c>
      <c r="H47" s="768">
        <f t="shared" si="5"/>
        <v>2925157.2</v>
      </c>
      <c r="I47" s="482">
        <f t="shared" si="12"/>
        <v>-397.38999999999993</v>
      </c>
      <c r="J47" s="701">
        <f t="shared" si="13"/>
        <v>-2888990.15</v>
      </c>
      <c r="K47" s="490"/>
    </row>
    <row r="48" spans="1:12" s="483" customFormat="1" ht="19.5" customHeight="1" x14ac:dyDescent="0.35">
      <c r="A48" s="664">
        <f t="shared" si="14"/>
        <v>37</v>
      </c>
      <c r="B48" s="428" t="s">
        <v>2171</v>
      </c>
      <c r="C48" s="442" t="s">
        <v>5</v>
      </c>
      <c r="D48" s="683">
        <v>100</v>
      </c>
      <c r="E48" s="547">
        <f t="shared" si="9"/>
        <v>1458.9</v>
      </c>
      <c r="F48" s="745">
        <v>145890.32999999999</v>
      </c>
      <c r="G48" s="767">
        <v>1809.0360000000001</v>
      </c>
      <c r="H48" s="768">
        <f t="shared" si="5"/>
        <v>180903.6</v>
      </c>
      <c r="I48" s="482">
        <f t="shared" si="12"/>
        <v>-350.13599999999997</v>
      </c>
      <c r="J48" s="701">
        <f t="shared" si="13"/>
        <v>-35013.269999999997</v>
      </c>
      <c r="K48" s="490"/>
    </row>
    <row r="49" spans="1:11" s="483" customFormat="1" ht="33" customHeight="1" x14ac:dyDescent="0.35">
      <c r="A49" s="664">
        <f t="shared" si="14"/>
        <v>38</v>
      </c>
      <c r="B49" s="428" t="s">
        <v>2172</v>
      </c>
      <c r="C49" s="442" t="s">
        <v>40</v>
      </c>
      <c r="D49" s="683">
        <v>41</v>
      </c>
      <c r="E49" s="547">
        <f t="shared" si="9"/>
        <v>1867.23</v>
      </c>
      <c r="F49" s="745">
        <v>76556.3</v>
      </c>
      <c r="G49" s="767">
        <v>5601.6900000000005</v>
      </c>
      <c r="H49" s="768">
        <f t="shared" si="5"/>
        <v>229669.29</v>
      </c>
      <c r="I49" s="482">
        <f t="shared" si="12"/>
        <v>-3734.4600000000005</v>
      </c>
      <c r="J49" s="701">
        <f t="shared" si="13"/>
        <v>-153112.99</v>
      </c>
      <c r="K49" s="490"/>
    </row>
    <row r="50" spans="1:11" s="483" customFormat="1" ht="33" customHeight="1" x14ac:dyDescent="0.35">
      <c r="A50" s="664">
        <f t="shared" si="14"/>
        <v>39</v>
      </c>
      <c r="B50" s="428" t="s">
        <v>2173</v>
      </c>
      <c r="C50" s="442" t="s">
        <v>40</v>
      </c>
      <c r="D50" s="683">
        <v>3</v>
      </c>
      <c r="E50" s="547">
        <f t="shared" si="9"/>
        <v>2728.43</v>
      </c>
      <c r="F50" s="745">
        <v>8185.3</v>
      </c>
      <c r="G50" s="767">
        <v>7282.197000000001</v>
      </c>
      <c r="H50" s="768">
        <f t="shared" si="5"/>
        <v>21846.59</v>
      </c>
      <c r="I50" s="482">
        <f t="shared" si="12"/>
        <v>-4553.7670000000016</v>
      </c>
      <c r="J50" s="701">
        <f t="shared" si="13"/>
        <v>-13661.29</v>
      </c>
      <c r="K50" s="490"/>
    </row>
    <row r="51" spans="1:11" s="483" customFormat="1" ht="19.5" customHeight="1" x14ac:dyDescent="0.35">
      <c r="A51" s="664">
        <f t="shared" si="14"/>
        <v>40</v>
      </c>
      <c r="B51" s="428" t="s">
        <v>2174</v>
      </c>
      <c r="C51" s="442" t="s">
        <v>40</v>
      </c>
      <c r="D51" s="683">
        <v>334</v>
      </c>
      <c r="E51" s="547">
        <f t="shared" si="9"/>
        <v>3684.29</v>
      </c>
      <c r="F51" s="745">
        <v>1230553.5</v>
      </c>
      <c r="G51" s="767">
        <v>5452.7492000000002</v>
      </c>
      <c r="H51" s="768">
        <f>ROUND(G51*D51,2)</f>
        <v>1821218.23</v>
      </c>
      <c r="I51" s="482">
        <f t="shared" si="12"/>
        <v>-1768.4592000000002</v>
      </c>
      <c r="J51" s="701">
        <f t="shared" si="13"/>
        <v>-590664.73</v>
      </c>
      <c r="K51" s="490"/>
    </row>
    <row r="52" spans="1:11" s="483" customFormat="1" ht="19.5" customHeight="1" x14ac:dyDescent="0.35">
      <c r="A52" s="664">
        <f t="shared" si="14"/>
        <v>41</v>
      </c>
      <c r="B52" s="428" t="s">
        <v>2175</v>
      </c>
      <c r="C52" s="442" t="s">
        <v>40</v>
      </c>
      <c r="D52" s="683">
        <v>18</v>
      </c>
      <c r="E52" s="547">
        <f t="shared" si="9"/>
        <v>3345.36</v>
      </c>
      <c r="F52" s="745">
        <v>60216.5</v>
      </c>
      <c r="G52" s="767">
        <v>2877.0095999999999</v>
      </c>
      <c r="H52" s="768">
        <f t="shared" si="5"/>
        <v>51786.17</v>
      </c>
      <c r="I52" s="482">
        <f>E52-G52</f>
        <v>468.35040000000026</v>
      </c>
      <c r="J52" s="701">
        <f t="shared" si="13"/>
        <v>8430.33</v>
      </c>
      <c r="K52" s="490"/>
    </row>
    <row r="53" spans="1:11" s="483" customFormat="1" ht="19.5" customHeight="1" x14ac:dyDescent="0.35">
      <c r="A53" s="664">
        <f t="shared" si="14"/>
        <v>42</v>
      </c>
      <c r="B53" s="428" t="s">
        <v>2176</v>
      </c>
      <c r="C53" s="442" t="s">
        <v>40</v>
      </c>
      <c r="D53" s="683">
        <v>18</v>
      </c>
      <c r="E53" s="547">
        <f t="shared" si="9"/>
        <v>653.82000000000005</v>
      </c>
      <c r="F53" s="745">
        <v>11768.7</v>
      </c>
      <c r="G53" s="767">
        <v>300</v>
      </c>
      <c r="H53" s="768">
        <f t="shared" si="5"/>
        <v>5400</v>
      </c>
      <c r="I53" s="482">
        <f>E53-G53</f>
        <v>353.82000000000005</v>
      </c>
      <c r="J53" s="701">
        <f t="shared" si="13"/>
        <v>6368.7</v>
      </c>
      <c r="K53" s="490"/>
    </row>
    <row r="54" spans="1:11" s="483" customFormat="1" ht="19.5" customHeight="1" x14ac:dyDescent="0.35">
      <c r="A54" s="664">
        <f t="shared" si="14"/>
        <v>43</v>
      </c>
      <c r="B54" s="723" t="s">
        <v>2177</v>
      </c>
      <c r="C54" s="442" t="s">
        <v>40</v>
      </c>
      <c r="D54" s="683">
        <v>461</v>
      </c>
      <c r="E54" s="547">
        <f t="shared" si="9"/>
        <v>853.24</v>
      </c>
      <c r="F54" s="745">
        <f>1040952.77/1220*D54</f>
        <v>393343.62866393448</v>
      </c>
      <c r="G54" s="767">
        <v>511.94399999999996</v>
      </c>
      <c r="H54" s="768">
        <f t="shared" si="5"/>
        <v>236006.18</v>
      </c>
      <c r="I54" s="482">
        <f t="shared" ref="I54:I67" si="15">E54-G54</f>
        <v>341.29600000000005</v>
      </c>
      <c r="J54" s="701">
        <f t="shared" si="13"/>
        <v>157337.45000000001</v>
      </c>
      <c r="K54" s="490"/>
    </row>
    <row r="55" spans="1:11" s="483" customFormat="1" ht="19.5" customHeight="1" x14ac:dyDescent="0.35">
      <c r="A55" s="664">
        <f t="shared" si="14"/>
        <v>44</v>
      </c>
      <c r="B55" s="723" t="s">
        <v>2178</v>
      </c>
      <c r="C55" s="442" t="s">
        <v>40</v>
      </c>
      <c r="D55" s="683">
        <v>457</v>
      </c>
      <c r="E55" s="547">
        <f t="shared" si="9"/>
        <v>853.24</v>
      </c>
      <c r="F55" s="745">
        <f>1040952.77/1220*D55</f>
        <v>389930.6687622951</v>
      </c>
      <c r="G55" s="767">
        <v>511.94399999999996</v>
      </c>
      <c r="H55" s="768">
        <f t="shared" si="5"/>
        <v>233958.41</v>
      </c>
      <c r="I55" s="482">
        <f t="shared" si="15"/>
        <v>341.29600000000005</v>
      </c>
      <c r="J55" s="701">
        <f t="shared" si="13"/>
        <v>155972.26</v>
      </c>
      <c r="K55" s="490"/>
    </row>
    <row r="56" spans="1:11" s="483" customFormat="1" ht="19.5" customHeight="1" x14ac:dyDescent="0.35">
      <c r="A56" s="664">
        <f t="shared" si="14"/>
        <v>45</v>
      </c>
      <c r="B56" s="723" t="s">
        <v>2179</v>
      </c>
      <c r="C56" s="442" t="s">
        <v>40</v>
      </c>
      <c r="D56" s="683">
        <v>302</v>
      </c>
      <c r="E56" s="547">
        <f t="shared" si="9"/>
        <v>853.25</v>
      </c>
      <c r="F56" s="745">
        <f>1040952.77/1220*D56+2.2</f>
        <v>257680.67257377051</v>
      </c>
      <c r="G56" s="767">
        <v>511.94399999999996</v>
      </c>
      <c r="H56" s="768">
        <f t="shared" si="5"/>
        <v>154607.09</v>
      </c>
      <c r="I56" s="482">
        <f t="shared" si="15"/>
        <v>341.30600000000004</v>
      </c>
      <c r="J56" s="701">
        <f t="shared" si="13"/>
        <v>103073.58</v>
      </c>
      <c r="K56" s="490"/>
    </row>
    <row r="57" spans="1:11" s="483" customFormat="1" ht="19.5" customHeight="1" x14ac:dyDescent="0.35">
      <c r="A57" s="664">
        <f t="shared" si="14"/>
        <v>46</v>
      </c>
      <c r="B57" s="428" t="s">
        <v>2180</v>
      </c>
      <c r="C57" s="442" t="s">
        <v>40</v>
      </c>
      <c r="D57" s="683">
        <v>429</v>
      </c>
      <c r="E57" s="547">
        <f t="shared" si="9"/>
        <v>859.41</v>
      </c>
      <c r="F57" s="745">
        <v>368688.99</v>
      </c>
      <c r="G57" s="767">
        <v>515.64599999999996</v>
      </c>
      <c r="H57" s="768">
        <f t="shared" si="5"/>
        <v>221212.13</v>
      </c>
      <c r="I57" s="482">
        <f t="shared" si="15"/>
        <v>343.76400000000001</v>
      </c>
      <c r="J57" s="701">
        <f t="shared" si="13"/>
        <v>147476.85999999999</v>
      </c>
      <c r="K57" s="490"/>
    </row>
    <row r="58" spans="1:11" s="483" customFormat="1" ht="19.5" customHeight="1" x14ac:dyDescent="0.35">
      <c r="A58" s="664">
        <f t="shared" si="14"/>
        <v>47</v>
      </c>
      <c r="B58" s="723" t="s">
        <v>2181</v>
      </c>
      <c r="C58" s="442" t="s">
        <v>40</v>
      </c>
      <c r="D58" s="683">
        <v>86</v>
      </c>
      <c r="E58" s="547">
        <f t="shared" si="9"/>
        <v>5060.07</v>
      </c>
      <c r="F58" s="745">
        <v>435165.93</v>
      </c>
      <c r="G58" s="767">
        <v>5000</v>
      </c>
      <c r="H58" s="768">
        <f t="shared" si="5"/>
        <v>430000</v>
      </c>
      <c r="I58" s="482">
        <f t="shared" si="15"/>
        <v>60.069999999999709</v>
      </c>
      <c r="J58" s="701">
        <f t="shared" si="13"/>
        <v>5165.93</v>
      </c>
      <c r="K58" s="490"/>
    </row>
    <row r="59" spans="1:11" s="483" customFormat="1" ht="19.5" customHeight="1" x14ac:dyDescent="0.35">
      <c r="A59" s="664">
        <f t="shared" si="14"/>
        <v>48</v>
      </c>
      <c r="B59" s="428" t="s">
        <v>2182</v>
      </c>
      <c r="C59" s="442" t="s">
        <v>40</v>
      </c>
      <c r="D59" s="683">
        <v>44</v>
      </c>
      <c r="E59" s="547">
        <f t="shared" si="9"/>
        <v>859.43</v>
      </c>
      <c r="F59" s="745">
        <v>37814.769999999997</v>
      </c>
      <c r="G59" s="767">
        <v>515.6579999999999</v>
      </c>
      <c r="H59" s="768">
        <f t="shared" si="5"/>
        <v>22688.95</v>
      </c>
      <c r="I59" s="482">
        <f t="shared" si="15"/>
        <v>343.77200000000005</v>
      </c>
      <c r="J59" s="701">
        <f t="shared" si="13"/>
        <v>15125.82</v>
      </c>
      <c r="K59" s="490"/>
    </row>
    <row r="60" spans="1:11" s="483" customFormat="1" ht="19.5" customHeight="1" x14ac:dyDescent="0.35">
      <c r="A60" s="664">
        <f t="shared" si="14"/>
        <v>49</v>
      </c>
      <c r="B60" s="428" t="s">
        <v>2183</v>
      </c>
      <c r="C60" s="442" t="s">
        <v>40</v>
      </c>
      <c r="D60" s="683">
        <f>53+414</f>
        <v>467</v>
      </c>
      <c r="E60" s="547">
        <f t="shared" si="9"/>
        <v>8342.4500000000007</v>
      </c>
      <c r="F60" s="745">
        <v>3895924.15</v>
      </c>
      <c r="G60" s="767">
        <v>8342.4500000000007</v>
      </c>
      <c r="H60" s="768">
        <f t="shared" si="5"/>
        <v>3895924.15</v>
      </c>
      <c r="I60" s="482">
        <f t="shared" si="15"/>
        <v>0</v>
      </c>
      <c r="J60" s="701">
        <f t="shared" si="13"/>
        <v>0</v>
      </c>
      <c r="K60" s="490"/>
    </row>
    <row r="61" spans="1:11" s="483" customFormat="1" ht="33" customHeight="1" x14ac:dyDescent="0.35">
      <c r="A61" s="664">
        <f t="shared" si="14"/>
        <v>50</v>
      </c>
      <c r="B61" s="723" t="s">
        <v>2184</v>
      </c>
      <c r="C61" s="442" t="s">
        <v>40</v>
      </c>
      <c r="D61" s="683">
        <v>4</v>
      </c>
      <c r="E61" s="547">
        <f t="shared" si="9"/>
        <v>9094.5400000000009</v>
      </c>
      <c r="F61" s="745">
        <v>36378.14</v>
      </c>
      <c r="G61" s="767">
        <v>92764.308000000005</v>
      </c>
      <c r="H61" s="768">
        <f t="shared" si="5"/>
        <v>371057.23</v>
      </c>
      <c r="I61" s="482">
        <f t="shared" si="15"/>
        <v>-83669.768000000011</v>
      </c>
      <c r="J61" s="701">
        <f t="shared" si="13"/>
        <v>-334679.09000000003</v>
      </c>
      <c r="K61" s="490"/>
    </row>
    <row r="62" spans="1:11" s="483" customFormat="1" ht="33.75" customHeight="1" x14ac:dyDescent="0.35">
      <c r="A62" s="664">
        <f t="shared" si="14"/>
        <v>51</v>
      </c>
      <c r="B62" s="428" t="s">
        <v>2185</v>
      </c>
      <c r="C62" s="442" t="s">
        <v>40</v>
      </c>
      <c r="D62" s="683">
        <f>54+52</f>
        <v>106</v>
      </c>
      <c r="E62" s="547">
        <f t="shared" si="9"/>
        <v>311.49</v>
      </c>
      <c r="F62" s="745">
        <v>33018.120000000003</v>
      </c>
      <c r="G62" s="767">
        <v>1974.8466000000001</v>
      </c>
      <c r="H62" s="768">
        <f t="shared" si="5"/>
        <v>209333.74</v>
      </c>
      <c r="I62" s="482">
        <f t="shared" si="15"/>
        <v>-1663.3566000000001</v>
      </c>
      <c r="J62" s="701">
        <f t="shared" si="13"/>
        <v>-176315.62</v>
      </c>
      <c r="K62" s="490"/>
    </row>
    <row r="63" spans="1:11" s="483" customFormat="1" ht="33" customHeight="1" x14ac:dyDescent="0.35">
      <c r="A63" s="664">
        <f t="shared" si="14"/>
        <v>52</v>
      </c>
      <c r="B63" s="428" t="s">
        <v>2186</v>
      </c>
      <c r="C63" s="442" t="s">
        <v>40</v>
      </c>
      <c r="D63" s="683">
        <f>250+10</f>
        <v>260</v>
      </c>
      <c r="E63" s="547">
        <f t="shared" si="9"/>
        <v>8342.4500000000007</v>
      </c>
      <c r="F63" s="745">
        <v>2169037</v>
      </c>
      <c r="G63" s="767">
        <v>8342.4500000000007</v>
      </c>
      <c r="H63" s="768">
        <f t="shared" si="5"/>
        <v>2169037</v>
      </c>
      <c r="I63" s="482">
        <f t="shared" si="15"/>
        <v>0</v>
      </c>
      <c r="J63" s="701">
        <f t="shared" si="13"/>
        <v>0</v>
      </c>
      <c r="K63" s="490"/>
    </row>
    <row r="64" spans="1:11" s="483" customFormat="1" ht="19.5" customHeight="1" x14ac:dyDescent="0.35">
      <c r="A64" s="664">
        <f t="shared" si="14"/>
        <v>53</v>
      </c>
      <c r="B64" s="428" t="s">
        <v>2187</v>
      </c>
      <c r="C64" s="442" t="s">
        <v>40</v>
      </c>
      <c r="D64" s="683">
        <v>626</v>
      </c>
      <c r="E64" s="547">
        <f t="shared" si="9"/>
        <v>859.42</v>
      </c>
      <c r="F64" s="745">
        <v>537993.88</v>
      </c>
      <c r="G64" s="767">
        <v>511.94399999999996</v>
      </c>
      <c r="H64" s="768">
        <f t="shared" si="5"/>
        <v>320476.94</v>
      </c>
      <c r="I64" s="482">
        <f t="shared" si="15"/>
        <v>347.476</v>
      </c>
      <c r="J64" s="701">
        <f t="shared" si="13"/>
        <v>217516.94</v>
      </c>
      <c r="K64" s="490"/>
    </row>
    <row r="65" spans="1:11" s="483" customFormat="1" ht="21.75" customHeight="1" x14ac:dyDescent="0.35">
      <c r="A65" s="664">
        <f t="shared" si="14"/>
        <v>54</v>
      </c>
      <c r="B65" s="428" t="s">
        <v>2188</v>
      </c>
      <c r="C65" s="442" t="s">
        <v>40</v>
      </c>
      <c r="D65" s="683">
        <f>76</f>
        <v>76</v>
      </c>
      <c r="E65" s="547">
        <f t="shared" si="9"/>
        <v>859.41</v>
      </c>
      <c r="F65" s="745">
        <f>70471.75/82*D65</f>
        <v>65315.280487804877</v>
      </c>
      <c r="G65" s="767">
        <v>511.94399999999996</v>
      </c>
      <c r="H65" s="768">
        <f t="shared" si="5"/>
        <v>38907.74</v>
      </c>
      <c r="I65" s="482">
        <f t="shared" si="15"/>
        <v>347.46600000000001</v>
      </c>
      <c r="J65" s="701">
        <f t="shared" si="13"/>
        <v>26407.54</v>
      </c>
      <c r="K65" s="490"/>
    </row>
    <row r="66" spans="1:11" s="483" customFormat="1" ht="21.75" customHeight="1" x14ac:dyDescent="0.35">
      <c r="A66" s="664">
        <f t="shared" si="14"/>
        <v>55</v>
      </c>
      <c r="B66" s="428" t="s">
        <v>2189</v>
      </c>
      <c r="C66" s="442" t="s">
        <v>40</v>
      </c>
      <c r="D66" s="683">
        <f>6</f>
        <v>6</v>
      </c>
      <c r="E66" s="547">
        <f>ROUND(F66/D66,2)</f>
        <v>859.41</v>
      </c>
      <c r="F66" s="745">
        <f>70471.75/82*D66</f>
        <v>5156.4695121951218</v>
      </c>
      <c r="G66" s="767">
        <v>511.94399999999996</v>
      </c>
      <c r="H66" s="768">
        <f t="shared" si="5"/>
        <v>3071.66</v>
      </c>
      <c r="I66" s="482">
        <f t="shared" si="15"/>
        <v>347.46600000000001</v>
      </c>
      <c r="J66" s="701">
        <f t="shared" si="13"/>
        <v>2084.81</v>
      </c>
      <c r="K66" s="490"/>
    </row>
    <row r="67" spans="1:11" s="483" customFormat="1" ht="24.75" customHeight="1" x14ac:dyDescent="0.35">
      <c r="A67" s="664">
        <f t="shared" si="14"/>
        <v>56</v>
      </c>
      <c r="B67" s="428" t="s">
        <v>2190</v>
      </c>
      <c r="C67" s="442" t="s">
        <v>40</v>
      </c>
      <c r="D67" s="683">
        <v>36</v>
      </c>
      <c r="E67" s="547">
        <f>ROUND(F67/D67,2)</f>
        <v>1588.53</v>
      </c>
      <c r="F67" s="745">
        <v>57187.19</v>
      </c>
      <c r="G67" s="767">
        <v>4940.3283000000001</v>
      </c>
      <c r="H67" s="768">
        <f t="shared" si="5"/>
        <v>177851.82</v>
      </c>
      <c r="I67" s="482">
        <f t="shared" si="15"/>
        <v>-3351.7983000000004</v>
      </c>
      <c r="J67" s="701">
        <f t="shared" si="13"/>
        <v>-120664.63</v>
      </c>
      <c r="K67" s="490"/>
    </row>
    <row r="68" spans="1:11" s="673" customFormat="1" ht="19.5" customHeight="1" x14ac:dyDescent="0.35">
      <c r="A68" s="667"/>
      <c r="B68" s="938" t="s">
        <v>2191</v>
      </c>
      <c r="C68" s="939"/>
      <c r="D68" s="939"/>
      <c r="E68" s="668"/>
      <c r="F68" s="671">
        <f>SUM(F6:F67)</f>
        <v>41903044.992009319</v>
      </c>
      <c r="G68" s="781"/>
      <c r="H68" s="782">
        <f>SUM(H6:H67)</f>
        <v>61229765.950000003</v>
      </c>
      <c r="I68" s="670"/>
      <c r="J68" s="671">
        <f>SUM(J6:J67)</f>
        <v>-19326720.952677641</v>
      </c>
      <c r="K68" s="672"/>
    </row>
    <row r="69" spans="1:11" s="483" customFormat="1" ht="27.75" customHeight="1" x14ac:dyDescent="0.35">
      <c r="A69" s="635"/>
      <c r="B69" s="886" t="s">
        <v>1943</v>
      </c>
      <c r="C69" s="887"/>
      <c r="D69" s="940"/>
      <c r="E69" s="636"/>
      <c r="F69" s="637">
        <f>F68-F70</f>
        <v>41755828.424686961</v>
      </c>
      <c r="G69" s="791"/>
      <c r="H69" s="792">
        <f>H68-H70</f>
        <v>60402705.220000006</v>
      </c>
      <c r="I69" s="639"/>
      <c r="J69" s="637">
        <f>J68-J70</f>
        <v>-18646876.789999999</v>
      </c>
      <c r="K69" s="490"/>
    </row>
    <row r="70" spans="1:11" s="483" customFormat="1" ht="27.75" customHeight="1" x14ac:dyDescent="0.35">
      <c r="A70" s="635"/>
      <c r="B70" s="886" t="s">
        <v>1944</v>
      </c>
      <c r="C70" s="887"/>
      <c r="D70" s="887"/>
      <c r="E70" s="636"/>
      <c r="F70" s="637">
        <f>F6+F7</f>
        <v>147216.56732235962</v>
      </c>
      <c r="G70" s="791"/>
      <c r="H70" s="792">
        <f>H6+H7</f>
        <v>827060.73</v>
      </c>
      <c r="I70" s="639"/>
      <c r="J70" s="637">
        <f>J6+J7</f>
        <v>-679844.16267764033</v>
      </c>
      <c r="K70" s="490"/>
    </row>
  </sheetData>
  <mergeCells count="21">
    <mergeCell ref="H29:H32"/>
    <mergeCell ref="I29:I32"/>
    <mergeCell ref="J29:J32"/>
    <mergeCell ref="B68:D68"/>
    <mergeCell ref="B69:D69"/>
    <mergeCell ref="F29:F32"/>
    <mergeCell ref="G29:G32"/>
    <mergeCell ref="B70:D70"/>
    <mergeCell ref="A29:A32"/>
    <mergeCell ref="C29:C31"/>
    <mergeCell ref="D29:D31"/>
    <mergeCell ref="E29:E32"/>
    <mergeCell ref="B5:J5"/>
    <mergeCell ref="A1:J1"/>
    <mergeCell ref="A2:A4"/>
    <mergeCell ref="B2:B4"/>
    <mergeCell ref="C2:C4"/>
    <mergeCell ref="D2:D4"/>
    <mergeCell ref="E2:F3"/>
    <mergeCell ref="G2:H3"/>
    <mergeCell ref="I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Свод затрат ИТОГО </vt:lpstr>
      <vt:lpstr>Свод</vt:lpstr>
      <vt:lpstr>ТП Р</vt:lpstr>
      <vt:lpstr>ТП М</vt:lpstr>
      <vt:lpstr>Ост Р</vt:lpstr>
      <vt:lpstr>Ост М</vt:lpstr>
      <vt:lpstr>СП Р</vt:lpstr>
      <vt:lpstr>СП М</vt:lpstr>
      <vt:lpstr>КС Р</vt:lpstr>
      <vt:lpstr>КС М</vt:lpstr>
      <vt:lpstr>НВК Р</vt:lpstr>
      <vt:lpstr>НВК М</vt:lpstr>
      <vt:lpstr>Валка Р</vt:lpstr>
      <vt:lpstr>Валка М</vt:lpstr>
      <vt:lpstr>Справка</vt:lpstr>
      <vt:lpstr>Лист1</vt:lpstr>
      <vt:lpstr>лист</vt:lpstr>
      <vt:lpstr>Лист2</vt:lpstr>
      <vt:lpstr>Лист3</vt:lpstr>
      <vt:lpstr>лист!Область_печати</vt:lpstr>
      <vt:lpstr>Лист1!Область_печати</vt:lpstr>
      <vt:lpstr>'НВК М'!Область_печати</vt:lpstr>
      <vt:lpstr>'НВК Р'!Область_печати</vt:lpstr>
      <vt:lpstr>Свод!Область_печати</vt:lpstr>
      <vt:lpstr>'Свод затрат ИТОГО '!Область_печати</vt:lpstr>
      <vt:lpstr>Справка!Область_печати</vt:lpstr>
      <vt:lpstr>'ТП М'!Область_печати</vt:lpstr>
      <vt:lpstr>'ТП 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Анжела</dc:creator>
  <cp:lastModifiedBy>Admin</cp:lastModifiedBy>
  <cp:lastPrinted>2025-02-05T13:04:12Z</cp:lastPrinted>
  <dcterms:created xsi:type="dcterms:W3CDTF">2019-06-27T07:06:03Z</dcterms:created>
  <dcterms:modified xsi:type="dcterms:W3CDTF">2025-02-13T13:51:12Z</dcterms:modified>
</cp:coreProperties>
</file>