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m.kiatrov\Desktop\Работа\20.11\"/>
    </mc:Choice>
  </mc:AlternateContent>
  <xr:revisionPtr revIDLastSave="0" documentId="13_ncr:1_{273AC657-60E9-4A18-BB4E-1F03E813AA43}" xr6:coauthVersionLast="47" xr6:coauthVersionMax="47" xr10:uidLastSave="{00000000-0000-0000-0000-000000000000}"/>
  <bookViews>
    <workbookView xWindow="-108" yWindow="-108" windowWidth="23256" windowHeight="13896" xr2:uid="{00000000-000D-0000-FFFF-FFFF00000000}"/>
  </bookViews>
  <sheets>
    <sheet name="Всего детальный" sheetId="10" r:id="rId1"/>
    <sheet name="Для КП" sheetId="11" r:id="rId2"/>
    <sheet name="Курск детальный " sheetId="6" r:id="rId3"/>
    <sheet name="Пермь детальный" sheetId="7" r:id="rId4"/>
    <sheet name="Липецк детальный" sheetId="8" r:id="rId5"/>
    <sheet name="Ярославль детальный" sheetId="9" r:id="rId6"/>
    <sheet name="Курск" sheetId="1" r:id="rId7"/>
    <sheet name="Пермь" sheetId="2" r:id="rId8"/>
    <sheet name="Липецк" sheetId="5" r:id="rId9"/>
    <sheet name="Ярославль" sheetId="4" r:id="rId10"/>
  </sheets>
  <definedNames>
    <definedName name="_xlnm.Print_Area" localSheetId="0">'Всего детальный'!$A$1:$AC$19</definedName>
    <definedName name="_xlnm.Print_Area" localSheetId="6">Курск!$A$1:$O$11</definedName>
    <definedName name="_xlnm.Print_Area" localSheetId="8">Липецк!$A$1:$O$12</definedName>
    <definedName name="_xlnm.Print_Area" localSheetId="7">Пермь!$A$1:$O$12</definedName>
    <definedName name="_xlnm.Print_Area" localSheetId="9">Ярославль!$A$1:$O$10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2" i="5" l="1"/>
  <c r="G16" i="11"/>
  <c r="G15" i="11"/>
  <c r="G14" i="11"/>
  <c r="G13" i="11"/>
  <c r="G12" i="11"/>
  <c r="G11" i="11"/>
  <c r="G10" i="11"/>
  <c r="G9" i="11"/>
  <c r="G8" i="11"/>
  <c r="G7" i="11"/>
  <c r="G6" i="11"/>
  <c r="G5" i="11"/>
  <c r="G4" i="11"/>
  <c r="G3" i="11"/>
  <c r="E4" i="11"/>
  <c r="E5" i="11"/>
  <c r="E6" i="11"/>
  <c r="E7" i="11"/>
  <c r="E8" i="11"/>
  <c r="E9" i="11"/>
  <c r="E10" i="11"/>
  <c r="E11" i="11"/>
  <c r="E12" i="11"/>
  <c r="E13" i="11"/>
  <c r="E14" i="11"/>
  <c r="E15" i="11"/>
  <c r="E16" i="11"/>
  <c r="E3" i="11"/>
  <c r="L9" i="6"/>
  <c r="P10" i="6"/>
  <c r="P11" i="6"/>
  <c r="P12" i="6"/>
  <c r="P13" i="6"/>
  <c r="P14" i="6"/>
  <c r="P15" i="6"/>
  <c r="P16" i="6"/>
  <c r="P17" i="6"/>
  <c r="P18" i="6"/>
  <c r="P19" i="6"/>
  <c r="P20" i="6"/>
  <c r="P21" i="6"/>
  <c r="P22" i="6"/>
  <c r="P9" i="6"/>
  <c r="T10" i="6"/>
  <c r="T11" i="6"/>
  <c r="T12" i="6"/>
  <c r="T13" i="6"/>
  <c r="T14" i="6"/>
  <c r="T15" i="6"/>
  <c r="T16" i="6"/>
  <c r="T17" i="6"/>
  <c r="T18" i="6"/>
  <c r="T19" i="6"/>
  <c r="T20" i="6"/>
  <c r="T21" i="6"/>
  <c r="T22" i="6"/>
  <c r="T9" i="6"/>
  <c r="X10" i="6"/>
  <c r="X11" i="6"/>
  <c r="X12" i="6"/>
  <c r="X13" i="6"/>
  <c r="X14" i="6"/>
  <c r="X15" i="6"/>
  <c r="X16" i="6"/>
  <c r="X17" i="6"/>
  <c r="X18" i="6"/>
  <c r="X19" i="6"/>
  <c r="X20" i="6"/>
  <c r="X21" i="6"/>
  <c r="X22" i="6"/>
  <c r="X9" i="6"/>
  <c r="AB10" i="6"/>
  <c r="AB11" i="6"/>
  <c r="AB12" i="6"/>
  <c r="AB13" i="6"/>
  <c r="AB14" i="6"/>
  <c r="AB15" i="6"/>
  <c r="AB16" i="6"/>
  <c r="AB17" i="6"/>
  <c r="AB18" i="6"/>
  <c r="AB19" i="6"/>
  <c r="AB20" i="6"/>
  <c r="AB21" i="6"/>
  <c r="AB22" i="6"/>
  <c r="AB9" i="6"/>
  <c r="L9" i="9"/>
  <c r="P8" i="9"/>
  <c r="M7" i="9" s="1"/>
  <c r="F8" i="4" s="1"/>
  <c r="L10" i="8"/>
  <c r="L11" i="8"/>
  <c r="L12" i="8"/>
  <c r="L13" i="8"/>
  <c r="L14" i="8"/>
  <c r="L15" i="8"/>
  <c r="L16" i="8"/>
  <c r="L17" i="8"/>
  <c r="L18" i="8"/>
  <c r="L19" i="8"/>
  <c r="L20" i="8"/>
  <c r="L9" i="8"/>
  <c r="P12" i="8"/>
  <c r="P13" i="8"/>
  <c r="P15" i="8"/>
  <c r="P21" i="8"/>
  <c r="P22" i="8"/>
  <c r="T10" i="8"/>
  <c r="T11" i="8"/>
  <c r="T12" i="8"/>
  <c r="T13" i="8"/>
  <c r="T14" i="8"/>
  <c r="T15" i="8"/>
  <c r="T16" i="8"/>
  <c r="T17" i="8"/>
  <c r="T18" i="8"/>
  <c r="T19" i="8"/>
  <c r="T20" i="8"/>
  <c r="T22" i="8"/>
  <c r="T9" i="8"/>
  <c r="X10" i="8"/>
  <c r="X11" i="8"/>
  <c r="X12" i="8"/>
  <c r="X13" i="8"/>
  <c r="X14" i="8"/>
  <c r="X15" i="8"/>
  <c r="X16" i="8"/>
  <c r="X17" i="8"/>
  <c r="X18" i="8"/>
  <c r="X19" i="8"/>
  <c r="X20" i="8"/>
  <c r="X22" i="8"/>
  <c r="X9" i="8"/>
  <c r="AB10" i="8"/>
  <c r="AB11" i="8"/>
  <c r="AB12" i="8"/>
  <c r="AB13" i="8"/>
  <c r="AB14" i="8"/>
  <c r="AB15" i="8"/>
  <c r="AB16" i="8"/>
  <c r="AB17" i="8"/>
  <c r="AB18" i="8"/>
  <c r="AB19" i="8"/>
  <c r="AB20" i="8"/>
  <c r="AB9" i="8"/>
  <c r="L8" i="7"/>
  <c r="L9" i="7"/>
  <c r="L10" i="7"/>
  <c r="L11" i="7"/>
  <c r="L12" i="7"/>
  <c r="L13" i="7"/>
  <c r="L14" i="7"/>
  <c r="L15" i="7"/>
  <c r="L16" i="7"/>
  <c r="L17" i="7"/>
  <c r="L18" i="7"/>
  <c r="L19" i="7"/>
  <c r="L20" i="7"/>
  <c r="L21" i="7"/>
  <c r="P9" i="7"/>
  <c r="P10" i="7"/>
  <c r="P11" i="7"/>
  <c r="P12" i="7"/>
  <c r="P13" i="7"/>
  <c r="P14" i="7"/>
  <c r="P15" i="7"/>
  <c r="P16" i="7"/>
  <c r="P17" i="7"/>
  <c r="P18" i="7"/>
  <c r="P19" i="7"/>
  <c r="P20" i="7"/>
  <c r="P21" i="7"/>
  <c r="P8" i="7"/>
  <c r="T9" i="7"/>
  <c r="T10" i="7"/>
  <c r="T11" i="7"/>
  <c r="T12" i="7"/>
  <c r="T13" i="7"/>
  <c r="T14" i="7"/>
  <c r="T15" i="7"/>
  <c r="T16" i="7"/>
  <c r="T17" i="7"/>
  <c r="T18" i="7"/>
  <c r="T19" i="7"/>
  <c r="T20" i="7"/>
  <c r="T21" i="7"/>
  <c r="T8" i="7"/>
  <c r="X9" i="7"/>
  <c r="X10" i="7"/>
  <c r="X11" i="7"/>
  <c r="X12" i="7"/>
  <c r="X13" i="7"/>
  <c r="X14" i="7"/>
  <c r="X15" i="7"/>
  <c r="X16" i="7"/>
  <c r="X17" i="7"/>
  <c r="X18" i="7"/>
  <c r="X19" i="7"/>
  <c r="X20" i="7"/>
  <c r="X21" i="7"/>
  <c r="X8" i="7"/>
  <c r="G12" i="5"/>
  <c r="H11" i="5"/>
  <c r="G11" i="5"/>
  <c r="H4" i="4"/>
  <c r="G8" i="4"/>
  <c r="G6" i="4"/>
  <c r="D5" i="9"/>
  <c r="Y3" i="10" s="1"/>
  <c r="Y9" i="10"/>
  <c r="Z9" i="10"/>
  <c r="AA9" i="10" s="1"/>
  <c r="D74" i="11" s="1"/>
  <c r="Y10" i="10"/>
  <c r="AA10" i="10" s="1"/>
  <c r="D75" i="11" s="1"/>
  <c r="F75" i="11" s="1"/>
  <c r="Z10" i="10"/>
  <c r="AB10" i="10" s="1"/>
  <c r="Y15" i="10"/>
  <c r="AA15" i="10" s="1"/>
  <c r="D80" i="11" s="1"/>
  <c r="H80" i="11" s="1"/>
  <c r="Z15" i="10"/>
  <c r="AC15" i="10" s="1"/>
  <c r="Y16" i="10"/>
  <c r="AA16" i="10" s="1"/>
  <c r="D81" i="11" s="1"/>
  <c r="F81" i="11" s="1"/>
  <c r="Z16" i="10"/>
  <c r="AB16" i="10" s="1"/>
  <c r="T8" i="10"/>
  <c r="T10" i="10"/>
  <c r="V10" i="10" s="1"/>
  <c r="D58" i="11" s="1"/>
  <c r="U10" i="10"/>
  <c r="X10" i="10" s="1"/>
  <c r="T14" i="10"/>
  <c r="I5" i="10"/>
  <c r="M6" i="9"/>
  <c r="M5" i="9"/>
  <c r="I6" i="9"/>
  <c r="I5" i="9"/>
  <c r="M4" i="9"/>
  <c r="I4" i="9"/>
  <c r="P12" i="9"/>
  <c r="P9" i="9"/>
  <c r="P10" i="9"/>
  <c r="P11" i="9"/>
  <c r="P13" i="9"/>
  <c r="P14" i="9"/>
  <c r="P15" i="9"/>
  <c r="P16" i="9"/>
  <c r="P17" i="9"/>
  <c r="P18" i="9"/>
  <c r="P19" i="9"/>
  <c r="P20" i="9"/>
  <c r="P21" i="9"/>
  <c r="D9" i="9"/>
  <c r="Y7" i="10" s="1"/>
  <c r="E9" i="9"/>
  <c r="Z7" i="10" s="1"/>
  <c r="D10" i="9"/>
  <c r="Y8" i="10" s="1"/>
  <c r="AA8" i="10" s="1"/>
  <c r="D73" i="11" s="1"/>
  <c r="E10" i="9"/>
  <c r="Z8" i="10" s="1"/>
  <c r="D11" i="9"/>
  <c r="E11" i="9"/>
  <c r="D12" i="9"/>
  <c r="E12" i="9"/>
  <c r="D13" i="9"/>
  <c r="Y11" i="10" s="1"/>
  <c r="E13" i="9"/>
  <c r="Z11" i="10" s="1"/>
  <c r="AC11" i="10" s="1"/>
  <c r="D14" i="9"/>
  <c r="Y12" i="10" s="1"/>
  <c r="E14" i="9"/>
  <c r="Z12" i="10" s="1"/>
  <c r="D15" i="9"/>
  <c r="Y13" i="10" s="1"/>
  <c r="E15" i="9"/>
  <c r="Z13" i="10" s="1"/>
  <c r="D16" i="9"/>
  <c r="Y14" i="10" s="1"/>
  <c r="AA14" i="10" s="1"/>
  <c r="D79" i="11" s="1"/>
  <c r="H79" i="11" s="1"/>
  <c r="E16" i="9"/>
  <c r="Z14" i="10" s="1"/>
  <c r="D17" i="9"/>
  <c r="E17" i="9"/>
  <c r="D18" i="9"/>
  <c r="E18" i="9"/>
  <c r="D19" i="9"/>
  <c r="Y17" i="10" s="1"/>
  <c r="E19" i="9"/>
  <c r="Z17" i="10" s="1"/>
  <c r="AC17" i="10" s="1"/>
  <c r="D20" i="9"/>
  <c r="Y18" i="10" s="1"/>
  <c r="E20" i="9"/>
  <c r="Z18" i="10" s="1"/>
  <c r="D21" i="9"/>
  <c r="Y19" i="10" s="1"/>
  <c r="E21" i="9"/>
  <c r="Z19" i="10" s="1"/>
  <c r="E8" i="9"/>
  <c r="Z6" i="10" s="1"/>
  <c r="AC6" i="10" s="1"/>
  <c r="D8" i="9"/>
  <c r="Y6" i="10" s="1"/>
  <c r="O21" i="9"/>
  <c r="L21" i="9"/>
  <c r="K21" i="9"/>
  <c r="O20" i="9"/>
  <c r="L20" i="9"/>
  <c r="K20" i="9"/>
  <c r="O19" i="9"/>
  <c r="L19" i="9"/>
  <c r="K19" i="9"/>
  <c r="O18" i="9"/>
  <c r="L18" i="9"/>
  <c r="K18" i="9"/>
  <c r="O17" i="9"/>
  <c r="L17" i="9"/>
  <c r="K17" i="9"/>
  <c r="O16" i="9"/>
  <c r="L16" i="9"/>
  <c r="K16" i="9"/>
  <c r="O15" i="9"/>
  <c r="L15" i="9"/>
  <c r="K15" i="9"/>
  <c r="O14" i="9"/>
  <c r="L14" i="9"/>
  <c r="K14" i="9"/>
  <c r="O13" i="9"/>
  <c r="L13" i="9"/>
  <c r="K13" i="9"/>
  <c r="O12" i="9"/>
  <c r="L12" i="9"/>
  <c r="K12" i="9"/>
  <c r="O11" i="9"/>
  <c r="L11" i="9"/>
  <c r="K11" i="9"/>
  <c r="O10" i="9"/>
  <c r="L10" i="9"/>
  <c r="K10" i="9"/>
  <c r="O9" i="9"/>
  <c r="K9" i="9"/>
  <c r="O8" i="9"/>
  <c r="H7" i="9"/>
  <c r="D11" i="8"/>
  <c r="D13" i="8"/>
  <c r="E13" i="8"/>
  <c r="D14" i="8"/>
  <c r="T11" i="10" s="1"/>
  <c r="E14" i="8"/>
  <c r="U11" i="10" s="1"/>
  <c r="X11" i="10" s="1"/>
  <c r="D15" i="8"/>
  <c r="T12" i="10" s="1"/>
  <c r="E15" i="8"/>
  <c r="U12" i="10" s="1"/>
  <c r="D17" i="8"/>
  <c r="D20" i="8"/>
  <c r="T17" i="10" s="1"/>
  <c r="V17" i="10" s="1"/>
  <c r="D65" i="11" s="1"/>
  <c r="E20" i="8"/>
  <c r="U17" i="10" s="1"/>
  <c r="D21" i="8"/>
  <c r="T18" i="10" s="1"/>
  <c r="V18" i="10" s="1"/>
  <c r="D66" i="11" s="1"/>
  <c r="H66" i="11" s="1"/>
  <c r="E21" i="8"/>
  <c r="U18" i="10" s="1"/>
  <c r="E22" i="8"/>
  <c r="U19" i="10" s="1"/>
  <c r="I7" i="8"/>
  <c r="D7" i="8" s="1"/>
  <c r="T4" i="10" s="1"/>
  <c r="Y6" i="8"/>
  <c r="U6" i="8"/>
  <c r="Q6" i="8"/>
  <c r="M7" i="8"/>
  <c r="M6" i="8"/>
  <c r="D6" i="8" s="1"/>
  <c r="T3" i="10" s="1"/>
  <c r="I6" i="8"/>
  <c r="M4" i="8"/>
  <c r="I4" i="8"/>
  <c r="AA20" i="8"/>
  <c r="H10" i="5" s="1"/>
  <c r="AA19" i="8"/>
  <c r="AA18" i="8"/>
  <c r="AA17" i="8"/>
  <c r="AA16" i="8"/>
  <c r="AA15" i="8"/>
  <c r="AA14" i="8"/>
  <c r="AA13" i="8"/>
  <c r="G10" i="5" s="1"/>
  <c r="AA12" i="8"/>
  <c r="AA11" i="8"/>
  <c r="AA10" i="8"/>
  <c r="AA9" i="8"/>
  <c r="M22" i="8"/>
  <c r="O22" i="8" s="1"/>
  <c r="M21" i="8"/>
  <c r="N20" i="8"/>
  <c r="M20" i="8"/>
  <c r="P20" i="8" s="1"/>
  <c r="N19" i="8"/>
  <c r="P19" i="8" s="1"/>
  <c r="M19" i="8"/>
  <c r="D19" i="8" s="1"/>
  <c r="T16" i="10" s="1"/>
  <c r="N18" i="8"/>
  <c r="P18" i="8" s="1"/>
  <c r="M18" i="8"/>
  <c r="D18" i="8" s="1"/>
  <c r="T15" i="10" s="1"/>
  <c r="N17" i="8"/>
  <c r="P17" i="8" s="1"/>
  <c r="M17" i="8"/>
  <c r="N16" i="8"/>
  <c r="E16" i="8" s="1"/>
  <c r="U13" i="10" s="1"/>
  <c r="X13" i="10" s="1"/>
  <c r="M16" i="8"/>
  <c r="D16" i="8" s="1"/>
  <c r="T13" i="10" s="1"/>
  <c r="N15" i="8"/>
  <c r="M15" i="8"/>
  <c r="O15" i="8" s="1"/>
  <c r="N13" i="8"/>
  <c r="N14" i="8"/>
  <c r="O14" i="8" s="1"/>
  <c r="O13" i="8"/>
  <c r="G7" i="5" s="1"/>
  <c r="N12" i="8"/>
  <c r="E12" i="8" s="1"/>
  <c r="U9" i="10" s="1"/>
  <c r="N9" i="8"/>
  <c r="P9" i="8" s="1"/>
  <c r="N10" i="8"/>
  <c r="E10" i="8" s="1"/>
  <c r="U7" i="10" s="1"/>
  <c r="N11" i="8"/>
  <c r="O11" i="8" s="1"/>
  <c r="M10" i="8"/>
  <c r="M11" i="8"/>
  <c r="M12" i="8"/>
  <c r="D12" i="8" s="1"/>
  <c r="T9" i="10" s="1"/>
  <c r="V9" i="10" s="1"/>
  <c r="D57" i="11" s="1"/>
  <c r="M13" i="8"/>
  <c r="M14" i="8"/>
  <c r="M9" i="8"/>
  <c r="W22" i="8"/>
  <c r="S22" i="8"/>
  <c r="W20" i="8"/>
  <c r="S20" i="8"/>
  <c r="H12" i="5" s="1"/>
  <c r="K20" i="8"/>
  <c r="W19" i="8"/>
  <c r="S19" i="8"/>
  <c r="K19" i="8"/>
  <c r="W18" i="8"/>
  <c r="S18" i="8"/>
  <c r="K18" i="8"/>
  <c r="W17" i="8"/>
  <c r="S17" i="8"/>
  <c r="K17" i="8"/>
  <c r="W16" i="8"/>
  <c r="S16" i="8"/>
  <c r="K16" i="8"/>
  <c r="W15" i="8"/>
  <c r="S15" i="8"/>
  <c r="K15" i="8"/>
  <c r="W14" i="8"/>
  <c r="S14" i="8"/>
  <c r="K14" i="8"/>
  <c r="W13" i="8"/>
  <c r="S13" i="8"/>
  <c r="K13" i="8"/>
  <c r="W12" i="8"/>
  <c r="S12" i="8"/>
  <c r="K12" i="8"/>
  <c r="W11" i="8"/>
  <c r="S11" i="8"/>
  <c r="K11" i="8"/>
  <c r="W10" i="8"/>
  <c r="S10" i="8"/>
  <c r="K10" i="8"/>
  <c r="W9" i="8"/>
  <c r="S9" i="8"/>
  <c r="K9" i="8"/>
  <c r="H8" i="8"/>
  <c r="U4" i="6"/>
  <c r="M4" i="6"/>
  <c r="Q4" i="6"/>
  <c r="I4" i="6"/>
  <c r="AB19" i="10" l="1"/>
  <c r="AC19" i="10"/>
  <c r="AB13" i="10"/>
  <c r="AC13" i="10"/>
  <c r="AA7" i="10"/>
  <c r="D72" i="11" s="1"/>
  <c r="AB12" i="10"/>
  <c r="AC12" i="10"/>
  <c r="AA11" i="10"/>
  <c r="D76" i="11" s="1"/>
  <c r="H76" i="11" s="1"/>
  <c r="H74" i="11"/>
  <c r="I74" i="11" s="1"/>
  <c r="F74" i="11"/>
  <c r="H73" i="11"/>
  <c r="I73" i="11" s="1"/>
  <c r="F73" i="11"/>
  <c r="AB7" i="10"/>
  <c r="AC7" i="10"/>
  <c r="AA13" i="10"/>
  <c r="D78" i="11" s="1"/>
  <c r="AA18" i="10"/>
  <c r="D83" i="11" s="1"/>
  <c r="H83" i="11" s="1"/>
  <c r="AA17" i="10"/>
  <c r="D82" i="11" s="1"/>
  <c r="H82" i="11" s="1"/>
  <c r="AA19" i="10"/>
  <c r="D84" i="11" s="1"/>
  <c r="AB18" i="10"/>
  <c r="AC18" i="10"/>
  <c r="AA12" i="10"/>
  <c r="D77" i="11" s="1"/>
  <c r="AA6" i="10"/>
  <c r="D71" i="11" s="1"/>
  <c r="AB14" i="10"/>
  <c r="AC14" i="10"/>
  <c r="AB8" i="10"/>
  <c r="AC8" i="10"/>
  <c r="AC10" i="10"/>
  <c r="AC9" i="10"/>
  <c r="AC16" i="10"/>
  <c r="H65" i="11"/>
  <c r="I65" i="11" s="1"/>
  <c r="F65" i="11"/>
  <c r="W12" i="10"/>
  <c r="X12" i="10"/>
  <c r="V12" i="10"/>
  <c r="D60" i="11" s="1"/>
  <c r="H58" i="11"/>
  <c r="F58" i="11"/>
  <c r="I58" i="11" s="1"/>
  <c r="W9" i="10"/>
  <c r="X9" i="10"/>
  <c r="V16" i="10"/>
  <c r="D64" i="11" s="1"/>
  <c r="V11" i="10"/>
  <c r="D59" i="11" s="1"/>
  <c r="V8" i="10"/>
  <c r="D56" i="11" s="1"/>
  <c r="W18" i="10"/>
  <c r="X18" i="10"/>
  <c r="F57" i="11"/>
  <c r="H57" i="11"/>
  <c r="I57" i="11" s="1"/>
  <c r="V13" i="10"/>
  <c r="D61" i="11" s="1"/>
  <c r="X17" i="10"/>
  <c r="E19" i="8"/>
  <c r="U16" i="10" s="1"/>
  <c r="X16" i="10" s="1"/>
  <c r="E18" i="8"/>
  <c r="U15" i="10" s="1"/>
  <c r="O9" i="8"/>
  <c r="D9" i="8"/>
  <c r="T6" i="10" s="1"/>
  <c r="V6" i="10" s="1"/>
  <c r="D54" i="11" s="1"/>
  <c r="E17" i="8"/>
  <c r="U14" i="10" s="1"/>
  <c r="E11" i="8"/>
  <c r="U8" i="10" s="1"/>
  <c r="X8" i="10" s="1"/>
  <c r="P10" i="8"/>
  <c r="O12" i="8"/>
  <c r="E9" i="8"/>
  <c r="U6" i="10" s="1"/>
  <c r="P16" i="8"/>
  <c r="P11" i="8"/>
  <c r="O10" i="8"/>
  <c r="O17" i="8"/>
  <c r="D22" i="8"/>
  <c r="T19" i="10" s="1"/>
  <c r="V19" i="10" s="1"/>
  <c r="D67" i="11" s="1"/>
  <c r="D10" i="8"/>
  <c r="T7" i="10" s="1"/>
  <c r="V7" i="10" s="1"/>
  <c r="D55" i="11" s="1"/>
  <c r="H55" i="11" s="1"/>
  <c r="P14" i="8"/>
  <c r="U7" i="7"/>
  <c r="F9" i="2" s="1"/>
  <c r="F83" i="11"/>
  <c r="I83" i="11" s="1"/>
  <c r="F79" i="11"/>
  <c r="F80" i="11"/>
  <c r="H75" i="11"/>
  <c r="H81" i="11"/>
  <c r="I81" i="11" s="1"/>
  <c r="F76" i="11"/>
  <c r="F82" i="11"/>
  <c r="I82" i="11" s="1"/>
  <c r="F66" i="11"/>
  <c r="I66" i="11"/>
  <c r="I75" i="11"/>
  <c r="I79" i="11"/>
  <c r="I80" i="11"/>
  <c r="Q8" i="8"/>
  <c r="AB15" i="10"/>
  <c r="AB9" i="10"/>
  <c r="W14" i="10"/>
  <c r="W8" i="10"/>
  <c r="W16" i="10"/>
  <c r="AB17" i="10"/>
  <c r="AB11" i="10"/>
  <c r="W13" i="10"/>
  <c r="W17" i="10"/>
  <c r="W11" i="10"/>
  <c r="W10" i="10"/>
  <c r="AB6" i="10"/>
  <c r="D6" i="9"/>
  <c r="Y4" i="10" s="1"/>
  <c r="I7" i="9"/>
  <c r="F6" i="4" s="1"/>
  <c r="G15" i="9"/>
  <c r="G8" i="9"/>
  <c r="F20" i="9"/>
  <c r="G12" i="9"/>
  <c r="G14" i="9"/>
  <c r="G9" i="9"/>
  <c r="G16" i="9"/>
  <c r="G18" i="9"/>
  <c r="G10" i="9"/>
  <c r="G19" i="9"/>
  <c r="G21" i="9"/>
  <c r="G11" i="9"/>
  <c r="G13" i="9"/>
  <c r="G17" i="9"/>
  <c r="F8" i="9"/>
  <c r="F9" i="9"/>
  <c r="F10" i="9"/>
  <c r="F11" i="9"/>
  <c r="F12" i="9"/>
  <c r="G4" i="4" s="1"/>
  <c r="F13" i="9"/>
  <c r="F14" i="9"/>
  <c r="F15" i="9"/>
  <c r="F16" i="9"/>
  <c r="F17" i="9"/>
  <c r="F18" i="9"/>
  <c r="F19" i="9"/>
  <c r="H4" i="5" s="1"/>
  <c r="F21" i="9"/>
  <c r="G20" i="9"/>
  <c r="O21" i="8"/>
  <c r="I8" i="8"/>
  <c r="F6" i="5" s="1"/>
  <c r="O20" i="8"/>
  <c r="H7" i="5" s="1"/>
  <c r="F20" i="8"/>
  <c r="O19" i="8"/>
  <c r="O18" i="8"/>
  <c r="G18" i="8"/>
  <c r="G17" i="8"/>
  <c r="O16" i="8"/>
  <c r="G16" i="8"/>
  <c r="F15" i="8"/>
  <c r="F13" i="8"/>
  <c r="G4" i="5" s="1"/>
  <c r="G14" i="8"/>
  <c r="G11" i="8"/>
  <c r="F12" i="8"/>
  <c r="G21" i="8"/>
  <c r="F11" i="8"/>
  <c r="F17" i="8"/>
  <c r="G12" i="8"/>
  <c r="F14" i="8"/>
  <c r="F21" i="8"/>
  <c r="F72" i="11" l="1"/>
  <c r="H72" i="11"/>
  <c r="I72" i="11" s="1"/>
  <c r="H71" i="11"/>
  <c r="F71" i="11"/>
  <c r="F85" i="11" s="1"/>
  <c r="I76" i="11"/>
  <c r="H77" i="11"/>
  <c r="F77" i="11"/>
  <c r="H84" i="11"/>
  <c r="F84" i="11"/>
  <c r="H78" i="11"/>
  <c r="F78" i="11"/>
  <c r="H54" i="11"/>
  <c r="F54" i="11"/>
  <c r="H56" i="11"/>
  <c r="F56" i="11"/>
  <c r="H59" i="11"/>
  <c r="F59" i="11"/>
  <c r="F9" i="8"/>
  <c r="F67" i="11"/>
  <c r="H67" i="11"/>
  <c r="I67" i="11" s="1"/>
  <c r="W15" i="10"/>
  <c r="X15" i="10"/>
  <c r="H64" i="11"/>
  <c r="F64" i="11"/>
  <c r="G19" i="8"/>
  <c r="H61" i="11"/>
  <c r="F61" i="11"/>
  <c r="X6" i="10"/>
  <c r="F22" i="8"/>
  <c r="V15" i="10"/>
  <c r="D63" i="11" s="1"/>
  <c r="W7" i="10"/>
  <c r="X7" i="10"/>
  <c r="F10" i="8"/>
  <c r="W6" i="10"/>
  <c r="H60" i="11"/>
  <c r="F60" i="11"/>
  <c r="F55" i="11"/>
  <c r="I55" i="11" s="1"/>
  <c r="G10" i="8"/>
  <c r="G9" i="8"/>
  <c r="X19" i="10"/>
  <c r="F19" i="8"/>
  <c r="X14" i="10"/>
  <c r="V14" i="10"/>
  <c r="D62" i="11" s="1"/>
  <c r="W19" i="10"/>
  <c r="D7" i="9"/>
  <c r="F4" i="4" s="1"/>
  <c r="G22" i="8"/>
  <c r="F16" i="8"/>
  <c r="G15" i="8"/>
  <c r="G13" i="8"/>
  <c r="G20" i="8"/>
  <c r="F18" i="8"/>
  <c r="I77" i="11" l="1"/>
  <c r="H85" i="11"/>
  <c r="I85" i="11" s="1"/>
  <c r="I71" i="11"/>
  <c r="I78" i="11"/>
  <c r="I84" i="11"/>
  <c r="F68" i="11"/>
  <c r="I64" i="11"/>
  <c r="I54" i="11"/>
  <c r="I60" i="11"/>
  <c r="H62" i="11"/>
  <c r="F62" i="11"/>
  <c r="H63" i="11"/>
  <c r="F63" i="11"/>
  <c r="I59" i="11"/>
  <c r="I61" i="11"/>
  <c r="I56" i="11"/>
  <c r="D8" i="8"/>
  <c r="F4" i="5" s="1"/>
  <c r="I63" i="11" l="1"/>
  <c r="I62" i="11"/>
  <c r="H68" i="11"/>
  <c r="I68" i="11" s="1"/>
  <c r="Y5" i="10"/>
  <c r="T5" i="10"/>
  <c r="Y8" i="8"/>
  <c r="F10" i="5" s="1"/>
  <c r="U8" i="8"/>
  <c r="F11" i="5" s="1"/>
  <c r="M8" i="8"/>
  <c r="F7" i="5" s="1"/>
  <c r="U4" i="7" l="1"/>
  <c r="M4" i="7"/>
  <c r="I4" i="7"/>
  <c r="U6" i="7"/>
  <c r="U5" i="7"/>
  <c r="Q6" i="7"/>
  <c r="Q5" i="7"/>
  <c r="M6" i="7"/>
  <c r="M5" i="7"/>
  <c r="I6" i="7"/>
  <c r="I5" i="7"/>
  <c r="D8" i="7"/>
  <c r="O6" i="10" s="1"/>
  <c r="D9" i="7"/>
  <c r="O7" i="10" s="1"/>
  <c r="E9" i="7"/>
  <c r="P7" i="10" s="1"/>
  <c r="D10" i="7"/>
  <c r="O8" i="10" s="1"/>
  <c r="Q8" i="10" s="1"/>
  <c r="D39" i="11" s="1"/>
  <c r="E10" i="7"/>
  <c r="P8" i="10" s="1"/>
  <c r="D11" i="7"/>
  <c r="O9" i="10" s="1"/>
  <c r="E11" i="7"/>
  <c r="P9" i="10" s="1"/>
  <c r="D12" i="7"/>
  <c r="O10" i="10" s="1"/>
  <c r="E12" i="7"/>
  <c r="P10" i="10" s="1"/>
  <c r="D13" i="7"/>
  <c r="O11" i="10" s="1"/>
  <c r="Q11" i="10" s="1"/>
  <c r="D42" i="11" s="1"/>
  <c r="E13" i="7"/>
  <c r="P11" i="10" s="1"/>
  <c r="D14" i="7"/>
  <c r="O12" i="10" s="1"/>
  <c r="E14" i="7"/>
  <c r="P12" i="10" s="1"/>
  <c r="D15" i="7"/>
  <c r="O13" i="10" s="1"/>
  <c r="E15" i="7"/>
  <c r="P13" i="10" s="1"/>
  <c r="D16" i="7"/>
  <c r="O14" i="10" s="1"/>
  <c r="E16" i="7"/>
  <c r="P14" i="10" s="1"/>
  <c r="D17" i="7"/>
  <c r="O15" i="10" s="1"/>
  <c r="E17" i="7"/>
  <c r="P15" i="10" s="1"/>
  <c r="D18" i="7"/>
  <c r="O16" i="10" s="1"/>
  <c r="E18" i="7"/>
  <c r="P16" i="10" s="1"/>
  <c r="D19" i="7"/>
  <c r="O17" i="10" s="1"/>
  <c r="Q17" i="10" s="1"/>
  <c r="D48" i="11" s="1"/>
  <c r="E19" i="7"/>
  <c r="P17" i="10" s="1"/>
  <c r="D20" i="7"/>
  <c r="O18" i="10" s="1"/>
  <c r="E20" i="7"/>
  <c r="P18" i="10" s="1"/>
  <c r="D21" i="7"/>
  <c r="O19" i="10" s="1"/>
  <c r="E21" i="7"/>
  <c r="P19" i="10" s="1"/>
  <c r="E8" i="7"/>
  <c r="P6" i="10" s="1"/>
  <c r="W21" i="7"/>
  <c r="S21" i="7"/>
  <c r="O21" i="7"/>
  <c r="K21" i="7"/>
  <c r="W20" i="7"/>
  <c r="S20" i="7"/>
  <c r="O20" i="7"/>
  <c r="K20" i="7"/>
  <c r="W19" i="7"/>
  <c r="H9" i="2" s="1"/>
  <c r="S19" i="7"/>
  <c r="H8" i="2" s="1"/>
  <c r="O19" i="7"/>
  <c r="H7" i="2" s="1"/>
  <c r="K19" i="7"/>
  <c r="W18" i="7"/>
  <c r="S18" i="7"/>
  <c r="O18" i="7"/>
  <c r="K18" i="7"/>
  <c r="H6" i="2" s="1"/>
  <c r="W17" i="7"/>
  <c r="S17" i="7"/>
  <c r="O17" i="7"/>
  <c r="K17" i="7"/>
  <c r="W16" i="7"/>
  <c r="S16" i="7"/>
  <c r="O16" i="7"/>
  <c r="K16" i="7"/>
  <c r="W15" i="7"/>
  <c r="S15" i="7"/>
  <c r="O15" i="7"/>
  <c r="K15" i="7"/>
  <c r="W14" i="7"/>
  <c r="S14" i="7"/>
  <c r="O14" i="7"/>
  <c r="K14" i="7"/>
  <c r="W13" i="7"/>
  <c r="S13" i="7"/>
  <c r="O13" i="7"/>
  <c r="K13" i="7"/>
  <c r="W12" i="7"/>
  <c r="G9" i="2" s="1"/>
  <c r="S12" i="7"/>
  <c r="G8" i="2" s="1"/>
  <c r="O12" i="7"/>
  <c r="G7" i="2" s="1"/>
  <c r="K12" i="7"/>
  <c r="G6" i="2" s="1"/>
  <c r="W11" i="7"/>
  <c r="S11" i="7"/>
  <c r="O11" i="7"/>
  <c r="K11" i="7"/>
  <c r="W10" i="7"/>
  <c r="S10" i="7"/>
  <c r="O10" i="7"/>
  <c r="K10" i="7"/>
  <c r="W9" i="7"/>
  <c r="S9" i="7"/>
  <c r="O9" i="7"/>
  <c r="K9" i="7"/>
  <c r="W8" i="7"/>
  <c r="S8" i="7"/>
  <c r="O8" i="7"/>
  <c r="K8" i="7"/>
  <c r="H7" i="7"/>
  <c r="L10" i="6"/>
  <c r="L11" i="6"/>
  <c r="L12" i="6"/>
  <c r="L13" i="6"/>
  <c r="L14" i="6"/>
  <c r="L15" i="6"/>
  <c r="L16" i="6"/>
  <c r="L17" i="6"/>
  <c r="L18" i="6"/>
  <c r="L19" i="6"/>
  <c r="L20" i="6"/>
  <c r="L21" i="6"/>
  <c r="L22" i="6"/>
  <c r="H8" i="6"/>
  <c r="Y7" i="6"/>
  <c r="U7" i="6"/>
  <c r="Q7" i="6"/>
  <c r="M7" i="6"/>
  <c r="I7" i="6"/>
  <c r="Y6" i="6"/>
  <c r="U6" i="6"/>
  <c r="Q6" i="6"/>
  <c r="M6" i="6"/>
  <c r="I6" i="6"/>
  <c r="AA22" i="6"/>
  <c r="W22" i="6"/>
  <c r="S22" i="6"/>
  <c r="O22" i="6"/>
  <c r="K22" i="6"/>
  <c r="E22" i="6"/>
  <c r="K19" i="10" s="1"/>
  <c r="D22" i="6"/>
  <c r="J19" i="10" s="1"/>
  <c r="AA21" i="6"/>
  <c r="W21" i="6"/>
  <c r="S21" i="6"/>
  <c r="O21" i="6"/>
  <c r="K21" i="6"/>
  <c r="E21" i="6"/>
  <c r="K18" i="10" s="1"/>
  <c r="D21" i="6"/>
  <c r="J18" i="10" s="1"/>
  <c r="AA20" i="6"/>
  <c r="W20" i="6"/>
  <c r="S20" i="6"/>
  <c r="O20" i="6"/>
  <c r="K20" i="6"/>
  <c r="H6" i="1" s="1"/>
  <c r="E20" i="6"/>
  <c r="K17" i="10" s="1"/>
  <c r="D20" i="6"/>
  <c r="J17" i="10" s="1"/>
  <c r="AA19" i="6"/>
  <c r="W19" i="6"/>
  <c r="S19" i="6"/>
  <c r="O19" i="6"/>
  <c r="K19" i="6"/>
  <c r="E19" i="6"/>
  <c r="K16" i="10" s="1"/>
  <c r="D19" i="6"/>
  <c r="J16" i="10" s="1"/>
  <c r="AA18" i="6"/>
  <c r="W18" i="6"/>
  <c r="S18" i="6"/>
  <c r="O18" i="6"/>
  <c r="K18" i="6"/>
  <c r="E18" i="6"/>
  <c r="K15" i="10" s="1"/>
  <c r="D18" i="6"/>
  <c r="J15" i="10" s="1"/>
  <c r="AA17" i="6"/>
  <c r="W17" i="6"/>
  <c r="S17" i="6"/>
  <c r="O17" i="6"/>
  <c r="K17" i="6"/>
  <c r="E17" i="6"/>
  <c r="K14" i="10" s="1"/>
  <c r="D17" i="6"/>
  <c r="J14" i="10" s="1"/>
  <c r="AA16" i="6"/>
  <c r="W16" i="6"/>
  <c r="S16" i="6"/>
  <c r="O16" i="6"/>
  <c r="K16" i="6"/>
  <c r="E16" i="6"/>
  <c r="K13" i="10" s="1"/>
  <c r="D16" i="6"/>
  <c r="J13" i="10" s="1"/>
  <c r="AA15" i="6"/>
  <c r="W15" i="6"/>
  <c r="S15" i="6"/>
  <c r="O15" i="6"/>
  <c r="K15" i="6"/>
  <c r="E15" i="6"/>
  <c r="K12" i="10" s="1"/>
  <c r="D15" i="6"/>
  <c r="J12" i="10" s="1"/>
  <c r="AA14" i="6"/>
  <c r="W14" i="6"/>
  <c r="S14" i="6"/>
  <c r="O14" i="6"/>
  <c r="K14" i="6"/>
  <c r="E14" i="6"/>
  <c r="K11" i="10" s="1"/>
  <c r="D14" i="6"/>
  <c r="J11" i="10" s="1"/>
  <c r="AA13" i="6"/>
  <c r="G11" i="1" s="1"/>
  <c r="W13" i="6"/>
  <c r="S13" i="6"/>
  <c r="O13" i="6"/>
  <c r="K13" i="6"/>
  <c r="E13" i="6"/>
  <c r="K10" i="10" s="1"/>
  <c r="D13" i="6"/>
  <c r="J10" i="10" s="1"/>
  <c r="AA12" i="6"/>
  <c r="W12" i="6"/>
  <c r="S12" i="6"/>
  <c r="O12" i="6"/>
  <c r="K12" i="6"/>
  <c r="E12" i="6"/>
  <c r="K9" i="10" s="1"/>
  <c r="D12" i="6"/>
  <c r="AA11" i="6"/>
  <c r="W11" i="6"/>
  <c r="S11" i="6"/>
  <c r="O11" i="6"/>
  <c r="K11" i="6"/>
  <c r="E11" i="6"/>
  <c r="K8" i="10" s="1"/>
  <c r="D11" i="6"/>
  <c r="J8" i="10" s="1"/>
  <c r="AA10" i="6"/>
  <c r="W10" i="6"/>
  <c r="S10" i="6"/>
  <c r="O10" i="6"/>
  <c r="K10" i="6"/>
  <c r="E10" i="6"/>
  <c r="K7" i="10" s="1"/>
  <c r="D10" i="6"/>
  <c r="J7" i="10" s="1"/>
  <c r="AA9" i="6"/>
  <c r="W9" i="6"/>
  <c r="S9" i="6"/>
  <c r="O9" i="6"/>
  <c r="K9" i="6"/>
  <c r="E9" i="6"/>
  <c r="K6" i="10" s="1"/>
  <c r="D9" i="6"/>
  <c r="J6" i="10" s="1"/>
  <c r="L4" i="5"/>
  <c r="L5" i="5"/>
  <c r="M5" i="5"/>
  <c r="J4" i="5"/>
  <c r="M4" i="5"/>
  <c r="M5" i="4"/>
  <c r="L5" i="4"/>
  <c r="L4" i="4"/>
  <c r="E5" i="4"/>
  <c r="E4" i="4"/>
  <c r="N4" i="4"/>
  <c r="M4" i="4"/>
  <c r="K4" i="4"/>
  <c r="J4" i="4"/>
  <c r="E5" i="5"/>
  <c r="E4" i="5"/>
  <c r="E5" i="2"/>
  <c r="E4" i="2"/>
  <c r="J4" i="2"/>
  <c r="L4" i="2"/>
  <c r="M4" i="2"/>
  <c r="N4" i="2"/>
  <c r="L5" i="2"/>
  <c r="M5" i="2"/>
  <c r="N4" i="5"/>
  <c r="K4" i="5"/>
  <c r="M5" i="1"/>
  <c r="L5" i="1"/>
  <c r="N4" i="1"/>
  <c r="L4" i="1"/>
  <c r="K4" i="1"/>
  <c r="J4" i="1"/>
  <c r="E4" i="1"/>
  <c r="E5" i="1"/>
  <c r="P12" i="5"/>
  <c r="P11" i="5"/>
  <c r="P10" i="5"/>
  <c r="P9" i="5"/>
  <c r="P8" i="5"/>
  <c r="P7" i="5"/>
  <c r="P6" i="5"/>
  <c r="M6" i="5"/>
  <c r="P10" i="4"/>
  <c r="K10" i="4"/>
  <c r="P9" i="4"/>
  <c r="K9" i="4"/>
  <c r="P8" i="4"/>
  <c r="K8" i="4"/>
  <c r="P7" i="4"/>
  <c r="K7" i="4"/>
  <c r="P6" i="4"/>
  <c r="M6" i="4"/>
  <c r="P12" i="2"/>
  <c r="K12" i="2"/>
  <c r="P11" i="2"/>
  <c r="K11" i="2"/>
  <c r="P10" i="2"/>
  <c r="K10" i="2"/>
  <c r="K4" i="2" s="1"/>
  <c r="P9" i="2"/>
  <c r="K9" i="2"/>
  <c r="P8" i="2"/>
  <c r="P7" i="2"/>
  <c r="K7" i="2"/>
  <c r="P6" i="2"/>
  <c r="M6" i="2"/>
  <c r="K6" i="2"/>
  <c r="R16" i="10" l="1"/>
  <c r="S16" i="10"/>
  <c r="Q16" i="10"/>
  <c r="D47" i="11" s="1"/>
  <c r="Q9" i="10"/>
  <c r="D40" i="11" s="1"/>
  <c r="H39" i="11"/>
  <c r="F39" i="11"/>
  <c r="S19" i="10"/>
  <c r="R19" i="10"/>
  <c r="S7" i="10"/>
  <c r="R7" i="10"/>
  <c r="Q13" i="10"/>
  <c r="D44" i="11" s="1"/>
  <c r="S18" i="10"/>
  <c r="R18" i="10"/>
  <c r="S12" i="10"/>
  <c r="R12" i="10"/>
  <c r="Q6" i="10"/>
  <c r="D37" i="11" s="1"/>
  <c r="H48" i="11"/>
  <c r="F48" i="11"/>
  <c r="I48" i="11" s="1"/>
  <c r="H42" i="11"/>
  <c r="F42" i="11"/>
  <c r="R10" i="10"/>
  <c r="S10" i="10"/>
  <c r="Q10" i="10"/>
  <c r="D41" i="11" s="1"/>
  <c r="R15" i="10"/>
  <c r="S15" i="10"/>
  <c r="S9" i="10"/>
  <c r="R9" i="10"/>
  <c r="Q15" i="10"/>
  <c r="D46" i="11" s="1"/>
  <c r="S6" i="10"/>
  <c r="R6" i="10"/>
  <c r="Q19" i="10"/>
  <c r="D50" i="11" s="1"/>
  <c r="Q7" i="10"/>
  <c r="D38" i="11" s="1"/>
  <c r="D15" i="10"/>
  <c r="Q18" i="10"/>
  <c r="D49" i="11" s="1"/>
  <c r="Q12" i="10"/>
  <c r="D43" i="11" s="1"/>
  <c r="S14" i="10"/>
  <c r="R14" i="10"/>
  <c r="S8" i="10"/>
  <c r="R8" i="10"/>
  <c r="Q14" i="10"/>
  <c r="D45" i="11" s="1"/>
  <c r="R13" i="10"/>
  <c r="S13" i="10"/>
  <c r="R17" i="10"/>
  <c r="S17" i="10"/>
  <c r="R11" i="10"/>
  <c r="S11" i="10"/>
  <c r="D6" i="7"/>
  <c r="O4" i="10" s="1"/>
  <c r="N10" i="10"/>
  <c r="M10" i="10"/>
  <c r="E10" i="10"/>
  <c r="L17" i="10"/>
  <c r="D31" i="11" s="1"/>
  <c r="D17" i="10"/>
  <c r="G6" i="1"/>
  <c r="F6" i="1"/>
  <c r="L12" i="10"/>
  <c r="D26" i="11" s="1"/>
  <c r="D12" i="10"/>
  <c r="F12" i="10" s="1"/>
  <c r="N17" i="10"/>
  <c r="M17" i="10"/>
  <c r="E17" i="10"/>
  <c r="D7" i="10"/>
  <c r="L7" i="10"/>
  <c r="D21" i="11" s="1"/>
  <c r="M12" i="10"/>
  <c r="N12" i="10"/>
  <c r="E12" i="10"/>
  <c r="D19" i="10"/>
  <c r="L19" i="10"/>
  <c r="D33" i="11" s="1"/>
  <c r="E7" i="10"/>
  <c r="M7" i="10"/>
  <c r="N7" i="10"/>
  <c r="L14" i="10"/>
  <c r="D28" i="11" s="1"/>
  <c r="D14" i="10"/>
  <c r="F14" i="10" s="1"/>
  <c r="E19" i="10"/>
  <c r="N19" i="10"/>
  <c r="M19" i="10"/>
  <c r="F12" i="6"/>
  <c r="J9" i="10"/>
  <c r="N14" i="10"/>
  <c r="E14" i="10"/>
  <c r="M14" i="10"/>
  <c r="N9" i="10"/>
  <c r="M9" i="10"/>
  <c r="E9" i="10"/>
  <c r="D16" i="10"/>
  <c r="F16" i="10" s="1"/>
  <c r="L16" i="10"/>
  <c r="D30" i="11" s="1"/>
  <c r="D11" i="10"/>
  <c r="L11" i="10"/>
  <c r="D25" i="11" s="1"/>
  <c r="M16" i="10"/>
  <c r="N16" i="10"/>
  <c r="E16" i="10"/>
  <c r="L6" i="10"/>
  <c r="D20" i="11" s="1"/>
  <c r="D6" i="10"/>
  <c r="N11" i="10"/>
  <c r="M11" i="10"/>
  <c r="E11" i="10"/>
  <c r="D18" i="10"/>
  <c r="F18" i="10" s="1"/>
  <c r="L18" i="10"/>
  <c r="D32" i="11" s="1"/>
  <c r="N6" i="10"/>
  <c r="E6" i="10"/>
  <c r="M6" i="10"/>
  <c r="L13" i="10"/>
  <c r="D27" i="11" s="1"/>
  <c r="D13" i="10"/>
  <c r="M18" i="10"/>
  <c r="E18" i="10"/>
  <c r="N18" i="10"/>
  <c r="D8" i="10"/>
  <c r="F8" i="10" s="1"/>
  <c r="L8" i="10"/>
  <c r="D22" i="11" s="1"/>
  <c r="M13" i="10"/>
  <c r="E13" i="10"/>
  <c r="N13" i="10"/>
  <c r="M8" i="10"/>
  <c r="N8" i="10"/>
  <c r="E8" i="10"/>
  <c r="L10" i="10"/>
  <c r="D24" i="11" s="1"/>
  <c r="D10" i="10"/>
  <c r="L15" i="10"/>
  <c r="D29" i="11" s="1"/>
  <c r="E15" i="10"/>
  <c r="M15" i="10"/>
  <c r="N15" i="10"/>
  <c r="G9" i="6"/>
  <c r="D7" i="6"/>
  <c r="J4" i="10" s="1"/>
  <c r="D4" i="10" s="1"/>
  <c r="G13" i="6"/>
  <c r="D5" i="7"/>
  <c r="O3" i="10" s="1"/>
  <c r="I7" i="7"/>
  <c r="F6" i="2" s="1"/>
  <c r="G8" i="7"/>
  <c r="G14" i="7"/>
  <c r="G20" i="7"/>
  <c r="G16" i="7"/>
  <c r="G19" i="7"/>
  <c r="G12" i="7"/>
  <c r="G18" i="7"/>
  <c r="F8" i="7"/>
  <c r="G11" i="7"/>
  <c r="F14" i="7"/>
  <c r="G17" i="7"/>
  <c r="F20" i="7"/>
  <c r="G10" i="7"/>
  <c r="G13" i="7"/>
  <c r="G9" i="7"/>
  <c r="F9" i="7"/>
  <c r="G15" i="7"/>
  <c r="G21" i="7"/>
  <c r="F15" i="7"/>
  <c r="F21" i="7"/>
  <c r="F10" i="7"/>
  <c r="F16" i="7"/>
  <c r="F11" i="7"/>
  <c r="F17" i="7"/>
  <c r="F12" i="7"/>
  <c r="G4" i="2" s="1"/>
  <c r="F18" i="7"/>
  <c r="H4" i="2" s="1"/>
  <c r="F13" i="7"/>
  <c r="F19" i="7"/>
  <c r="I8" i="6"/>
  <c r="G17" i="6"/>
  <c r="G19" i="6"/>
  <c r="G14" i="6"/>
  <c r="G16" i="6"/>
  <c r="D6" i="6"/>
  <c r="J3" i="10" s="1"/>
  <c r="D3" i="10" s="1"/>
  <c r="G11" i="6"/>
  <c r="F18" i="6"/>
  <c r="G18" i="6"/>
  <c r="G21" i="6"/>
  <c r="G20" i="6"/>
  <c r="G15" i="6"/>
  <c r="G10" i="6"/>
  <c r="G22" i="6"/>
  <c r="G12" i="6"/>
  <c r="F9" i="6"/>
  <c r="F16" i="6"/>
  <c r="F15" i="6"/>
  <c r="F11" i="6"/>
  <c r="F13" i="6"/>
  <c r="G4" i="1" s="1"/>
  <c r="F20" i="6"/>
  <c r="H4" i="1" s="1"/>
  <c r="F10" i="6"/>
  <c r="F22" i="6"/>
  <c r="F17" i="6"/>
  <c r="F19" i="6"/>
  <c r="F14" i="6"/>
  <c r="F21" i="6"/>
  <c r="P11" i="1"/>
  <c r="M6" i="1"/>
  <c r="P7" i="1"/>
  <c r="P8" i="1"/>
  <c r="P9" i="1"/>
  <c r="P10" i="1"/>
  <c r="P6" i="1"/>
  <c r="H11" i="10" l="1"/>
  <c r="F6" i="10"/>
  <c r="F10" i="10"/>
  <c r="F44" i="11"/>
  <c r="H44" i="11"/>
  <c r="I44" i="11" s="1"/>
  <c r="F50" i="11"/>
  <c r="H50" i="11"/>
  <c r="I50" i="11" s="1"/>
  <c r="F45" i="11"/>
  <c r="H45" i="11"/>
  <c r="I45" i="11" s="1"/>
  <c r="H37" i="11"/>
  <c r="F37" i="11"/>
  <c r="H47" i="11"/>
  <c r="F47" i="11"/>
  <c r="I47" i="11" s="1"/>
  <c r="H41" i="11"/>
  <c r="F41" i="11"/>
  <c r="F38" i="11"/>
  <c r="H38" i="11"/>
  <c r="I38" i="11" s="1"/>
  <c r="I42" i="11"/>
  <c r="F19" i="10"/>
  <c r="I39" i="11"/>
  <c r="H40" i="11"/>
  <c r="F40" i="11"/>
  <c r="H43" i="11"/>
  <c r="F43" i="11"/>
  <c r="I43" i="11" s="1"/>
  <c r="H49" i="11"/>
  <c r="F49" i="11"/>
  <c r="F13" i="10"/>
  <c r="O5" i="10"/>
  <c r="D7" i="7"/>
  <c r="F4" i="2" s="1"/>
  <c r="H46" i="11"/>
  <c r="F46" i="11"/>
  <c r="G17" i="10"/>
  <c r="H17" i="10"/>
  <c r="F22" i="11"/>
  <c r="D5" i="11"/>
  <c r="H22" i="11"/>
  <c r="I22" i="11" s="1"/>
  <c r="H28" i="11"/>
  <c r="D11" i="11"/>
  <c r="F28" i="11"/>
  <c r="H15" i="10"/>
  <c r="G15" i="10"/>
  <c r="F29" i="11"/>
  <c r="D12" i="11"/>
  <c r="H29" i="11"/>
  <c r="I29" i="11" s="1"/>
  <c r="H18" i="10"/>
  <c r="G18" i="10"/>
  <c r="G7" i="10"/>
  <c r="H7" i="10"/>
  <c r="H26" i="11"/>
  <c r="F26" i="11"/>
  <c r="D9" i="11"/>
  <c r="H24" i="11"/>
  <c r="D7" i="11"/>
  <c r="F24" i="11"/>
  <c r="H20" i="11"/>
  <c r="F20" i="11"/>
  <c r="D3" i="11"/>
  <c r="G14" i="10"/>
  <c r="H14" i="10"/>
  <c r="H33" i="11"/>
  <c r="F33" i="11"/>
  <c r="D16" i="11"/>
  <c r="F15" i="10"/>
  <c r="G16" i="10"/>
  <c r="H16" i="10"/>
  <c r="H8" i="10"/>
  <c r="G8" i="10"/>
  <c r="D10" i="11"/>
  <c r="H27" i="11"/>
  <c r="F27" i="11"/>
  <c r="L9" i="10"/>
  <c r="D23" i="11" s="1"/>
  <c r="D9" i="10"/>
  <c r="F9" i="10" s="1"/>
  <c r="G12" i="10"/>
  <c r="H12" i="10"/>
  <c r="F17" i="10"/>
  <c r="H31" i="11"/>
  <c r="F31" i="11"/>
  <c r="D14" i="11"/>
  <c r="H6" i="10"/>
  <c r="G6" i="10"/>
  <c r="H25" i="11"/>
  <c r="F25" i="11"/>
  <c r="D8" i="11"/>
  <c r="G10" i="10"/>
  <c r="H10" i="10"/>
  <c r="J5" i="10"/>
  <c r="G11" i="10"/>
  <c r="F11" i="10"/>
  <c r="H21" i="11"/>
  <c r="I21" i="11" s="1"/>
  <c r="F21" i="11"/>
  <c r="D4" i="11"/>
  <c r="F4" i="11" s="1"/>
  <c r="I4" i="11" s="1"/>
  <c r="G13" i="10"/>
  <c r="H13" i="10"/>
  <c r="H32" i="11"/>
  <c r="D15" i="11"/>
  <c r="F32" i="11"/>
  <c r="H30" i="11"/>
  <c r="D13" i="11"/>
  <c r="F30" i="11"/>
  <c r="I30" i="11" s="1"/>
  <c r="H19" i="10"/>
  <c r="G19" i="10"/>
  <c r="F7" i="10"/>
  <c r="U8" i="6"/>
  <c r="D8" i="6"/>
  <c r="F4" i="1" s="1"/>
  <c r="M4" i="1"/>
  <c r="F51" i="11" l="1"/>
  <c r="I49" i="11"/>
  <c r="I41" i="11"/>
  <c r="H51" i="11"/>
  <c r="I51" i="11" s="1"/>
  <c r="I37" i="11"/>
  <c r="I40" i="11"/>
  <c r="I46" i="11"/>
  <c r="H7" i="11"/>
  <c r="F7" i="11"/>
  <c r="I31" i="11"/>
  <c r="F9" i="11"/>
  <c r="H9" i="11"/>
  <c r="I9" i="11" s="1"/>
  <c r="H13" i="11"/>
  <c r="F13" i="11"/>
  <c r="F16" i="11"/>
  <c r="H16" i="11"/>
  <c r="I16" i="11" s="1"/>
  <c r="H11" i="11"/>
  <c r="F11" i="11"/>
  <c r="I26" i="11"/>
  <c r="I28" i="11"/>
  <c r="I33" i="11"/>
  <c r="G9" i="10"/>
  <c r="H15" i="11"/>
  <c r="F15" i="11"/>
  <c r="H8" i="11"/>
  <c r="F8" i="11"/>
  <c r="D6" i="11"/>
  <c r="H23" i="11"/>
  <c r="F23" i="11"/>
  <c r="F34" i="11" s="1"/>
  <c r="H9" i="10"/>
  <c r="D5" i="10" s="1"/>
  <c r="I32" i="11"/>
  <c r="I25" i="11"/>
  <c r="I27" i="11"/>
  <c r="F3" i="11"/>
  <c r="H3" i="11"/>
  <c r="F5" i="11"/>
  <c r="H5" i="11"/>
  <c r="F10" i="11"/>
  <c r="H10" i="11"/>
  <c r="I20" i="11"/>
  <c r="H34" i="11"/>
  <c r="F12" i="11"/>
  <c r="H12" i="11"/>
  <c r="H14" i="11"/>
  <c r="F14" i="11"/>
  <c r="I14" i="11" s="1"/>
  <c r="I24" i="11"/>
  <c r="Q8" i="6"/>
  <c r="M8" i="6"/>
  <c r="Y8" i="6"/>
  <c r="F11" i="1" s="1" a="1"/>
  <c r="F11" i="1" s="1"/>
  <c r="M7" i="7"/>
  <c r="F7" i="2" s="1"/>
  <c r="Q7" i="7"/>
  <c r="F8" i="2" s="1"/>
  <c r="I10" i="11" l="1"/>
  <c r="I5" i="11"/>
  <c r="I34" i="11"/>
  <c r="I11" i="11"/>
  <c r="I23" i="11"/>
  <c r="F6" i="11"/>
  <c r="H6" i="11"/>
  <c r="I6" i="11" s="1"/>
  <c r="I8" i="11"/>
  <c r="I13" i="11"/>
  <c r="I3" i="11"/>
  <c r="H17" i="11"/>
  <c r="I15" i="11"/>
  <c r="F17" i="11"/>
  <c r="I12" i="11"/>
  <c r="I7" i="11"/>
  <c r="I17" i="11"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<sst xmlns="http://schemas.openxmlformats.org/spreadsheetml/2006/main" count="734" uniqueCount="174">
  <si>
    <t>Город</t>
  </si>
  <si>
    <t>№ Этапа</t>
  </si>
  <si>
    <t>Название</t>
  </si>
  <si>
    <t>% готовности СМР</t>
  </si>
  <si>
    <t xml:space="preserve">Запущено движение </t>
  </si>
  <si>
    <t>3</t>
  </si>
  <si>
    <t>4</t>
  </si>
  <si>
    <t>2</t>
  </si>
  <si>
    <t>8</t>
  </si>
  <si>
    <t>7</t>
  </si>
  <si>
    <t>Да</t>
  </si>
  <si>
    <t>Этап 3. Реконструкция трамвайных путей, контактной сети, инженерных сетей и сооружений (уч. Электроагрегатный завод - АПЗ-20)</t>
  </si>
  <si>
    <t>Этап 4. Реконструкция трамвайных путей, контактной сети, инженерных сетей и сооружений (уч. Электроагрегатный завод - АПЗ-20)</t>
  </si>
  <si>
    <t>Этап 2. Реконструкция трамвайных путей, контактной сети, инженерных сетей и сооружений (Трамвайные пути по вокзальному кольцу)</t>
  </si>
  <si>
    <t>Этап 8. Реконструкция трамвайных путей, контактной сети, инженерных сетей и сооружений (ул. Агрегатная - ул. Октябрьская)</t>
  </si>
  <si>
    <t>Этап 7. Реконструкция трамвайных путей, контактной сети, инженерных сетей и сооружений (ул. Маяковского, ул. Карла-Маркса)</t>
  </si>
  <si>
    <t>Получено положительное заключение 
№ 46-1-1-3-079195-2023 от 20.11.2023</t>
  </si>
  <si>
    <t>Получено положительное заключение 
№ 46-1-1-3-069059-2023 от 15.11.2023</t>
  </si>
  <si>
    <t>Получено положительное заключение 
№ 46-1-1-3-068353-2023 от 13.11.2023</t>
  </si>
  <si>
    <t>Получено положительное заключение 
№ 46-1-1-3-077205-2023 от 14.12.2023</t>
  </si>
  <si>
    <t>Получено положительное заключение
№ 46-1-1-3-073551-2023 от 01.12.2023</t>
  </si>
  <si>
    <t>По проектированию</t>
  </si>
  <si>
    <t>По реализации</t>
  </si>
  <si>
    <t>-</t>
  </si>
  <si>
    <t>1</t>
  </si>
  <si>
    <t>Этап 1. Реконструкция трамвайных путей, контактной сети, инженерных сетей и сооружений (ул. Сумская)</t>
  </si>
  <si>
    <t xml:space="preserve">Нет  положительного заключения </t>
  </si>
  <si>
    <t>ИТОГО КУРСК:</t>
  </si>
  <si>
    <t>ИТОГО ПЕРМЬ:</t>
  </si>
  <si>
    <t>1.1.1.2</t>
  </si>
  <si>
    <t>1.1.2</t>
  </si>
  <si>
    <t>1.2.1</t>
  </si>
  <si>
    <t>1.2.2</t>
  </si>
  <si>
    <t>1.3.2</t>
  </si>
  <si>
    <t>Этап 1.1.1.2 Реконструкция трамвайных путей, контактной сети, инженерных сетей и сооружений" (ул. Куйбышева)</t>
  </si>
  <si>
    <t>Этап 1.1.2 Реконструкция трамвайных путей, контактной сети, инженерных сетей и сооружений" (ул. Дзержинского)</t>
  </si>
  <si>
    <t>Этап 1.2.1 Реконструкция трамвайных путей, контактной сети, инженерных сетей и сооружений" (ул. Мира)</t>
  </si>
  <si>
    <t>Этап 1.2.2 Реконструкция трамвайных путей, контактной сети, инженерных сетей и сооружений" (ул. Борчанинова)</t>
  </si>
  <si>
    <t>Получено положительное заключение 
№ 59-1-1-3-081562-2023 от 26.12.2023</t>
  </si>
  <si>
    <t>Получено положительное заключение 
№ 59-1-1-3-052681-2024 от 09.09.2024</t>
  </si>
  <si>
    <t>Получено положительное заключение 
№ 59-1-1-3-052676-2024 от 09.09.2024</t>
  </si>
  <si>
    <t>Получено отрицательное заключение 
№ 59-1-2-3-053003-2024 от 10.09.2024</t>
  </si>
  <si>
    <t>Этап 2.3 Реконструкция тяговой подстанции №10, ул. Борчанинова, 65</t>
  </si>
  <si>
    <t>Этап 2.2 Реконструкция трех тяговых подстанций № 4</t>
  </si>
  <si>
    <t>Этап 2.1 Реконструкция трех тяговых подстанций № 1</t>
  </si>
  <si>
    <t>2.3</t>
  </si>
  <si>
    <t>2.2</t>
  </si>
  <si>
    <t>2.1</t>
  </si>
  <si>
    <t>В составе этапов № 1-3 соответственно</t>
  </si>
  <si>
    <t>Получено положительное заключение 
№ 59-1-1-3-05692-2024 от 04.10.2024</t>
  </si>
  <si>
    <t>ИТОГО ЛИПЕЦК:</t>
  </si>
  <si>
    <t>ЛИПЕЦК</t>
  </si>
  <si>
    <t>ПЕРМЬ</t>
  </si>
  <si>
    <t>КУРСК</t>
  </si>
  <si>
    <t>% подписано КС</t>
  </si>
  <si>
    <t>1.1.3</t>
  </si>
  <si>
    <t>1.1.4</t>
  </si>
  <si>
    <t>Получено положительное заключение 
№ 48-1-1-3-066927-2023 от 05.11.2023</t>
  </si>
  <si>
    <t>Получено положительное заключение 
№ 48-1-1-3-062269-2023 от 16.10.2023</t>
  </si>
  <si>
    <t>Получено положительное заключение 
№ 48-1-1-3-064400-2023 от 25.10.2023</t>
  </si>
  <si>
    <t>Получено положительное заключение 
№ 48-1-1-3-081261-2023 от 26.12.2023</t>
  </si>
  <si>
    <t>Этап 1.3.2  Реконструкция трамвайных путей, контактной сети, инженерных сетей и сооружений Участок Краснозаводская ул. от узла (ул. Металлургов) до ул. 3 Сентября. Участок ул. 3 Сентября от ул. Краснозаводская до узла ул. Воронежская – ул. 3 Сентября. Узел ул. Воронежская – ул. 3 Сентября (в прямом направлении). Участок ул. 3 Сентября от узла (ул. Воронежская) до разв. Круга ул. Чехова. Разворотный круг ул. Чехова</t>
  </si>
  <si>
    <t>Этап 1.1.2 Реконструкция трамвайных путей, контактной сети, инженерных сетей и сооружений Участок просп. им. 60‐летия ССР от ул Полиграфическая до ул. Меркулова</t>
  </si>
  <si>
    <t>Этап 1.1.3 Реконструкция трамвайных путей, контактной сети, инженерных сетей и сооружений Участок Елецкого ш. от узла ул. Московская (д. 79А) до узла Елецкое ш. (3/1) ‐въезд в депо. Узлел Елецкое ш. (3/1) ‐ въезд в депо. Участок пути от узла Елецкое ш. от узла Узла Елецкое ш. (3/1) до ул. Полиграфическая. Участок ул. Полиграфическая от Елецкого ш. (3/1) до просп. им. 60‐летия СССР</t>
  </si>
  <si>
    <t>Этап 1.1.4 Реконструкция трамвайных путей, контактной сети, инженерных сетей и сооружений Участок ул. Генерала Меркулова от просп. им 60‐летия СССР до ул. Катукова. Участок ул. Катукова от ул. Генерала Меркулова до разворотного круга ул. Катукова (21‐й микрорайон). Разворотный круг ул. Катукова (21‐й микрорайон).</t>
  </si>
  <si>
    <t>1.2</t>
  </si>
  <si>
    <t>1.3.3</t>
  </si>
  <si>
    <t>1.1.1</t>
  </si>
  <si>
    <t>Этап 1.1.1 Реконструкция трамвайных путей, контактной сети, инженерных сетей и сооружений. Разворотное кольцо ул. 8 Марта (Центральный рынок). Участок ул. Терешковой от раз. круга 8 Марта до ул. Циолковского (вкл. Кривой участок) Участок ул. Циолковского от ул. Терешковой до ул. Московской. Участок ул. Московская от ул. Циолковского до пл. Николая Великолепова (до S‐образной кривой). S – образная кривая пл. Николая Великолепова. Узел ул. Московская (д. 79А). Разворотный круг 9 – го Микрорайона.)</t>
  </si>
  <si>
    <t>Этап 1.3.3 Реконструкция трамвайных путей, контактной сети, инженерных сетей и сооружений Участок ул. Метталургов от узла ул. Металлургов‐Краснозаводская ул. до ул. 9 Мая. Участок ул. 9 Мая от ул. Металлургов до разв. Круга (ул. 9 Мая). Разворотный круг (ул. 9 Мая).</t>
  </si>
  <si>
    <t>Этап 1.2 Реконструкция трамвайных путей, контактной сети, инженерных сетей и сооружений Участок пути от разв. круга ул. Катукова – Площадь танкистов до ул. Индустриальная. Участок пути от ул. Индустриальная до Октябрьского моста. Октябрьский мост. Участок пути от Октябрьского моста до узла ул. Металлургов, Узел ул. Металлургов – Краснозаводская ул.</t>
  </si>
  <si>
    <t>ИТОГО ЯРОСЛАВЛЬ:</t>
  </si>
  <si>
    <t>ЯРОСЛАВЛЬ</t>
  </si>
  <si>
    <t>В составе этапа № 1</t>
  </si>
  <si>
    <t>6</t>
  </si>
  <si>
    <t>Получено положительное заключение 
№ 76-1-1-3-062002-2023 от 13.10.2023</t>
  </si>
  <si>
    <t>Получено положительное заключение 09.09.2024</t>
  </si>
  <si>
    <t>Этап 7: «Строительство системы электроснабжения северного участка трамвайного пути, от разворотного круга «Больница №9» (29-я линия) - путепровод №2 в районе ул. Выставочная – разворотный круг ул. Блюхера»</t>
  </si>
  <si>
    <t>Этап 8: «Строительство системы электроснабжения южного участка трамвайного пути, путепровод №2 в районе ул. Выставочная – разворотный круг ул. Победы – разворотный круг на ул. Чкалова»</t>
  </si>
  <si>
    <t>1 этап: «Строительство трамвайных путей и контактной сети. Участок от Ленинградского проспекта до круга ул. Блюхера».
Корректировка</t>
  </si>
  <si>
    <t>6 этап: «Строительство трамвайного диспетчерского центра».</t>
  </si>
  <si>
    <t>2 этап: «Строительство трамвайных путей и контактной сети. Участок от разворотного круга ул. Александра Невского до разворотного круга «Больница № 9» (29-я линия)».</t>
  </si>
  <si>
    <t>Получено положительное заключение 
№76-1-1-3-061893-2024 от 21.10.2024</t>
  </si>
  <si>
    <t>Получено положительное заключение 
№76-1-1-3-061910-2024 от 21.10.2024</t>
  </si>
  <si>
    <t>нет</t>
  </si>
  <si>
    <t>Кол-во Кмоп</t>
  </si>
  <si>
    <t>% выпол. Всего</t>
  </si>
  <si>
    <t>% выпол. РШР</t>
  </si>
  <si>
    <t>% выпол. КС</t>
  </si>
  <si>
    <t>НЕТ</t>
  </si>
  <si>
    <t>Подписано КС тыс.руб (с НДС) 11.11.24г.</t>
  </si>
  <si>
    <t>Подписано ИД тыс.руб (с НДС)</t>
  </si>
  <si>
    <t>Разница между ИД и КС           тыс.руб (с НДС)</t>
  </si>
  <si>
    <t>5 из 6</t>
  </si>
  <si>
    <t>6 из 7</t>
  </si>
  <si>
    <t>Получено положительное заключение 
№ 59-1-1-3-05692-2024 от 04.10.2025</t>
  </si>
  <si>
    <t>Получено положительное заключение 
№ 59-1-1-3-05692-2024 от 04.10.2026</t>
  </si>
  <si>
    <t>4 из 7</t>
  </si>
  <si>
    <t>5 из 5</t>
  </si>
  <si>
    <t>ПСД статус (Получено положительное заключение)</t>
  </si>
  <si>
    <t>* На 1,2 млрд КС на проверке у заказчика (тех. Зак. КС подписаны)</t>
  </si>
  <si>
    <t>Получено положительное заключение</t>
  </si>
  <si>
    <t>В строительстве</t>
  </si>
  <si>
    <t>Стоимость строительства, ООО "Стройсервис", тыс.руб (с НДС)            Факт</t>
  </si>
  <si>
    <t>Прогнозная стоимость (по ССР на этапе загрузки В ГГЭ), тыс.руб (с НДС)</t>
  </si>
  <si>
    <t>Стоимость строительства, ООО "Стройсервис", тыс.руб (с НДС)            (Получено положительное заключение)</t>
  </si>
  <si>
    <t>Нет</t>
  </si>
  <si>
    <t>№</t>
  </si>
  <si>
    <t>Нименование работ</t>
  </si>
  <si>
    <t>ед. изм</t>
  </si>
  <si>
    <t>Всего</t>
  </si>
  <si>
    <t>Этап №1</t>
  </si>
  <si>
    <t>Этап №2</t>
  </si>
  <si>
    <t>Этап №3</t>
  </si>
  <si>
    <t>Этап №4</t>
  </si>
  <si>
    <t>Этап №5</t>
  </si>
  <si>
    <t>% выпол.</t>
  </si>
  <si>
    <t>Стоимость этапа</t>
  </si>
  <si>
    <t>тыс.руб с НДС</t>
  </si>
  <si>
    <t>Демонтаж ВСП, кмоп</t>
  </si>
  <si>
    <t>кмоп</t>
  </si>
  <si>
    <t>Выемка грунта, кмоп</t>
  </si>
  <si>
    <t>Основание из песка, кмоп</t>
  </si>
  <si>
    <t>Основание из щебня, кмоп</t>
  </si>
  <si>
    <t>Монтаж РШР, кмоп</t>
  </si>
  <si>
    <t>Выправка, кмоп</t>
  </si>
  <si>
    <t>Установка бортовых камней,
м.п. (шт)</t>
  </si>
  <si>
    <t>шт</t>
  </si>
  <si>
    <t>Укладка плит, шт.</t>
  </si>
  <si>
    <t>Укладка асфальта, м2</t>
  </si>
  <si>
    <t>м2</t>
  </si>
  <si>
    <t>Устройство монолитных
фундаментов под опоры КС,
шт</t>
  </si>
  <si>
    <t>Монтаж опор КС</t>
  </si>
  <si>
    <t>Навеска провода КС</t>
  </si>
  <si>
    <t>км</t>
  </si>
  <si>
    <t>Технологическое
присоединение к
остановочным павильонам</t>
  </si>
  <si>
    <t>Монтаж остановочных
павильонов</t>
  </si>
  <si>
    <t>Факт выпол.</t>
  </si>
  <si>
    <t>КС-2</t>
  </si>
  <si>
    <t>факт вес</t>
  </si>
  <si>
    <t>вес</t>
  </si>
  <si>
    <t>Факт вес</t>
  </si>
  <si>
    <t>Положительное заключение ГЭ</t>
  </si>
  <si>
    <t>Получено отрицательное заключение 
№ 59-1-2-3-053003-2024 от 10.09.2024 (Нвый срок фев 2025)</t>
  </si>
  <si>
    <t>Необходимо прохождения повторной ГЭ для подтверждения объемов (срок не определен)</t>
  </si>
  <si>
    <t xml:space="preserve">Нет  положительного заключения ГЭ (фев. 2025г) </t>
  </si>
  <si>
    <t>Выпол всего в %</t>
  </si>
  <si>
    <t>Выпол всего %</t>
  </si>
  <si>
    <t>Курск</t>
  </si>
  <si>
    <t>Пермь</t>
  </si>
  <si>
    <t>Липецк</t>
  </si>
  <si>
    <t>Ярославль</t>
  </si>
  <si>
    <t xml:space="preserve">Остаток </t>
  </si>
  <si>
    <t>№ п/п</t>
  </si>
  <si>
    <t>Наименование работ</t>
  </si>
  <si>
    <t>Ед.
изм.</t>
  </si>
  <si>
    <t>Кол-во</t>
  </si>
  <si>
    <t>Стоимость работ за ед. изм., руб., вкл. НДС</t>
  </si>
  <si>
    <t xml:space="preserve">Итого стоимость работ, руб., вкл.НДС </t>
  </si>
  <si>
    <t>Стоимость  материалов за ед. изм., руб., вкл. НДС</t>
  </si>
  <si>
    <t>Итого стоимость  материалов за ед. изм., руб., вкл. НДС</t>
  </si>
  <si>
    <t>Всего руб., вкл НДС</t>
  </si>
  <si>
    <t>Укладка плит</t>
  </si>
  <si>
    <t>Укладка асфальта</t>
  </si>
  <si>
    <t>Устройство монолитных
фундаментов под опоры КС</t>
  </si>
  <si>
    <t>Установка бортовых камней,
м.п</t>
  </si>
  <si>
    <t>Выправка</t>
  </si>
  <si>
    <t>Монтаж РШР</t>
  </si>
  <si>
    <t>Основание из щебня</t>
  </si>
  <si>
    <t>Основание из песка</t>
  </si>
  <si>
    <t>Выемка грунта</t>
  </si>
  <si>
    <t>Демонтаж ВСП</t>
  </si>
  <si>
    <t>Итого</t>
  </si>
  <si>
    <t>яч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</si>
</sst>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_₽"/>
    <numFmt numFmtId="166" formatCode="#,##0.0\ _₽"/>
    <numFmt numFmtId="169" formatCode="[$-419]mmmm\ yyyy;@"/>
    <numFmt numFmtId="173" formatCode="_-* #,##0.00_-;\-* #,##0.00_-;_-* &quot;-&quot;??_-;_-@_-"/>
  </numFmts>
  <fonts count="2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Arial Narrow"/>
      <family val="2"/>
      <charset val="204"/>
    </font>
    <font>
      <sz val="14"/>
      <color theme="1"/>
      <name val="Arial Narrow"/>
      <family val="2"/>
      <charset val="204"/>
    </font>
    <font>
      <sz val="12"/>
      <color theme="1"/>
      <name val="Arial Narrow"/>
      <family val="2"/>
      <charset val="204"/>
    </font>
    <font>
      <sz val="14"/>
      <name val="Arial Narrow"/>
      <family val="2"/>
      <charset val="204"/>
    </font>
    <font>
      <sz val="18"/>
      <color theme="1"/>
      <name val="Arial Narrow"/>
      <family val="2"/>
      <charset val="204"/>
    </font>
    <font>
      <sz val="8"/>
      <name val="Calibri"/>
      <family val="2"/>
      <scheme val="minor"/>
    </font>
    <font>
      <sz val="12"/>
      <name val="Times New Roman"/>
      <family val="1"/>
      <charset val="204"/>
    </font>
    <font>
      <sz val="11"/>
      <name val="Times New Roman"/>
      <family val="1"/>
      <charset val="204"/>
    </font>
    <font>
      <sz val="14"/>
      <color rgb="FFFF0000"/>
      <name val="Arial Narrow"/>
      <family val="2"/>
      <charset val="204"/>
    </font>
    <font>
      <sz val="12"/>
      <color theme="1"/>
      <name val="Calibri"/>
      <family val="2"/>
      <charset val="204"/>
      <scheme val="minor"/>
    </font>
    <font>
      <b/>
      <sz val="11"/>
      <color theme="1"/>
      <name val="Arial Narrow"/>
      <family val="2"/>
      <charset val="204"/>
    </font>
    <font>
      <b/>
      <sz val="11"/>
      <color theme="3"/>
      <name val="Times New Roman"/>
      <family val="1"/>
      <charset val="204"/>
    </font>
    <font>
      <b/>
      <sz val="12"/>
      <color rgb="FFFF0000"/>
      <name val="Arial Narrow"/>
      <family val="2"/>
      <charset val="204"/>
    </font>
    <font>
      <b/>
      <sz val="14"/>
      <color rgb="FFFF0000"/>
      <name val="Arial Narrow"/>
      <family val="2"/>
      <charset val="204"/>
    </font>
    <font>
      <b/>
      <sz val="12"/>
      <color theme="1"/>
      <name val="Arial Narrow"/>
      <family val="2"/>
      <charset val="204"/>
    </font>
    <font>
      <b/>
      <sz val="14"/>
      <color theme="1"/>
      <name val="Arial Narrow"/>
      <family val="2"/>
      <charset val="204"/>
    </font>
    <font>
      <b/>
      <sz val="16"/>
      <color theme="1"/>
      <name val="Arial Narrow"/>
      <family val="2"/>
      <charset val="204"/>
    </font>
    <font>
      <b/>
      <sz val="16"/>
      <color theme="3"/>
      <name val="Times New Roman"/>
      <family val="1"/>
      <charset val="204"/>
    </font>
    <font>
      <sz val="10"/>
      <name val="Times New Roman"/>
      <family val="1"/>
      <charset val="204"/>
    </font>
    <font>
      <sz val="10"/>
      <name val="Arial Cyr"/>
    </font>
    <font>
      <b/>
      <sz val="10"/>
      <name val="Arial Narrow"/>
      <family val="2"/>
      <charset val="204"/>
    </font>
    <font>
      <b/>
      <sz val="12"/>
      <name val="Arial Narrow"/>
      <family val="2"/>
      <charset val="204"/>
    </font>
    <font>
      <b/>
      <sz val="20"/>
      <color theme="1"/>
      <name val="Arial Narrow"/>
      <family val="2"/>
      <charset val="204"/>
    </font>
  </fonts>
  <fills count="8">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rgb="FFFFCCCC"/>
        <bgColor indexed="64"/>
      </patternFill>
    </fill>
    <fill>
      <patternFill patternType="solid">
        <fgColor theme="4" tint="0.79998168889431442"/>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8">
    <xf numFmtId="0" fontId="0" fillId="0" borderId="0"/>
    <xf numFmtId="0" fontId="12" fillId="0" borderId="0"/>
    <xf numFmtId="0" fontId="1" fillId="0" borderId="0"/>
    <xf numFmtId="0" fontId="21" fillId="0" borderId="0">
      <alignment horizontal="right" vertical="top" wrapText="1"/>
    </xf>
    <xf numFmtId="0" fontId="21" fillId="0" borderId="1" applyFill="0" applyProtection="0">
      <alignment horizontal="center"/>
    </xf>
    <xf numFmtId="0" fontId="22" fillId="0" borderId="0"/>
    <xf numFmtId="0" fontId="21" fillId="0" borderId="0">
      <alignment horizontal="left" vertical="top"/>
    </xf>
    <xf numFmtId="173" fontId="1" fillId="0" borderId="0" applyFont="0" applyFill="0" applyBorder="0" applyAlignment="0" applyProtection="0"/>
  </cellStyleXfs>
  <cellXfs count="207">
    <xf numFmtId="0" fontId="0" fillId="0" borderId="0" xfId="0"/>
    <xf numFmtId="0" fontId="3" fillId="0" borderId="0" xfId="0" applyFont="1" applyAlignment="1">
      <alignment horizontal="center" vertical="center"/>
    </xf>
    <xf numFmtId="0" fontId="3" fillId="0" borderId="0" xfId="0" applyFont="1" applyAlignment="1">
      <alignment horizontal="center" vertical="center" wrapText="1"/>
    </xf>
    <xf numFmtId="0" fontId="5" fillId="0" borderId="0" xfId="0" applyFont="1" applyAlignment="1">
      <alignment horizontal="center" vertical="center"/>
    </xf>
    <xf numFmtId="49" fontId="4" fillId="3"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2" fontId="4" fillId="3" borderId="1" xfId="0" applyNumberFormat="1" applyFont="1" applyFill="1" applyBorder="1" applyAlignment="1">
      <alignment horizontal="center" vertical="center"/>
    </xf>
    <xf numFmtId="0" fontId="4" fillId="0" borderId="0" xfId="0" applyFont="1" applyAlignment="1">
      <alignment horizontal="center" vertical="center" wrapText="1"/>
    </xf>
    <xf numFmtId="0" fontId="4" fillId="3" borderId="1" xfId="0" applyFont="1" applyFill="1" applyBorder="1" applyAlignment="1">
      <alignment horizontal="center" vertical="center" wrapText="1"/>
    </xf>
    <xf numFmtId="164" fontId="6" fillId="3" borderId="1" xfId="0" applyNumberFormat="1" applyFont="1" applyFill="1" applyBorder="1" applyAlignment="1">
      <alignment horizontal="center" vertical="center" wrapText="1"/>
    </xf>
    <xf numFmtId="0" fontId="7" fillId="6" borderId="0" xfId="0" applyFont="1" applyFill="1" applyAlignment="1">
      <alignment horizontal="center" vertical="center"/>
    </xf>
    <xf numFmtId="0" fontId="7" fillId="6" borderId="1" xfId="0" applyFont="1" applyFill="1" applyBorder="1" applyAlignment="1">
      <alignment horizontal="right" vertical="center" wrapText="1"/>
    </xf>
    <xf numFmtId="164" fontId="7" fillId="6" borderId="3" xfId="0" applyNumberFormat="1" applyFont="1" applyFill="1" applyBorder="1" applyAlignment="1">
      <alignment horizontal="center" vertical="center" wrapText="1"/>
    </xf>
    <xf numFmtId="9" fontId="7" fillId="3" borderId="3" xfId="0" applyNumberFormat="1" applyFont="1" applyFill="1" applyBorder="1" applyAlignment="1">
      <alignment horizontal="center" vertical="center" wrapText="1"/>
    </xf>
    <xf numFmtId="9" fontId="4" fillId="0" borderId="0" xfId="0" applyNumberFormat="1" applyFont="1" applyAlignment="1">
      <alignment horizontal="center" vertical="center" wrapText="1"/>
    </xf>
    <xf numFmtId="0" fontId="2" fillId="0" borderId="0" xfId="0" applyFont="1"/>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6" borderId="1" xfId="0" applyFont="1" applyFill="1" applyBorder="1" applyAlignment="1">
      <alignment horizontal="center" vertical="center" wrapText="1"/>
    </xf>
    <xf numFmtId="9" fontId="4" fillId="3" borderId="1" xfId="0" applyNumberFormat="1" applyFont="1" applyFill="1" applyBorder="1" applyAlignment="1">
      <alignment horizontal="center" vertical="center" wrapText="1"/>
    </xf>
    <xf numFmtId="0" fontId="9" fillId="2" borderId="1" xfId="0" applyFont="1" applyFill="1" applyBorder="1" applyAlignment="1">
      <alignment horizontal="justify" vertical="center" wrapText="1"/>
    </xf>
    <xf numFmtId="0" fontId="10" fillId="2" borderId="1" xfId="0" applyFont="1" applyFill="1" applyBorder="1" applyAlignment="1">
      <alignment horizontal="center" vertical="center" wrapText="1"/>
    </xf>
    <xf numFmtId="0" fontId="9" fillId="4" borderId="1" xfId="0" applyFont="1" applyFill="1" applyBorder="1" applyAlignment="1">
      <alignment horizontal="justify" vertical="center" wrapText="1"/>
    </xf>
    <xf numFmtId="0" fontId="10" fillId="4" borderId="1" xfId="0" applyFont="1" applyFill="1" applyBorder="1" applyAlignment="1">
      <alignment horizontal="center" vertical="center" wrapText="1"/>
    </xf>
    <xf numFmtId="164" fontId="6" fillId="4" borderId="1" xfId="0" applyNumberFormat="1" applyFont="1" applyFill="1" applyBorder="1" applyAlignment="1">
      <alignment horizontal="center" vertical="center" wrapText="1"/>
    </xf>
    <xf numFmtId="0" fontId="9" fillId="5" borderId="1" xfId="0" applyFont="1" applyFill="1" applyBorder="1" applyAlignment="1">
      <alignment horizontal="justify" vertical="center" wrapText="1"/>
    </xf>
    <xf numFmtId="0" fontId="10" fillId="5" borderId="1" xfId="0" applyFont="1" applyFill="1" applyBorder="1" applyAlignment="1">
      <alignment horizontal="center" vertical="center" wrapText="1"/>
    </xf>
    <xf numFmtId="0" fontId="7" fillId="6" borderId="3" xfId="0" applyFont="1" applyFill="1" applyBorder="1" applyAlignment="1">
      <alignment horizontal="right" vertical="center"/>
    </xf>
    <xf numFmtId="2" fontId="7" fillId="6" borderId="3" xfId="0" applyNumberFormat="1" applyFont="1" applyFill="1" applyBorder="1" applyAlignment="1">
      <alignment horizontal="center" vertical="center" wrapText="1"/>
    </xf>
    <xf numFmtId="0" fontId="4" fillId="0" borderId="3" xfId="0" applyFont="1" applyBorder="1" applyAlignment="1">
      <alignment horizontal="center" vertical="center" wrapText="1"/>
    </xf>
    <xf numFmtId="164" fontId="6" fillId="2" borderId="1" xfId="0" applyNumberFormat="1" applyFont="1" applyFill="1" applyBorder="1" applyAlignment="1">
      <alignment horizontal="center" vertical="center" wrapText="1"/>
    </xf>
    <xf numFmtId="2" fontId="7" fillId="6" borderId="0" xfId="0" applyNumberFormat="1" applyFont="1" applyFill="1" applyAlignment="1">
      <alignment horizontal="center" vertical="center"/>
    </xf>
    <xf numFmtId="0" fontId="4" fillId="0" borderId="1" xfId="0" applyFont="1" applyBorder="1" applyAlignment="1">
      <alignment horizontal="center" vertical="center" wrapText="1"/>
    </xf>
    <xf numFmtId="9" fontId="4" fillId="0" borderId="3" xfId="0" applyNumberFormat="1" applyFont="1" applyBorder="1" applyAlignment="1">
      <alignment horizontal="center" vertical="center" wrapText="1"/>
    </xf>
    <xf numFmtId="9" fontId="4" fillId="0" borderId="10" xfId="0" applyNumberFormat="1" applyFont="1" applyBorder="1" applyAlignment="1">
      <alignment horizontal="center" vertical="center" wrapText="1"/>
    </xf>
    <xf numFmtId="9" fontId="4" fillId="0" borderId="2" xfId="0" applyNumberFormat="1" applyFont="1" applyBorder="1" applyAlignment="1">
      <alignment horizontal="center" vertical="center" wrapText="1"/>
    </xf>
    <xf numFmtId="164" fontId="7" fillId="6" borderId="3" xfId="0" applyNumberFormat="1" applyFont="1" applyFill="1" applyBorder="1" applyAlignment="1">
      <alignment horizontal="center" vertical="center" wrapText="1"/>
    </xf>
    <xf numFmtId="164" fontId="7" fillId="6" borderId="2" xfId="0" applyNumberFormat="1" applyFont="1" applyFill="1" applyBorder="1" applyAlignment="1">
      <alignment horizontal="center" vertical="center" wrapText="1"/>
    </xf>
    <xf numFmtId="164" fontId="6"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xf>
    <xf numFmtId="164" fontId="11" fillId="3" borderId="1" xfId="0" applyNumberFormat="1" applyFont="1" applyFill="1" applyBorder="1" applyAlignment="1">
      <alignment horizontal="center" vertical="center" wrapText="1"/>
    </xf>
    <xf numFmtId="164" fontId="6" fillId="4" borderId="3" xfId="0" applyNumberFormat="1" applyFont="1" applyFill="1" applyBorder="1" applyAlignment="1">
      <alignment horizontal="center" vertical="center" wrapText="1"/>
    </xf>
    <xf numFmtId="164" fontId="6" fillId="4" borderId="10" xfId="0" applyNumberFormat="1" applyFont="1" applyFill="1" applyBorder="1" applyAlignment="1">
      <alignment horizontal="center" vertical="center" wrapText="1"/>
    </xf>
    <xf numFmtId="164" fontId="6" fillId="4" borderId="2" xfId="0" applyNumberFormat="1"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9" fontId="4" fillId="3" borderId="3" xfId="0" applyNumberFormat="1" applyFont="1" applyFill="1" applyBorder="1" applyAlignment="1">
      <alignment horizontal="center" vertical="center" wrapText="1"/>
    </xf>
    <xf numFmtId="9" fontId="4" fillId="3" borderId="2" xfId="0" applyNumberFormat="1" applyFont="1" applyFill="1" applyBorder="1" applyAlignment="1">
      <alignment horizontal="center" vertical="center" wrapText="1"/>
    </xf>
    <xf numFmtId="0" fontId="4" fillId="0" borderId="7" xfId="0" applyFont="1" applyBorder="1" applyAlignment="1">
      <alignment horizontal="left" vertical="center" wrapText="1"/>
    </xf>
    <xf numFmtId="0" fontId="7" fillId="6" borderId="8"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7" fillId="6" borderId="3"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4" fillId="3" borderId="1" xfId="0" applyFont="1" applyFill="1" applyBorder="1" applyAlignment="1">
      <alignment horizontal="center" vertical="center" wrapText="1"/>
    </xf>
    <xf numFmtId="9" fontId="7" fillId="3" borderId="3" xfId="0" applyNumberFormat="1" applyFont="1" applyFill="1" applyBorder="1" applyAlignment="1">
      <alignment horizontal="center" vertical="center" wrapText="1"/>
    </xf>
    <xf numFmtId="9" fontId="7" fillId="3" borderId="2" xfId="0" applyNumberFormat="1" applyFont="1" applyFill="1" applyBorder="1" applyAlignment="1">
      <alignment horizontal="center" vertical="center" wrapText="1"/>
    </xf>
    <xf numFmtId="0" fontId="4" fillId="0" borderId="10" xfId="0" applyFont="1" applyBorder="1" applyAlignment="1">
      <alignment horizontal="center" vertical="center" wrapText="1"/>
    </xf>
    <xf numFmtId="9" fontId="4" fillId="3" borderId="1" xfId="0" applyNumberFormat="1"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3" fillId="0" borderId="1" xfId="1" applyFont="1" applyBorder="1" applyAlignment="1">
      <alignment horizontal="center" vertical="center"/>
    </xf>
    <xf numFmtId="0" fontId="13" fillId="2" borderId="1" xfId="1" applyFont="1" applyFill="1" applyBorder="1" applyAlignment="1">
      <alignment horizontal="center" vertical="center"/>
    </xf>
    <xf numFmtId="0" fontId="13" fillId="0" borderId="0" xfId="1" applyFont="1"/>
    <xf numFmtId="0" fontId="13" fillId="0" borderId="1" xfId="1" applyFont="1" applyBorder="1" applyAlignment="1">
      <alignment horizontal="center" vertical="center"/>
    </xf>
    <xf numFmtId="0" fontId="13" fillId="0" borderId="1" xfId="1" applyFont="1" applyBorder="1" applyAlignment="1">
      <alignment horizontal="center" vertical="center" wrapText="1"/>
    </xf>
    <xf numFmtId="0" fontId="13" fillId="0" borderId="8" xfId="1" applyFont="1" applyBorder="1" applyAlignment="1">
      <alignment horizontal="center" vertical="center"/>
    </xf>
    <xf numFmtId="0" fontId="13" fillId="0" borderId="9" xfId="1" applyFont="1" applyBorder="1" applyAlignment="1">
      <alignment horizontal="center" vertical="center"/>
    </xf>
    <xf numFmtId="0" fontId="13" fillId="0" borderId="4" xfId="1" applyFont="1" applyBorder="1" applyAlignment="1">
      <alignment horizontal="center" vertical="center"/>
    </xf>
    <xf numFmtId="0" fontId="3" fillId="0" borderId="1" xfId="1" applyFont="1" applyBorder="1"/>
    <xf numFmtId="0" fontId="3" fillId="0" borderId="1" xfId="1" applyFont="1" applyBorder="1" applyAlignment="1">
      <alignment horizontal="center" vertical="center"/>
    </xf>
    <xf numFmtId="0" fontId="3" fillId="0" borderId="0" xfId="1" applyFont="1"/>
    <xf numFmtId="0" fontId="3" fillId="0" borderId="3" xfId="1" applyFont="1" applyBorder="1"/>
    <xf numFmtId="0" fontId="3" fillId="0" borderId="3" xfId="1" applyFont="1" applyBorder="1" applyAlignment="1">
      <alignment horizontal="center" vertical="center"/>
    </xf>
    <xf numFmtId="9" fontId="14" fillId="3" borderId="1" xfId="2" applyNumberFormat="1" applyFont="1" applyFill="1" applyBorder="1" applyAlignment="1">
      <alignment horizontal="center" vertical="center"/>
    </xf>
    <xf numFmtId="0" fontId="3" fillId="0" borderId="0" xfId="1" applyFont="1" applyAlignment="1">
      <alignment horizontal="center" vertical="center"/>
    </xf>
    <xf numFmtId="0" fontId="3" fillId="0" borderId="1" xfId="1" applyFont="1" applyBorder="1" applyAlignment="1">
      <alignment horizontal="right" vertical="center"/>
    </xf>
    <xf numFmtId="0" fontId="3" fillId="0" borderId="3" xfId="1" applyFont="1" applyBorder="1" applyAlignment="1">
      <alignment horizontal="right" vertical="center"/>
    </xf>
    <xf numFmtId="0" fontId="3" fillId="0" borderId="1" xfId="1" applyFont="1" applyBorder="1" applyAlignment="1">
      <alignment horizontal="right" vertical="center" wrapText="1"/>
    </xf>
    <xf numFmtId="0" fontId="13" fillId="0" borderId="11" xfId="1" applyFont="1" applyBorder="1" applyAlignment="1">
      <alignment horizontal="center" vertical="center"/>
    </xf>
    <xf numFmtId="0" fontId="13" fillId="0" borderId="12" xfId="1" applyFont="1" applyBorder="1" applyAlignment="1">
      <alignment horizontal="center" vertical="center"/>
    </xf>
    <xf numFmtId="0" fontId="13" fillId="0" borderId="13" xfId="1" applyFont="1" applyBorder="1" applyAlignment="1">
      <alignment horizontal="center" vertical="center"/>
    </xf>
    <xf numFmtId="0" fontId="13" fillId="4" borderId="1" xfId="1" applyFont="1" applyFill="1" applyBorder="1" applyAlignment="1">
      <alignment horizontal="center" vertical="center"/>
    </xf>
    <xf numFmtId="0" fontId="13" fillId="0" borderId="1" xfId="1" applyFont="1" applyBorder="1" applyAlignment="1">
      <alignment horizontal="center" vertical="center" wrapText="1"/>
    </xf>
    <xf numFmtId="0" fontId="13" fillId="0" borderId="3" xfId="1" applyFont="1" applyBorder="1" applyAlignment="1">
      <alignment horizontal="center" vertical="center" wrapText="1"/>
    </xf>
    <xf numFmtId="0" fontId="13" fillId="0" borderId="2" xfId="1" applyFont="1" applyBorder="1" applyAlignment="1">
      <alignment horizontal="center" vertical="center" wrapText="1"/>
    </xf>
    <xf numFmtId="0" fontId="13" fillId="2" borderId="1" xfId="1" applyFont="1" applyFill="1" applyBorder="1" applyAlignment="1">
      <alignment horizontal="center" vertical="center"/>
    </xf>
    <xf numFmtId="0" fontId="13" fillId="0" borderId="10" xfId="1" applyFont="1" applyBorder="1" applyAlignment="1">
      <alignment horizontal="center" vertical="center" wrapText="1"/>
    </xf>
    <xf numFmtId="0" fontId="13" fillId="4" borderId="1" xfId="1" applyFont="1" applyFill="1" applyBorder="1" applyAlignment="1">
      <alignment horizontal="center" vertical="center"/>
    </xf>
    <xf numFmtId="0" fontId="13" fillId="4" borderId="1" xfId="1" applyFont="1" applyFill="1" applyBorder="1" applyAlignment="1">
      <alignment vertical="center"/>
    </xf>
    <xf numFmtId="0" fontId="13" fillId="4" borderId="11" xfId="1" applyFont="1" applyFill="1" applyBorder="1" applyAlignment="1">
      <alignment horizontal="center" vertical="center"/>
    </xf>
    <xf numFmtId="0" fontId="13" fillId="4" borderId="12" xfId="1" applyFont="1" applyFill="1" applyBorder="1" applyAlignment="1">
      <alignment horizontal="center" vertical="center"/>
    </xf>
    <xf numFmtId="0" fontId="13" fillId="4" borderId="13" xfId="1" applyFont="1" applyFill="1" applyBorder="1" applyAlignment="1">
      <alignment horizontal="center" vertical="center"/>
    </xf>
    <xf numFmtId="0" fontId="13" fillId="0" borderId="4" xfId="1" applyFont="1" applyBorder="1" applyAlignment="1">
      <alignment horizontal="center" vertical="center" wrapText="1"/>
    </xf>
    <xf numFmtId="0" fontId="13" fillId="0" borderId="15" xfId="1" applyFont="1" applyBorder="1" applyAlignment="1">
      <alignment horizontal="center" vertical="center" wrapText="1"/>
    </xf>
    <xf numFmtId="0" fontId="13" fillId="0" borderId="6" xfId="1" applyFont="1" applyBorder="1" applyAlignment="1">
      <alignment horizontal="center" vertical="center" wrapText="1"/>
    </xf>
    <xf numFmtId="0" fontId="13" fillId="0" borderId="3" xfId="1" applyFont="1" applyBorder="1" applyAlignment="1">
      <alignment horizontal="center" vertical="center" wrapText="1"/>
    </xf>
    <xf numFmtId="0" fontId="13" fillId="0" borderId="9" xfId="1" applyFont="1" applyBorder="1" applyAlignment="1">
      <alignment horizontal="center" vertical="center" wrapText="1"/>
    </xf>
    <xf numFmtId="0" fontId="13" fillId="2" borderId="11" xfId="1" applyFont="1" applyFill="1" applyBorder="1" applyAlignment="1">
      <alignment horizontal="center" vertical="center" wrapText="1"/>
    </xf>
    <xf numFmtId="0" fontId="13" fillId="2" borderId="12" xfId="1" applyFont="1" applyFill="1" applyBorder="1" applyAlignment="1">
      <alignment horizontal="center" vertical="center" wrapText="1"/>
    </xf>
    <xf numFmtId="0" fontId="13" fillId="2" borderId="13" xfId="1" applyFont="1" applyFill="1" applyBorder="1" applyAlignment="1">
      <alignment horizontal="center" vertical="center" wrapText="1"/>
    </xf>
    <xf numFmtId="0" fontId="13" fillId="5" borderId="11" xfId="1" applyFont="1" applyFill="1" applyBorder="1" applyAlignment="1">
      <alignment horizontal="center" vertical="center" wrapText="1"/>
    </xf>
    <xf numFmtId="0" fontId="13" fillId="5" borderId="12" xfId="1" applyFont="1" applyFill="1" applyBorder="1" applyAlignment="1">
      <alignment horizontal="center" vertical="center" wrapText="1"/>
    </xf>
    <xf numFmtId="0" fontId="13" fillId="5" borderId="13" xfId="1" applyFont="1" applyFill="1" applyBorder="1" applyAlignment="1">
      <alignment horizontal="center" vertical="center" wrapText="1"/>
    </xf>
    <xf numFmtId="0" fontId="13" fillId="5" borderId="8" xfId="1" applyFont="1" applyFill="1" applyBorder="1" applyAlignment="1">
      <alignment horizontal="center" vertical="center" wrapText="1"/>
    </xf>
    <xf numFmtId="0" fontId="13" fillId="5" borderId="9" xfId="1" applyFont="1" applyFill="1" applyBorder="1" applyAlignment="1">
      <alignment horizontal="center" vertical="center" wrapText="1"/>
    </xf>
    <xf numFmtId="0" fontId="13" fillId="5" borderId="4" xfId="1" applyFont="1" applyFill="1" applyBorder="1" applyAlignment="1">
      <alignment horizontal="center" vertical="center" wrapText="1"/>
    </xf>
    <xf numFmtId="0" fontId="13" fillId="5" borderId="5" xfId="1" applyFont="1" applyFill="1" applyBorder="1" applyAlignment="1">
      <alignment horizontal="center" vertical="center" wrapText="1"/>
    </xf>
    <xf numFmtId="0" fontId="13" fillId="5" borderId="7" xfId="1" applyFont="1" applyFill="1" applyBorder="1" applyAlignment="1">
      <alignment horizontal="center" vertical="center" wrapText="1"/>
    </xf>
    <xf numFmtId="0" fontId="13" fillId="5" borderId="6" xfId="1" applyFont="1" applyFill="1" applyBorder="1" applyAlignment="1">
      <alignment horizontal="center" vertical="center" wrapText="1"/>
    </xf>
    <xf numFmtId="0" fontId="13" fillId="2" borderId="8" xfId="1" applyFont="1" applyFill="1" applyBorder="1" applyAlignment="1">
      <alignment horizontal="center" vertical="center" wrapText="1"/>
    </xf>
    <xf numFmtId="0" fontId="13" fillId="0" borderId="3" xfId="1" applyFont="1" applyBorder="1" applyAlignment="1">
      <alignment vertical="center" wrapText="1"/>
    </xf>
    <xf numFmtId="0" fontId="13" fillId="0" borderId="10" xfId="1" applyFont="1" applyBorder="1" applyAlignment="1">
      <alignment vertical="center" wrapText="1"/>
    </xf>
    <xf numFmtId="0" fontId="13" fillId="2" borderId="9" xfId="1" applyFont="1" applyFill="1" applyBorder="1" applyAlignment="1">
      <alignment horizontal="center" vertical="center" wrapText="1"/>
    </xf>
    <xf numFmtId="0" fontId="13" fillId="2" borderId="4" xfId="1" applyFont="1" applyFill="1" applyBorder="1" applyAlignment="1">
      <alignment horizontal="center" vertical="center" wrapText="1"/>
    </xf>
    <xf numFmtId="0" fontId="13" fillId="0" borderId="5" xfId="1" applyFont="1" applyBorder="1" applyAlignment="1">
      <alignment horizontal="center" vertical="center"/>
    </xf>
    <xf numFmtId="0" fontId="13" fillId="0" borderId="7" xfId="1" applyFont="1" applyBorder="1" applyAlignment="1">
      <alignment horizontal="center" vertical="center"/>
    </xf>
    <xf numFmtId="0" fontId="13" fillId="0" borderId="6" xfId="1" applyFont="1" applyBorder="1" applyAlignment="1">
      <alignment horizontal="center" vertical="center"/>
    </xf>
    <xf numFmtId="0" fontId="15" fillId="3" borderId="1" xfId="1" applyFont="1" applyFill="1" applyBorder="1" applyAlignment="1">
      <alignment horizontal="center" vertical="center" wrapText="1"/>
    </xf>
    <xf numFmtId="0" fontId="16" fillId="3" borderId="1" xfId="1" applyFont="1" applyFill="1" applyBorder="1" applyAlignment="1">
      <alignment horizontal="center" vertical="center" wrapText="1"/>
    </xf>
    <xf numFmtId="0" fontId="17" fillId="0" borderId="1" xfId="1" applyFont="1" applyBorder="1" applyAlignment="1">
      <alignment horizontal="center" vertical="center"/>
    </xf>
    <xf numFmtId="0" fontId="18" fillId="0" borderId="3" xfId="1" applyFont="1" applyBorder="1" applyAlignment="1">
      <alignment horizontal="center" vertical="center" wrapText="1"/>
    </xf>
    <xf numFmtId="166" fontId="18" fillId="0" borderId="8" xfId="1" applyNumberFormat="1" applyFont="1" applyBorder="1" applyAlignment="1">
      <alignment horizontal="center" vertical="center"/>
    </xf>
    <xf numFmtId="0" fontId="18" fillId="0" borderId="9" xfId="1" applyFont="1" applyBorder="1" applyAlignment="1">
      <alignment horizontal="center" vertical="center"/>
    </xf>
    <xf numFmtId="0" fontId="18" fillId="0" borderId="4" xfId="1" applyFont="1" applyBorder="1" applyAlignment="1">
      <alignment horizontal="center" vertical="center"/>
    </xf>
    <xf numFmtId="0" fontId="18" fillId="0" borderId="9" xfId="1" applyFont="1" applyBorder="1" applyAlignment="1">
      <alignment horizontal="center" vertical="center"/>
    </xf>
    <xf numFmtId="166" fontId="18" fillId="0" borderId="14" xfId="1" applyNumberFormat="1" applyFont="1" applyBorder="1" applyAlignment="1">
      <alignment horizontal="center" vertical="center"/>
    </xf>
    <xf numFmtId="166" fontId="18" fillId="0" borderId="0" xfId="1" applyNumberFormat="1" applyFont="1" applyBorder="1" applyAlignment="1">
      <alignment horizontal="center" vertical="center"/>
    </xf>
    <xf numFmtId="166" fontId="18" fillId="0" borderId="15" xfId="1" applyNumberFormat="1" applyFont="1" applyBorder="1" applyAlignment="1">
      <alignment horizontal="center" vertical="center"/>
    </xf>
    <xf numFmtId="0" fontId="18" fillId="0" borderId="10" xfId="1" applyFont="1" applyBorder="1" applyAlignment="1">
      <alignment vertical="center" wrapText="1"/>
    </xf>
    <xf numFmtId="0" fontId="18" fillId="0" borderId="0" xfId="1" applyFont="1"/>
    <xf numFmtId="0" fontId="18" fillId="0" borderId="2" xfId="1" applyFont="1" applyBorder="1" applyAlignment="1">
      <alignment horizontal="center" vertical="center" wrapText="1"/>
    </xf>
    <xf numFmtId="166" fontId="18" fillId="0" borderId="11" xfId="1" applyNumberFormat="1" applyFont="1" applyBorder="1" applyAlignment="1">
      <alignment horizontal="center" vertical="center"/>
    </xf>
    <xf numFmtId="166" fontId="18" fillId="0" borderId="12" xfId="1" applyNumberFormat="1" applyFont="1" applyBorder="1" applyAlignment="1">
      <alignment horizontal="center" vertical="center"/>
    </xf>
    <xf numFmtId="166" fontId="18" fillId="0" borderId="13" xfId="1" applyNumberFormat="1" applyFont="1" applyBorder="1" applyAlignment="1">
      <alignment horizontal="center" vertical="center"/>
    </xf>
    <xf numFmtId="0" fontId="18" fillId="0" borderId="11" xfId="1" applyFont="1" applyBorder="1" applyAlignment="1">
      <alignment horizontal="center" vertical="center"/>
    </xf>
    <xf numFmtId="0" fontId="18" fillId="0" borderId="13" xfId="1" applyFont="1" applyBorder="1" applyAlignment="1">
      <alignment horizontal="center" vertical="center"/>
    </xf>
    <xf numFmtId="166" fontId="18" fillId="0" borderId="9" xfId="1" applyNumberFormat="1" applyFont="1" applyBorder="1" applyAlignment="1">
      <alignment horizontal="center" vertical="center"/>
    </xf>
    <xf numFmtId="166" fontId="18" fillId="0" borderId="4" xfId="1" applyNumberFormat="1" applyFont="1" applyBorder="1" applyAlignment="1">
      <alignment horizontal="center" vertical="center"/>
    </xf>
    <xf numFmtId="0" fontId="3" fillId="3" borderId="1" xfId="1" applyFont="1" applyFill="1" applyBorder="1" applyAlignment="1">
      <alignment horizontal="center" vertical="center"/>
    </xf>
    <xf numFmtId="169" fontId="13" fillId="5" borderId="11" xfId="1" applyNumberFormat="1" applyFont="1" applyFill="1" applyBorder="1" applyAlignment="1">
      <alignment horizontal="center" vertical="center" wrapText="1"/>
    </xf>
    <xf numFmtId="169" fontId="13" fillId="5" borderId="12" xfId="1" applyNumberFormat="1" applyFont="1" applyFill="1" applyBorder="1" applyAlignment="1">
      <alignment horizontal="center" vertical="center" wrapText="1"/>
    </xf>
    <xf numFmtId="169" fontId="13" fillId="5" borderId="13" xfId="1" applyNumberFormat="1" applyFont="1" applyFill="1" applyBorder="1" applyAlignment="1">
      <alignment horizontal="center" vertical="center" wrapText="1"/>
    </xf>
    <xf numFmtId="0" fontId="19" fillId="0" borderId="11" xfId="1" applyFont="1" applyBorder="1" applyAlignment="1">
      <alignment horizontal="center" vertical="center"/>
    </xf>
    <xf numFmtId="0" fontId="19" fillId="0" borderId="12" xfId="1" applyFont="1" applyBorder="1" applyAlignment="1">
      <alignment horizontal="center" vertical="center"/>
    </xf>
    <xf numFmtId="0" fontId="19" fillId="0" borderId="13" xfId="1" applyFont="1" applyBorder="1" applyAlignment="1">
      <alignment horizontal="center" vertical="center"/>
    </xf>
    <xf numFmtId="9" fontId="20" fillId="3" borderId="11" xfId="2" applyNumberFormat="1" applyFont="1" applyFill="1" applyBorder="1" applyAlignment="1">
      <alignment horizontal="center" vertical="center"/>
    </xf>
    <xf numFmtId="9" fontId="20" fillId="3" borderId="12" xfId="2" applyNumberFormat="1" applyFont="1" applyFill="1" applyBorder="1" applyAlignment="1">
      <alignment horizontal="center" vertical="center"/>
    </xf>
    <xf numFmtId="9" fontId="20" fillId="3" borderId="13" xfId="2" applyNumberFormat="1" applyFont="1" applyFill="1" applyBorder="1" applyAlignment="1">
      <alignment horizontal="center" vertical="center"/>
    </xf>
    <xf numFmtId="9" fontId="19" fillId="0" borderId="9" xfId="1" applyNumberFormat="1" applyFont="1" applyBorder="1" applyAlignment="1">
      <alignment horizontal="center" vertical="center"/>
    </xf>
    <xf numFmtId="0" fontId="19" fillId="0" borderId="2" xfId="1" applyFont="1" applyBorder="1" applyAlignment="1">
      <alignment vertical="center" wrapText="1"/>
    </xf>
    <xf numFmtId="0" fontId="19" fillId="0" borderId="0" xfId="1" applyFont="1"/>
    <xf numFmtId="0" fontId="19" fillId="0" borderId="1" xfId="1" applyFont="1" applyBorder="1" applyAlignment="1">
      <alignment horizontal="center" vertical="center"/>
    </xf>
    <xf numFmtId="166" fontId="19" fillId="0" borderId="9" xfId="1" applyNumberFormat="1" applyFont="1" applyBorder="1" applyAlignment="1">
      <alignment horizontal="center" vertical="center"/>
    </xf>
    <xf numFmtId="166" fontId="18" fillId="4" borderId="8" xfId="1" applyNumberFormat="1" applyFont="1" applyFill="1" applyBorder="1" applyAlignment="1">
      <alignment horizontal="center" vertical="center"/>
    </xf>
    <xf numFmtId="166" fontId="18" fillId="4" borderId="9" xfId="1" applyNumberFormat="1" applyFont="1" applyFill="1" applyBorder="1" applyAlignment="1">
      <alignment horizontal="center" vertical="center"/>
    </xf>
    <xf numFmtId="166" fontId="18" fillId="4" borderId="4" xfId="1" applyNumberFormat="1" applyFont="1" applyFill="1" applyBorder="1" applyAlignment="1">
      <alignment horizontal="center" vertical="center"/>
    </xf>
    <xf numFmtId="166" fontId="18" fillId="4" borderId="11" xfId="1" applyNumberFormat="1" applyFont="1" applyFill="1" applyBorder="1" applyAlignment="1">
      <alignment horizontal="center" vertical="center"/>
    </xf>
    <xf numFmtId="166" fontId="18" fillId="4" borderId="12" xfId="1" applyNumberFormat="1" applyFont="1" applyFill="1" applyBorder="1" applyAlignment="1">
      <alignment horizontal="center" vertical="center"/>
    </xf>
    <xf numFmtId="166" fontId="18" fillId="4" borderId="13" xfId="1" applyNumberFormat="1" applyFont="1" applyFill="1" applyBorder="1" applyAlignment="1">
      <alignment horizontal="center" vertical="center"/>
    </xf>
    <xf numFmtId="166" fontId="18" fillId="4" borderId="3" xfId="1" applyNumberFormat="1" applyFont="1" applyFill="1" applyBorder="1" applyAlignment="1">
      <alignment horizontal="center" vertical="center"/>
    </xf>
    <xf numFmtId="0" fontId="19" fillId="2" borderId="1" xfId="1" applyFont="1" applyFill="1" applyBorder="1" applyAlignment="1">
      <alignment horizontal="center" vertical="center"/>
    </xf>
    <xf numFmtId="0" fontId="19" fillId="2" borderId="1" xfId="1" applyFont="1" applyFill="1" applyBorder="1" applyAlignment="1">
      <alignment horizontal="center" vertical="center"/>
    </xf>
    <xf numFmtId="166" fontId="18" fillId="0" borderId="1" xfId="1" applyNumberFormat="1" applyFont="1" applyBorder="1" applyAlignment="1">
      <alignment horizontal="center" vertical="center"/>
    </xf>
    <xf numFmtId="9" fontId="20" fillId="3" borderId="5" xfId="2" applyNumberFormat="1" applyFont="1" applyFill="1" applyBorder="1" applyAlignment="1">
      <alignment horizontal="center" vertical="center"/>
    </xf>
    <xf numFmtId="9" fontId="20" fillId="3" borderId="7" xfId="2" applyNumberFormat="1" applyFont="1" applyFill="1" applyBorder="1" applyAlignment="1">
      <alignment horizontal="center" vertical="center"/>
    </xf>
    <xf numFmtId="9" fontId="20" fillId="3" borderId="6" xfId="2" applyNumberFormat="1" applyFont="1" applyFill="1" applyBorder="1" applyAlignment="1">
      <alignment horizontal="center" vertical="center"/>
    </xf>
    <xf numFmtId="0" fontId="13" fillId="0" borderId="1" xfId="1" applyFont="1" applyBorder="1" applyAlignment="1">
      <alignment horizontal="right" vertical="center"/>
    </xf>
    <xf numFmtId="0" fontId="13" fillId="0" borderId="3" xfId="1" applyFont="1" applyBorder="1" applyAlignment="1">
      <alignment horizontal="right" vertical="center"/>
    </xf>
    <xf numFmtId="0" fontId="13" fillId="0" borderId="1" xfId="1" applyFont="1" applyBorder="1" applyAlignment="1">
      <alignment horizontal="right" vertical="center" wrapText="1"/>
    </xf>
    <xf numFmtId="0" fontId="19" fillId="7" borderId="1" xfId="1" applyFont="1" applyFill="1" applyBorder="1" applyAlignment="1">
      <alignment horizontal="center" vertical="center"/>
    </xf>
    <xf numFmtId="0" fontId="13" fillId="7" borderId="1" xfId="1" applyFont="1" applyFill="1" applyBorder="1" applyAlignment="1">
      <alignment horizontal="center" vertical="center" wrapText="1"/>
    </xf>
    <xf numFmtId="166" fontId="18" fillId="7" borderId="8" xfId="1" applyNumberFormat="1" applyFont="1" applyFill="1" applyBorder="1" applyAlignment="1">
      <alignment horizontal="center" vertical="center"/>
    </xf>
    <xf numFmtId="0" fontId="18" fillId="7" borderId="9" xfId="1" applyFont="1" applyFill="1" applyBorder="1" applyAlignment="1">
      <alignment horizontal="center" vertical="center"/>
    </xf>
    <xf numFmtId="0" fontId="18" fillId="7" borderId="4" xfId="1" applyFont="1" applyFill="1" applyBorder="1" applyAlignment="1">
      <alignment horizontal="center" vertical="center"/>
    </xf>
    <xf numFmtId="9" fontId="20" fillId="7" borderId="11" xfId="2" applyNumberFormat="1" applyFont="1" applyFill="1" applyBorder="1" applyAlignment="1">
      <alignment horizontal="center" vertical="center"/>
    </xf>
    <xf numFmtId="9" fontId="20" fillId="7" borderId="12" xfId="2" applyNumberFormat="1" applyFont="1" applyFill="1" applyBorder="1" applyAlignment="1">
      <alignment horizontal="center" vertical="center"/>
    </xf>
    <xf numFmtId="9" fontId="20" fillId="7" borderId="13" xfId="2" applyNumberFormat="1" applyFont="1" applyFill="1" applyBorder="1" applyAlignment="1">
      <alignment horizontal="center" vertical="center"/>
    </xf>
    <xf numFmtId="0" fontId="13" fillId="7" borderId="1" xfId="1" applyFont="1" applyFill="1" applyBorder="1" applyAlignment="1">
      <alignment horizontal="center" vertical="center"/>
    </xf>
    <xf numFmtId="9" fontId="14" fillId="7" borderId="1" xfId="2" applyNumberFormat="1" applyFont="1" applyFill="1" applyBorder="1" applyAlignment="1">
      <alignment horizontal="center" vertical="center"/>
    </xf>
    <xf numFmtId="0" fontId="3" fillId="7" borderId="0" xfId="1" applyFont="1" applyFill="1" applyAlignment="1">
      <alignment horizontal="center" vertical="center"/>
    </xf>
    <xf numFmtId="0" fontId="3" fillId="7" borderId="0" xfId="1" applyFont="1" applyFill="1"/>
    <xf numFmtId="9" fontId="4" fillId="3" borderId="10" xfId="0" applyNumberFormat="1" applyFont="1" applyFill="1" applyBorder="1" applyAlignment="1">
      <alignment horizontal="center" vertical="center" wrapText="1"/>
    </xf>
    <xf numFmtId="49" fontId="23" fillId="3" borderId="1" xfId="2" applyNumberFormat="1" applyFont="1" applyFill="1" applyBorder="1" applyAlignment="1">
      <alignment horizontal="center" vertical="center" wrapText="1"/>
    </xf>
    <xf numFmtId="0" fontId="23" fillId="3" borderId="1" xfId="2" applyFont="1" applyFill="1" applyBorder="1" applyAlignment="1">
      <alignment horizontal="center" vertical="center" wrapText="1"/>
    </xf>
    <xf numFmtId="0" fontId="23" fillId="3" borderId="1" xfId="5" applyFont="1" applyFill="1" applyBorder="1" applyAlignment="1">
      <alignment horizontal="center" vertical="top" wrapText="1"/>
    </xf>
    <xf numFmtId="0" fontId="3" fillId="3" borderId="0" xfId="0" applyFont="1" applyFill="1"/>
    <xf numFmtId="0" fontId="3" fillId="0" borderId="0" xfId="0" applyFont="1"/>
    <xf numFmtId="0" fontId="3" fillId="0" borderId="1" xfId="0" applyFont="1" applyBorder="1" applyAlignment="1">
      <alignment horizontal="center" vertical="center"/>
    </xf>
    <xf numFmtId="166" fontId="3" fillId="0" borderId="1" xfId="0" applyNumberFormat="1" applyFont="1" applyBorder="1" applyAlignment="1">
      <alignment horizontal="center" vertical="center"/>
    </xf>
    <xf numFmtId="0" fontId="13" fillId="0" borderId="7" xfId="0" applyFont="1" applyBorder="1" applyAlignment="1">
      <alignment horizontal="center" vertical="center"/>
    </xf>
    <xf numFmtId="0" fontId="3" fillId="0" borderId="1" xfId="0" applyFont="1" applyBorder="1"/>
    <xf numFmtId="0" fontId="13" fillId="7" borderId="11" xfId="0" applyFont="1" applyFill="1" applyBorder="1" applyAlignment="1">
      <alignment horizontal="center" vertical="center"/>
    </xf>
    <xf numFmtId="0" fontId="13" fillId="7" borderId="12" xfId="0" applyFont="1" applyFill="1" applyBorder="1" applyAlignment="1">
      <alignment horizontal="center" vertical="center"/>
    </xf>
    <xf numFmtId="0" fontId="13" fillId="7" borderId="13" xfId="0" applyFont="1" applyFill="1" applyBorder="1" applyAlignment="1">
      <alignment horizontal="center" vertical="center"/>
    </xf>
    <xf numFmtId="0" fontId="13" fillId="7" borderId="1" xfId="0" applyFont="1" applyFill="1" applyBorder="1" applyAlignment="1">
      <alignment horizontal="center" vertical="center"/>
    </xf>
    <xf numFmtId="0" fontId="24" fillId="3" borderId="1" xfId="2" applyFont="1" applyFill="1" applyBorder="1" applyAlignment="1">
      <alignment horizontal="center" vertical="center" wrapText="1"/>
    </xf>
    <xf numFmtId="164" fontId="24" fillId="3" borderId="1" xfId="2" applyNumberFormat="1" applyFont="1" applyFill="1" applyBorder="1" applyAlignment="1">
      <alignment horizontal="center" vertical="center" wrapText="1"/>
    </xf>
    <xf numFmtId="0" fontId="17" fillId="0" borderId="1" xfId="0" applyFont="1" applyBorder="1" applyAlignment="1">
      <alignment horizontal="center" vertical="center"/>
    </xf>
    <xf numFmtId="0" fontId="17" fillId="0" borderId="0" xfId="0" applyFont="1"/>
    <xf numFmtId="0" fontId="13" fillId="0" borderId="1" xfId="0" applyFont="1" applyBorder="1" applyAlignment="1">
      <alignment horizontal="center" vertical="center"/>
    </xf>
    <xf numFmtId="0" fontId="25" fillId="0" borderId="7" xfId="1" applyFont="1" applyBorder="1" applyAlignment="1">
      <alignment horizontal="left" vertical="center"/>
    </xf>
  </cellXfs>
  <cellStyles count="8">
    <cellStyle name="Итоги" xfId="3" xr:uid="{1FA439AC-7E63-4988-B56B-F05E44F54855}"/>
    <cellStyle name="ЛокСмета" xfId="4" xr:uid="{780F03A0-9D86-4487-95A2-77234ECE3CFC}"/>
    <cellStyle name="Обычный" xfId="0" builtinId="0"/>
    <cellStyle name="Обычный 2" xfId="1" xr:uid="{FEE95467-224E-4B5D-AB45-2FD3D4EB2381}"/>
    <cellStyle name="Обычный 3 5 2 13 2 4 2" xfId="2" xr:uid="{8EEA896A-D994-4FF6-9122-B9532B7B8D0B}"/>
    <cellStyle name="Обычный_Мои данные" xfId="5" xr:uid="{267F96C6-78FF-4B4F-8AF7-2C00FAB89602}"/>
    <cellStyle name="Финансовый 2" xfId="7" xr:uid="{EF977A2A-8DA6-4C67-A9B0-F1B6791CC7FA}"/>
    <cellStyle name="Хвост" xfId="6" xr:uid="{C90BAC80-F479-42E4-9326-2A0A946EB3CF}"/>
  </cellStyles>
  <dxfs count="26">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06/relationships/rdRichValue" Target="richData/rdrichvalue.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v>
    <v>8</v>
    <v>0</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69FE4-E2F5-4BAF-976C-DE326B78BC61}">
  <sheetPr>
    <pageSetUpPr fitToPage="1"/>
  </sheetPr>
  <dimension ref="A1:AG21"/>
  <sheetViews>
    <sheetView tabSelected="1" view="pageBreakPreview" zoomScale="55" zoomScaleNormal="70" zoomScaleSheetLayoutView="55" workbookViewId="0">
      <selection activeCell="F6" sqref="F6:F19"/>
    </sheetView>
  </sheetViews>
  <sheetFormatPr defaultRowHeight="13.8" x14ac:dyDescent="0.25"/>
  <cols>
    <col min="1" max="1" width="8.88671875" style="76"/>
    <col min="2" max="2" width="29" style="76" customWidth="1"/>
    <col min="3" max="3" width="15.33203125" style="76" customWidth="1"/>
    <col min="4" max="4" width="8.77734375" style="186" customWidth="1"/>
    <col min="5" max="6" width="8.109375" style="186" customWidth="1"/>
    <col min="7" max="7" width="13.77734375" style="186" customWidth="1"/>
    <col min="8" max="9" width="13.77734375" style="76" hidden="1" customWidth="1"/>
    <col min="10" max="11" width="11.88671875" style="76" customWidth="1"/>
    <col min="12" max="12" width="8.109375" style="76" customWidth="1"/>
    <col min="13" max="13" width="11.88671875" style="76" customWidth="1"/>
    <col min="14" max="14" width="12.5546875" style="76" hidden="1" customWidth="1"/>
    <col min="15" max="15" width="12.6640625" style="76" customWidth="1"/>
    <col min="16" max="16" width="10" style="76" customWidth="1"/>
    <col min="17" max="17" width="8.109375" style="76" customWidth="1"/>
    <col min="18" max="18" width="12.6640625" style="76" customWidth="1"/>
    <col min="19" max="19" width="8.77734375" style="76" hidden="1" customWidth="1"/>
    <col min="20" max="21" width="11.77734375" style="76" customWidth="1"/>
    <col min="22" max="22" width="8.109375" style="76" customWidth="1"/>
    <col min="23" max="23" width="11.77734375" style="76" customWidth="1"/>
    <col min="24" max="24" width="8.77734375" style="76" hidden="1" customWidth="1"/>
    <col min="25" max="25" width="12.6640625" style="76" customWidth="1"/>
    <col min="26" max="26" width="10.5546875" style="76" customWidth="1"/>
    <col min="27" max="27" width="8.109375" style="76" customWidth="1"/>
    <col min="28" max="28" width="12.6640625" style="76" customWidth="1"/>
    <col min="29" max="29" width="9.5546875" style="76" hidden="1" customWidth="1"/>
    <col min="30" max="16384" width="8.88671875" style="76"/>
  </cols>
  <sheetData>
    <row r="1" spans="1:29" s="156" customFormat="1" ht="30.6" customHeight="1" x14ac:dyDescent="0.35">
      <c r="A1" s="66" t="s">
        <v>107</v>
      </c>
      <c r="B1" s="66" t="s">
        <v>108</v>
      </c>
      <c r="C1" s="66" t="s">
        <v>109</v>
      </c>
      <c r="D1" s="175" t="s">
        <v>110</v>
      </c>
      <c r="E1" s="175"/>
      <c r="F1" s="175"/>
      <c r="G1" s="175"/>
      <c r="H1" s="157"/>
      <c r="I1" s="157"/>
      <c r="J1" s="166" t="s">
        <v>148</v>
      </c>
      <c r="K1" s="166"/>
      <c r="L1" s="166"/>
      <c r="M1" s="166"/>
      <c r="N1" s="167"/>
      <c r="O1" s="166" t="s">
        <v>149</v>
      </c>
      <c r="P1" s="166"/>
      <c r="Q1" s="166"/>
      <c r="R1" s="166"/>
      <c r="S1" s="167"/>
      <c r="T1" s="166" t="s">
        <v>150</v>
      </c>
      <c r="U1" s="166"/>
      <c r="V1" s="166"/>
      <c r="W1" s="166"/>
      <c r="X1" s="167"/>
      <c r="Y1" s="166" t="s">
        <v>151</v>
      </c>
      <c r="Z1" s="166"/>
      <c r="AA1" s="166"/>
      <c r="AB1" s="166"/>
      <c r="AC1" s="167"/>
    </row>
    <row r="2" spans="1:29" s="68" customFormat="1" ht="42.6" customHeight="1" x14ac:dyDescent="0.25">
      <c r="A2" s="66"/>
      <c r="B2" s="66"/>
      <c r="C2" s="66"/>
      <c r="D2" s="176" t="s">
        <v>110</v>
      </c>
      <c r="E2" s="176" t="s">
        <v>137</v>
      </c>
      <c r="F2" s="176" t="s">
        <v>152</v>
      </c>
      <c r="G2" s="176" t="s">
        <v>116</v>
      </c>
      <c r="H2" s="70" t="s">
        <v>139</v>
      </c>
      <c r="I2" s="70" t="s">
        <v>140</v>
      </c>
      <c r="J2" s="70" t="s">
        <v>110</v>
      </c>
      <c r="K2" s="70" t="s">
        <v>137</v>
      </c>
      <c r="L2" s="70" t="s">
        <v>152</v>
      </c>
      <c r="M2" s="70" t="s">
        <v>116</v>
      </c>
      <c r="N2" s="89" t="s">
        <v>141</v>
      </c>
      <c r="O2" s="101" t="s">
        <v>110</v>
      </c>
      <c r="P2" s="101" t="s">
        <v>137</v>
      </c>
      <c r="Q2" s="70" t="s">
        <v>152</v>
      </c>
      <c r="R2" s="101" t="s">
        <v>116</v>
      </c>
      <c r="S2" s="89" t="s">
        <v>141</v>
      </c>
      <c r="T2" s="101" t="s">
        <v>110</v>
      </c>
      <c r="U2" s="101" t="s">
        <v>137</v>
      </c>
      <c r="V2" s="70" t="s">
        <v>152</v>
      </c>
      <c r="W2" s="101" t="s">
        <v>116</v>
      </c>
      <c r="X2" s="89" t="s">
        <v>141</v>
      </c>
      <c r="Y2" s="101" t="s">
        <v>110</v>
      </c>
      <c r="Z2" s="101" t="s">
        <v>137</v>
      </c>
      <c r="AA2" s="70" t="s">
        <v>152</v>
      </c>
      <c r="AB2" s="101" t="s">
        <v>116</v>
      </c>
      <c r="AC2" s="89" t="s">
        <v>141</v>
      </c>
    </row>
    <row r="3" spans="1:29" s="135" customFormat="1" ht="16.8" customHeight="1" x14ac:dyDescent="0.35">
      <c r="A3" s="140" t="s">
        <v>117</v>
      </c>
      <c r="B3" s="141"/>
      <c r="C3" s="126" t="s">
        <v>118</v>
      </c>
      <c r="D3" s="177">
        <f>SUM(J3:AC3)</f>
        <v>23694325.73</v>
      </c>
      <c r="E3" s="178"/>
      <c r="F3" s="178"/>
      <c r="G3" s="179"/>
      <c r="H3" s="130"/>
      <c r="I3" s="130"/>
      <c r="J3" s="168">
        <f>'Курск детальный '!D6</f>
        <v>5732090.7999999998</v>
      </c>
      <c r="K3" s="168"/>
      <c r="L3" s="168"/>
      <c r="M3" s="168"/>
      <c r="N3" s="92"/>
      <c r="O3" s="168">
        <f>'Пермь детальный'!D5</f>
        <v>4947834.8</v>
      </c>
      <c r="P3" s="168"/>
      <c r="Q3" s="168"/>
      <c r="R3" s="168"/>
      <c r="S3" s="92"/>
      <c r="T3" s="168">
        <f>'Липецк детальный'!D6</f>
        <v>9927242.1300000008</v>
      </c>
      <c r="U3" s="168"/>
      <c r="V3" s="168"/>
      <c r="W3" s="168"/>
      <c r="X3" s="92"/>
      <c r="Y3" s="168">
        <f>'Ярославль детальный'!D5</f>
        <v>3087158</v>
      </c>
      <c r="Z3" s="168"/>
      <c r="AA3" s="168"/>
      <c r="AB3" s="168"/>
      <c r="AC3" s="92"/>
    </row>
    <row r="4" spans="1:29" s="135" customFormat="1" ht="16.8" customHeight="1" x14ac:dyDescent="0.35">
      <c r="A4" s="140" t="s">
        <v>138</v>
      </c>
      <c r="B4" s="141"/>
      <c r="C4" s="136"/>
      <c r="D4" s="177">
        <f>SUM(J4:AC4)</f>
        <v>2347762</v>
      </c>
      <c r="E4" s="178"/>
      <c r="F4" s="178"/>
      <c r="G4" s="179"/>
      <c r="H4" s="130"/>
      <c r="I4" s="130"/>
      <c r="J4" s="168">
        <f>'Курск детальный '!D7</f>
        <v>1252122</v>
      </c>
      <c r="K4" s="168"/>
      <c r="L4" s="168"/>
      <c r="M4" s="168"/>
      <c r="N4" s="92"/>
      <c r="O4" s="168">
        <f>'Пермь детальный'!D6</f>
        <v>134131</v>
      </c>
      <c r="P4" s="168"/>
      <c r="Q4" s="168"/>
      <c r="R4" s="168"/>
      <c r="S4" s="92"/>
      <c r="T4" s="168">
        <f>'Липецк детальный'!D7</f>
        <v>865149</v>
      </c>
      <c r="U4" s="168"/>
      <c r="V4" s="168"/>
      <c r="W4" s="168"/>
      <c r="X4" s="92"/>
      <c r="Y4" s="168">
        <f>'Ярославль детальный'!D6</f>
        <v>96360</v>
      </c>
      <c r="Z4" s="168"/>
      <c r="AA4" s="168"/>
      <c r="AB4" s="168"/>
      <c r="AC4" s="92"/>
    </row>
    <row r="5" spans="1:29" s="156" customFormat="1" ht="27" customHeight="1" x14ac:dyDescent="0.35">
      <c r="A5" s="148" t="s">
        <v>146</v>
      </c>
      <c r="B5" s="149"/>
      <c r="C5" s="150"/>
      <c r="D5" s="180">
        <f>SUM(H6:H19)</f>
        <v>0.56993525373707299</v>
      </c>
      <c r="E5" s="181"/>
      <c r="F5" s="181"/>
      <c r="G5" s="182"/>
      <c r="H5" s="158"/>
      <c r="I5" s="154">
        <f>SUM(I6:I19)</f>
        <v>1</v>
      </c>
      <c r="J5" s="151">
        <f>SUM(N6:N19)</f>
        <v>0.93279327783915411</v>
      </c>
      <c r="K5" s="152"/>
      <c r="L5" s="152"/>
      <c r="M5" s="153"/>
      <c r="N5" s="90"/>
      <c r="O5" s="169">
        <f>SUM(S6:S19)</f>
        <v>0.65942810176278832</v>
      </c>
      <c r="P5" s="170"/>
      <c r="Q5" s="170"/>
      <c r="R5" s="171"/>
      <c r="S5" s="90"/>
      <c r="T5" s="169">
        <f>SUM(X6:X19)</f>
        <v>0.37448259391710026</v>
      </c>
      <c r="U5" s="170"/>
      <c r="V5" s="170"/>
      <c r="W5" s="171"/>
      <c r="X5" s="90"/>
      <c r="Y5" s="169">
        <f>SUM(AC6:AC19)</f>
        <v>0.44533955053949731</v>
      </c>
      <c r="Z5" s="170"/>
      <c r="AA5" s="170"/>
      <c r="AB5" s="171"/>
      <c r="AC5" s="90"/>
    </row>
    <row r="6" spans="1:29" ht="30.6" customHeight="1" x14ac:dyDescent="0.25">
      <c r="A6" s="74">
        <v>1</v>
      </c>
      <c r="B6" s="172" t="s">
        <v>119</v>
      </c>
      <c r="C6" s="75" t="s">
        <v>120</v>
      </c>
      <c r="D6" s="183">
        <f>J6+O6+T6+Y6</f>
        <v>95.16</v>
      </c>
      <c r="E6" s="183">
        <f>K6+P6+U6+Z6</f>
        <v>78.744</v>
      </c>
      <c r="F6" s="93">
        <f>D6-E6</f>
        <v>16.415999999999997</v>
      </c>
      <c r="G6" s="184">
        <f>E6/D6</f>
        <v>0.82749054224464058</v>
      </c>
      <c r="H6" s="79">
        <f>E6*I6/D6</f>
        <v>4.1374527112232037E-2</v>
      </c>
      <c r="I6" s="79">
        <v>0.05</v>
      </c>
      <c r="J6" s="75">
        <f>'Курск детальный '!D9</f>
        <v>24.64</v>
      </c>
      <c r="K6" s="75">
        <f>'Курск детальный '!E9</f>
        <v>24.64</v>
      </c>
      <c r="L6" s="93">
        <f>J6-K6</f>
        <v>0</v>
      </c>
      <c r="M6" s="79">
        <f>K6/J6</f>
        <v>1</v>
      </c>
      <c r="N6" s="79">
        <f>K6*I6/J6</f>
        <v>5.000000000000001E-2</v>
      </c>
      <c r="O6" s="75">
        <f>'Пермь детальный'!D8</f>
        <v>16.86</v>
      </c>
      <c r="P6" s="75">
        <f>'Пермь детальный'!E8</f>
        <v>15.530000000000001</v>
      </c>
      <c r="Q6" s="93">
        <f>O6-P6</f>
        <v>1.3299999999999983</v>
      </c>
      <c r="R6" s="79">
        <f>P6/O6</f>
        <v>0.92111506524317921</v>
      </c>
      <c r="S6" s="79">
        <f>P6*$I6/O6</f>
        <v>4.6055753262158959E-2</v>
      </c>
      <c r="T6" s="75">
        <f>'Липецк детальный'!D9</f>
        <v>43.41</v>
      </c>
      <c r="U6" s="75">
        <f>'Липецк детальный'!E9</f>
        <v>29.370000000000005</v>
      </c>
      <c r="V6" s="93">
        <f>T6-U6</f>
        <v>14.039999999999992</v>
      </c>
      <c r="W6" s="79">
        <f>U6/T6</f>
        <v>0.6765722183828613</v>
      </c>
      <c r="X6" s="79">
        <f>U6*$I6/T6</f>
        <v>3.3828610919143062E-2</v>
      </c>
      <c r="Y6" s="75">
        <f>'Ярославль детальный'!D8</f>
        <v>10.25</v>
      </c>
      <c r="Z6" s="75">
        <f>'Ярославль детальный'!E8</f>
        <v>9.2040000000000006</v>
      </c>
      <c r="AA6" s="93">
        <f>Y6-Z6</f>
        <v>1.0459999999999994</v>
      </c>
      <c r="AB6" s="79">
        <f>Z6/Y6</f>
        <v>0.89795121951219514</v>
      </c>
      <c r="AC6" s="79">
        <f>Z6*$I6/Y6</f>
        <v>4.4897560975609763E-2</v>
      </c>
    </row>
    <row r="7" spans="1:29" ht="30.6" customHeight="1" x14ac:dyDescent="0.25">
      <c r="A7" s="74">
        <v>2</v>
      </c>
      <c r="B7" s="172" t="s">
        <v>121</v>
      </c>
      <c r="C7" s="75" t="s">
        <v>120</v>
      </c>
      <c r="D7" s="183">
        <f t="shared" ref="D7:D19" si="0">J7+O7+T7+Y7</f>
        <v>100.735</v>
      </c>
      <c r="E7" s="183">
        <f t="shared" ref="E7:E19" si="1">K7+P7+U7+Z7</f>
        <v>74.006</v>
      </c>
      <c r="F7" s="93">
        <f t="shared" ref="F7:F19" si="2">D7-E7</f>
        <v>26.728999999999999</v>
      </c>
      <c r="G7" s="184">
        <f t="shared" ref="G7:G19" si="3">E7/D7</f>
        <v>0.73466024718320344</v>
      </c>
      <c r="H7" s="79">
        <f t="shared" ref="H7:H19" si="4">E7*I7/D7</f>
        <v>3.6733012359160176E-2</v>
      </c>
      <c r="I7" s="79">
        <v>0.05</v>
      </c>
      <c r="J7" s="75">
        <f>'Курск детальный '!D10</f>
        <v>24.64</v>
      </c>
      <c r="K7" s="75">
        <f>'Курск детальный '!E10</f>
        <v>24.64</v>
      </c>
      <c r="L7" s="93">
        <f t="shared" ref="L7:L19" si="5">J7-K7</f>
        <v>0</v>
      </c>
      <c r="M7" s="79">
        <f t="shared" ref="M7:M19" si="6">K7/J7</f>
        <v>1</v>
      </c>
      <c r="N7" s="79">
        <f t="shared" ref="N7:N19" si="7">K7*I7/J7</f>
        <v>5.000000000000001E-2</v>
      </c>
      <c r="O7" s="75">
        <f>'Пермь детальный'!D9</f>
        <v>16.86</v>
      </c>
      <c r="P7" s="75">
        <f>'Пермь детальный'!E9</f>
        <v>15.530000000000001</v>
      </c>
      <c r="Q7" s="93">
        <f t="shared" ref="Q7:Q19" si="8">O7-P7</f>
        <v>1.3299999999999983</v>
      </c>
      <c r="R7" s="79">
        <f t="shared" ref="R7:R19" si="9">P7/O7</f>
        <v>0.92111506524317921</v>
      </c>
      <c r="S7" s="79">
        <f t="shared" ref="S7:S19" si="10">P7*$I7/O7</f>
        <v>4.6055753262158959E-2</v>
      </c>
      <c r="T7" s="75">
        <f>'Липецк детальный'!D10</f>
        <v>43.41</v>
      </c>
      <c r="U7" s="75">
        <f>'Липецк детальный'!E10</f>
        <v>24.790000000000003</v>
      </c>
      <c r="V7" s="93">
        <f t="shared" ref="V7:V19" si="11">T7-U7</f>
        <v>18.619999999999994</v>
      </c>
      <c r="W7" s="79">
        <f t="shared" ref="W7:W19" si="12">U7/T7</f>
        <v>0.5710665745219996</v>
      </c>
      <c r="X7" s="79">
        <f t="shared" ref="X7:X19" si="13">U7*$I7/T7</f>
        <v>2.8553328726099985E-2</v>
      </c>
      <c r="Y7" s="75">
        <f>'Ярославль детальный'!D9</f>
        <v>15.824999999999999</v>
      </c>
      <c r="Z7" s="75">
        <f>'Ярославль детальный'!E9</f>
        <v>9.0459999999999994</v>
      </c>
      <c r="AA7" s="93">
        <f t="shared" ref="AA7:AA19" si="14">Y7-Z7</f>
        <v>6.7789999999999999</v>
      </c>
      <c r="AB7" s="79">
        <f t="shared" ref="AB7:AB19" si="15">Z7/Y7</f>
        <v>0.57162717219589254</v>
      </c>
      <c r="AC7" s="79">
        <f t="shared" ref="AC7:AC19" si="16">Z7*$I7/Y7</f>
        <v>2.8581358609794629E-2</v>
      </c>
    </row>
    <row r="8" spans="1:29" ht="30.6" customHeight="1" x14ac:dyDescent="0.25">
      <c r="A8" s="74">
        <v>3</v>
      </c>
      <c r="B8" s="172" t="s">
        <v>122</v>
      </c>
      <c r="C8" s="75" t="s">
        <v>120</v>
      </c>
      <c r="D8" s="183">
        <f t="shared" si="0"/>
        <v>100.735</v>
      </c>
      <c r="E8" s="183">
        <f t="shared" si="1"/>
        <v>70.421000000000006</v>
      </c>
      <c r="F8" s="93">
        <f t="shared" si="2"/>
        <v>30.313999999999993</v>
      </c>
      <c r="G8" s="184">
        <f t="shared" si="3"/>
        <v>0.69907182210750984</v>
      </c>
      <c r="H8" s="79">
        <f t="shared" si="4"/>
        <v>3.4953591105375499E-2</v>
      </c>
      <c r="I8" s="79">
        <v>0.05</v>
      </c>
      <c r="J8" s="75">
        <f>'Курск детальный '!D11</f>
        <v>24.64</v>
      </c>
      <c r="K8" s="75">
        <f>'Курск детальный '!E11</f>
        <v>24.64</v>
      </c>
      <c r="L8" s="93">
        <f t="shared" si="5"/>
        <v>0</v>
      </c>
      <c r="M8" s="79">
        <f t="shared" si="6"/>
        <v>1</v>
      </c>
      <c r="N8" s="79">
        <f t="shared" si="7"/>
        <v>5.000000000000001E-2</v>
      </c>
      <c r="O8" s="75">
        <f>'Пермь детальный'!D10</f>
        <v>16.86</v>
      </c>
      <c r="P8" s="75">
        <f>'Пермь детальный'!E10</f>
        <v>15.530000000000001</v>
      </c>
      <c r="Q8" s="93">
        <f t="shared" si="8"/>
        <v>1.3299999999999983</v>
      </c>
      <c r="R8" s="79">
        <f t="shared" si="9"/>
        <v>0.92111506524317921</v>
      </c>
      <c r="S8" s="79">
        <f t="shared" si="10"/>
        <v>4.6055753262158959E-2</v>
      </c>
      <c r="T8" s="75">
        <f>'Липецк детальный'!D11</f>
        <v>43.41</v>
      </c>
      <c r="U8" s="75">
        <f>'Липецк детальный'!E11</f>
        <v>21.76</v>
      </c>
      <c r="V8" s="93">
        <f t="shared" si="11"/>
        <v>21.649999999999995</v>
      </c>
      <c r="W8" s="79">
        <f t="shared" si="12"/>
        <v>0.50126698917300172</v>
      </c>
      <c r="X8" s="79">
        <f t="shared" si="13"/>
        <v>2.5063349458650085E-2</v>
      </c>
      <c r="Y8" s="75">
        <f>'Ярославль детальный'!D10</f>
        <v>15.824999999999999</v>
      </c>
      <c r="Z8" s="75">
        <f>'Ярославль детальный'!E10</f>
        <v>8.4909999999999997</v>
      </c>
      <c r="AA8" s="93">
        <f t="shared" si="14"/>
        <v>7.3339999999999996</v>
      </c>
      <c r="AB8" s="79">
        <f t="shared" si="15"/>
        <v>0.53655608214849926</v>
      </c>
      <c r="AC8" s="79">
        <f t="shared" si="16"/>
        <v>2.6827804107424962E-2</v>
      </c>
    </row>
    <row r="9" spans="1:29" ht="30.6" customHeight="1" x14ac:dyDescent="0.25">
      <c r="A9" s="74">
        <v>4</v>
      </c>
      <c r="B9" s="172" t="s">
        <v>123</v>
      </c>
      <c r="C9" s="75" t="s">
        <v>120</v>
      </c>
      <c r="D9" s="183">
        <f t="shared" si="0"/>
        <v>100.735</v>
      </c>
      <c r="E9" s="183">
        <f t="shared" si="1"/>
        <v>68.498000000000005</v>
      </c>
      <c r="F9" s="93">
        <f t="shared" si="2"/>
        <v>32.236999999999995</v>
      </c>
      <c r="G9" s="184">
        <f t="shared" si="3"/>
        <v>0.6799821313346901</v>
      </c>
      <c r="H9" s="79">
        <f t="shared" si="4"/>
        <v>3.3999106566734508E-2</v>
      </c>
      <c r="I9" s="79">
        <v>0.05</v>
      </c>
      <c r="J9" s="75">
        <f>'Курск детальный '!D12</f>
        <v>24.64</v>
      </c>
      <c r="K9" s="75">
        <f>'Курск детальный '!E12</f>
        <v>24.64</v>
      </c>
      <c r="L9" s="93">
        <f t="shared" si="5"/>
        <v>0</v>
      </c>
      <c r="M9" s="79">
        <f t="shared" si="6"/>
        <v>1</v>
      </c>
      <c r="N9" s="79">
        <f t="shared" si="7"/>
        <v>5.000000000000001E-2</v>
      </c>
      <c r="O9" s="75">
        <f>'Пермь детальный'!D11</f>
        <v>16.86</v>
      </c>
      <c r="P9" s="75">
        <f>'Пермь детальный'!E11</f>
        <v>15.510000000000002</v>
      </c>
      <c r="Q9" s="93">
        <f t="shared" si="8"/>
        <v>1.3499999999999979</v>
      </c>
      <c r="R9" s="79">
        <f t="shared" si="9"/>
        <v>0.91992882562277589</v>
      </c>
      <c r="S9" s="79">
        <f t="shared" si="10"/>
        <v>4.5996441281138799E-2</v>
      </c>
      <c r="T9" s="75">
        <f>'Липецк детальный'!D12</f>
        <v>43.41</v>
      </c>
      <c r="U9" s="75">
        <f>'Липецк детальный'!E12</f>
        <v>19.990000000000002</v>
      </c>
      <c r="V9" s="93">
        <f t="shared" si="11"/>
        <v>23.419999999999995</v>
      </c>
      <c r="W9" s="79">
        <f t="shared" si="12"/>
        <v>0.46049297396913164</v>
      </c>
      <c r="X9" s="79">
        <f t="shared" si="13"/>
        <v>2.3024648698456582E-2</v>
      </c>
      <c r="Y9" s="75">
        <f>'Ярославль детальный'!D11</f>
        <v>15.824999999999999</v>
      </c>
      <c r="Z9" s="75">
        <f>'Ярославль детальный'!E11</f>
        <v>8.3580000000000005</v>
      </c>
      <c r="AA9" s="93">
        <f t="shared" si="14"/>
        <v>7.4669999999999987</v>
      </c>
      <c r="AB9" s="79">
        <f t="shared" si="15"/>
        <v>0.52815165876777259</v>
      </c>
      <c r="AC9" s="79">
        <f t="shared" si="16"/>
        <v>2.640758293838863E-2</v>
      </c>
    </row>
    <row r="10" spans="1:29" ht="30.6" customHeight="1" x14ac:dyDescent="0.25">
      <c r="A10" s="74">
        <v>5</v>
      </c>
      <c r="B10" s="172" t="s">
        <v>124</v>
      </c>
      <c r="C10" s="75" t="s">
        <v>120</v>
      </c>
      <c r="D10" s="183">
        <f t="shared" si="0"/>
        <v>100.735</v>
      </c>
      <c r="E10" s="183">
        <f t="shared" si="1"/>
        <v>66.826000000000008</v>
      </c>
      <c r="F10" s="93">
        <f t="shared" si="2"/>
        <v>33.908999999999992</v>
      </c>
      <c r="G10" s="184">
        <f t="shared" si="3"/>
        <v>0.66338412666898305</v>
      </c>
      <c r="H10" s="79">
        <f t="shared" si="4"/>
        <v>0.23218444433414406</v>
      </c>
      <c r="I10" s="79">
        <v>0.35</v>
      </c>
      <c r="J10" s="75">
        <f>'Курск детальный '!D13</f>
        <v>24.64</v>
      </c>
      <c r="K10" s="75">
        <f>'Курск детальный '!E13</f>
        <v>24.200000000000003</v>
      </c>
      <c r="L10" s="93">
        <f t="shared" si="5"/>
        <v>0.43999999999999773</v>
      </c>
      <c r="M10" s="79">
        <f t="shared" si="6"/>
        <v>0.98214285714285721</v>
      </c>
      <c r="N10" s="79">
        <f t="shared" si="7"/>
        <v>0.34375</v>
      </c>
      <c r="O10" s="75">
        <f>'Пермь детальный'!D12</f>
        <v>16.86</v>
      </c>
      <c r="P10" s="75">
        <f>'Пермь детальный'!E12</f>
        <v>15.590000000000002</v>
      </c>
      <c r="Q10" s="93">
        <f t="shared" si="8"/>
        <v>1.2699999999999978</v>
      </c>
      <c r="R10" s="79">
        <f t="shared" si="9"/>
        <v>0.92467378410438916</v>
      </c>
      <c r="S10" s="79">
        <f t="shared" si="10"/>
        <v>0.32363582443653621</v>
      </c>
      <c r="T10" s="75">
        <f>'Липецк детальный'!D13</f>
        <v>43.41</v>
      </c>
      <c r="U10" s="75">
        <f>'Липецк детальный'!E13</f>
        <v>18.77</v>
      </c>
      <c r="V10" s="93">
        <f t="shared" si="11"/>
        <v>24.639999999999997</v>
      </c>
      <c r="W10" s="79">
        <f t="shared" si="12"/>
        <v>0.43238885049527759</v>
      </c>
      <c r="X10" s="79">
        <f t="shared" si="13"/>
        <v>0.15133609767334716</v>
      </c>
      <c r="Y10" s="75">
        <f>'Ярославль детальный'!D12</f>
        <v>15.824999999999999</v>
      </c>
      <c r="Z10" s="75">
        <f>'Ярославль детальный'!E12</f>
        <v>8.266</v>
      </c>
      <c r="AA10" s="93">
        <f t="shared" si="14"/>
        <v>7.5589999999999993</v>
      </c>
      <c r="AB10" s="79">
        <f t="shared" si="15"/>
        <v>0.52233807266982624</v>
      </c>
      <c r="AC10" s="79">
        <f t="shared" si="16"/>
        <v>0.18281832543443918</v>
      </c>
    </row>
    <row r="11" spans="1:29" ht="30.6" customHeight="1" x14ac:dyDescent="0.25">
      <c r="A11" s="77">
        <v>6</v>
      </c>
      <c r="B11" s="173" t="s">
        <v>125</v>
      </c>
      <c r="C11" s="78" t="s">
        <v>120</v>
      </c>
      <c r="D11" s="183">
        <f t="shared" si="0"/>
        <v>100.735</v>
      </c>
      <c r="E11" s="183">
        <f t="shared" si="1"/>
        <v>63.741</v>
      </c>
      <c r="F11" s="93">
        <f t="shared" si="2"/>
        <v>36.994</v>
      </c>
      <c r="G11" s="184">
        <f t="shared" si="3"/>
        <v>0.63275921973494809</v>
      </c>
      <c r="H11" s="79">
        <f t="shared" si="4"/>
        <v>1.8982776592048441E-2</v>
      </c>
      <c r="I11" s="79">
        <v>0.03</v>
      </c>
      <c r="J11" s="75">
        <f>'Курск детальный '!D14</f>
        <v>24.64</v>
      </c>
      <c r="K11" s="75">
        <f>'Курск детальный '!E14</f>
        <v>24.200000000000003</v>
      </c>
      <c r="L11" s="93">
        <f t="shared" si="5"/>
        <v>0.43999999999999773</v>
      </c>
      <c r="M11" s="79">
        <f t="shared" si="6"/>
        <v>0.98214285714285721</v>
      </c>
      <c r="N11" s="79">
        <f t="shared" si="7"/>
        <v>2.9464285714285717E-2</v>
      </c>
      <c r="O11" s="75">
        <f>'Пермь детальный'!D13</f>
        <v>16.86</v>
      </c>
      <c r="P11" s="75">
        <f>'Пермь детальный'!E13</f>
        <v>15.3</v>
      </c>
      <c r="Q11" s="93">
        <f t="shared" si="8"/>
        <v>1.5599999999999987</v>
      </c>
      <c r="R11" s="79">
        <f t="shared" si="9"/>
        <v>0.907473309608541</v>
      </c>
      <c r="S11" s="79">
        <f t="shared" si="10"/>
        <v>2.7224199288256229E-2</v>
      </c>
      <c r="T11" s="75">
        <f>'Липецк детальный'!D14</f>
        <v>43.41</v>
      </c>
      <c r="U11" s="75">
        <f>'Липецк детальный'!E14</f>
        <v>15.99</v>
      </c>
      <c r="V11" s="93">
        <f t="shared" si="11"/>
        <v>27.419999999999995</v>
      </c>
      <c r="W11" s="79">
        <f t="shared" si="12"/>
        <v>0.36834830684174158</v>
      </c>
      <c r="X11" s="79">
        <f t="shared" si="13"/>
        <v>1.1050449205252248E-2</v>
      </c>
      <c r="Y11" s="75">
        <f>'Ярославль детальный'!D13</f>
        <v>15.824999999999999</v>
      </c>
      <c r="Z11" s="75">
        <f>'Ярославль детальный'!E13</f>
        <v>8.2510000000000012</v>
      </c>
      <c r="AA11" s="93">
        <f t="shared" si="14"/>
        <v>7.5739999999999981</v>
      </c>
      <c r="AB11" s="79">
        <f t="shared" si="15"/>
        <v>0.52139020537124814</v>
      </c>
      <c r="AC11" s="79">
        <f t="shared" si="16"/>
        <v>1.5641706161137442E-2</v>
      </c>
    </row>
    <row r="12" spans="1:29" ht="30.6" customHeight="1" x14ac:dyDescent="0.25">
      <c r="A12" s="74">
        <v>7</v>
      </c>
      <c r="B12" s="174" t="s">
        <v>126</v>
      </c>
      <c r="C12" s="75" t="s">
        <v>127</v>
      </c>
      <c r="D12" s="183">
        <f t="shared" si="0"/>
        <v>77053</v>
      </c>
      <c r="E12" s="183">
        <f t="shared" si="1"/>
        <v>32012</v>
      </c>
      <c r="F12" s="93">
        <f t="shared" si="2"/>
        <v>45041</v>
      </c>
      <c r="G12" s="184">
        <f>E12/D12</f>
        <v>0.41545429769119957</v>
      </c>
      <c r="H12" s="79">
        <f t="shared" si="4"/>
        <v>8.3090859538239911E-3</v>
      </c>
      <c r="I12" s="79">
        <v>0.02</v>
      </c>
      <c r="J12" s="75">
        <f>'Курск детальный '!D15</f>
        <v>17303</v>
      </c>
      <c r="K12" s="75">
        <f>'Курск детальный '!E15</f>
        <v>15955</v>
      </c>
      <c r="L12" s="93">
        <f t="shared" si="5"/>
        <v>1348</v>
      </c>
      <c r="M12" s="79">
        <f t="shared" si="6"/>
        <v>0.92209443449112871</v>
      </c>
      <c r="N12" s="79">
        <f t="shared" si="7"/>
        <v>1.8441888689822574E-2</v>
      </c>
      <c r="O12" s="75">
        <f>'Пермь детальный'!D14</f>
        <v>11543</v>
      </c>
      <c r="P12" s="75">
        <f>'Пермь детальный'!E14</f>
        <v>5310</v>
      </c>
      <c r="Q12" s="93">
        <f t="shared" si="8"/>
        <v>6233</v>
      </c>
      <c r="R12" s="79">
        <f t="shared" si="9"/>
        <v>0.46001905917005975</v>
      </c>
      <c r="S12" s="79">
        <f t="shared" si="10"/>
        <v>9.2003811834011958E-3</v>
      </c>
      <c r="T12" s="75">
        <f>'Липецк детальный'!D15</f>
        <v>35241</v>
      </c>
      <c r="U12" s="75">
        <f>'Липецк детальный'!E15</f>
        <v>8312</v>
      </c>
      <c r="V12" s="93">
        <f t="shared" si="11"/>
        <v>26929</v>
      </c>
      <c r="W12" s="79">
        <f t="shared" si="12"/>
        <v>0.2358616384325076</v>
      </c>
      <c r="X12" s="79">
        <f t="shared" si="13"/>
        <v>4.7172327686501522E-3</v>
      </c>
      <c r="Y12" s="75">
        <f>'Ярославль детальный'!D14</f>
        <v>12966</v>
      </c>
      <c r="Z12" s="75">
        <f>'Ярославль детальный'!E14</f>
        <v>2435</v>
      </c>
      <c r="AA12" s="93">
        <f t="shared" si="14"/>
        <v>10531</v>
      </c>
      <c r="AB12" s="79">
        <f t="shared" si="15"/>
        <v>0.18779885855313899</v>
      </c>
      <c r="AC12" s="79">
        <f t="shared" si="16"/>
        <v>3.7559771710627796E-3</v>
      </c>
    </row>
    <row r="13" spans="1:29" ht="30.6" customHeight="1" x14ac:dyDescent="0.25">
      <c r="A13" s="74">
        <v>8</v>
      </c>
      <c r="B13" s="172" t="s">
        <v>128</v>
      </c>
      <c r="C13" s="75" t="s">
        <v>127</v>
      </c>
      <c r="D13" s="183">
        <f t="shared" si="0"/>
        <v>96290</v>
      </c>
      <c r="E13" s="183">
        <f t="shared" si="1"/>
        <v>40035</v>
      </c>
      <c r="F13" s="93">
        <f t="shared" si="2"/>
        <v>56255</v>
      </c>
      <c r="G13" s="184">
        <f t="shared" si="3"/>
        <v>0.41577526222868416</v>
      </c>
      <c r="H13" s="79">
        <f t="shared" si="4"/>
        <v>1.2473257866860526E-2</v>
      </c>
      <c r="I13" s="79">
        <v>0.03</v>
      </c>
      <c r="J13" s="75">
        <f>'Курск детальный '!D16</f>
        <v>6604</v>
      </c>
      <c r="K13" s="75">
        <f>'Курск детальный '!E16</f>
        <v>3588</v>
      </c>
      <c r="L13" s="93">
        <f t="shared" si="5"/>
        <v>3016</v>
      </c>
      <c r="M13" s="79">
        <f t="shared" si="6"/>
        <v>0.54330708661417326</v>
      </c>
      <c r="N13" s="79">
        <f t="shared" si="7"/>
        <v>1.6299212598425195E-2</v>
      </c>
      <c r="O13" s="75">
        <f>'Пермь детальный'!D15</f>
        <v>49653</v>
      </c>
      <c r="P13" s="75">
        <f>'Пермь детальный'!E15</f>
        <v>25807</v>
      </c>
      <c r="Q13" s="93">
        <f t="shared" si="8"/>
        <v>23846</v>
      </c>
      <c r="R13" s="79">
        <f t="shared" si="9"/>
        <v>0.51974704448875197</v>
      </c>
      <c r="S13" s="79">
        <f t="shared" si="10"/>
        <v>1.5592411334662557E-2</v>
      </c>
      <c r="T13" s="75">
        <f>'Липецк детальный'!D16</f>
        <v>14325</v>
      </c>
      <c r="U13" s="75">
        <f>'Липецк детальный'!E16</f>
        <v>7404</v>
      </c>
      <c r="V13" s="93">
        <f t="shared" si="11"/>
        <v>6921</v>
      </c>
      <c r="W13" s="79">
        <f t="shared" si="12"/>
        <v>0.5168586387434555</v>
      </c>
      <c r="X13" s="79">
        <f t="shared" si="13"/>
        <v>1.5505759162303664E-2</v>
      </c>
      <c r="Y13" s="75">
        <f>'Ярославль детальный'!D15</f>
        <v>25708</v>
      </c>
      <c r="Z13" s="75">
        <f>'Ярославль детальный'!E15</f>
        <v>3236</v>
      </c>
      <c r="AA13" s="93">
        <f t="shared" si="14"/>
        <v>22472</v>
      </c>
      <c r="AB13" s="79">
        <f t="shared" si="15"/>
        <v>0.12587521394118562</v>
      </c>
      <c r="AC13" s="79">
        <f t="shared" si="16"/>
        <v>3.7762564182355685E-3</v>
      </c>
    </row>
    <row r="14" spans="1:29" ht="30.6" customHeight="1" x14ac:dyDescent="0.25">
      <c r="A14" s="74">
        <v>9</v>
      </c>
      <c r="B14" s="172" t="s">
        <v>129</v>
      </c>
      <c r="C14" s="75" t="s">
        <v>130</v>
      </c>
      <c r="D14" s="183">
        <f t="shared" si="0"/>
        <v>75323</v>
      </c>
      <c r="E14" s="183">
        <f t="shared" si="1"/>
        <v>29628</v>
      </c>
      <c r="F14" s="93">
        <f t="shared" si="2"/>
        <v>45695</v>
      </c>
      <c r="G14" s="184">
        <f t="shared" si="3"/>
        <v>0.39334598993667275</v>
      </c>
      <c r="H14" s="79">
        <f t="shared" si="4"/>
        <v>1.1800379698100182E-2</v>
      </c>
      <c r="I14" s="79">
        <v>0.03</v>
      </c>
      <c r="J14" s="75">
        <f>'Курск детальный '!D17</f>
        <v>29901</v>
      </c>
      <c r="K14" s="75">
        <f>'Курск детальный '!E17</f>
        <v>22550</v>
      </c>
      <c r="L14" s="93">
        <f t="shared" si="5"/>
        <v>7351</v>
      </c>
      <c r="M14" s="79">
        <f t="shared" si="6"/>
        <v>0.75415537941874855</v>
      </c>
      <c r="N14" s="79">
        <f t="shared" si="7"/>
        <v>2.2624661382562455E-2</v>
      </c>
      <c r="O14" s="75">
        <f>'Пермь детальный'!D16</f>
        <v>11276</v>
      </c>
      <c r="P14" s="75">
        <f>'Пермь детальный'!E16</f>
        <v>1461</v>
      </c>
      <c r="Q14" s="93">
        <f t="shared" si="8"/>
        <v>9815</v>
      </c>
      <c r="R14" s="79">
        <f t="shared" si="9"/>
        <v>0.12956722241929763</v>
      </c>
      <c r="S14" s="79">
        <f t="shared" si="10"/>
        <v>3.8870166725789284E-3</v>
      </c>
      <c r="T14" s="75">
        <f>'Липецк детальный'!D17</f>
        <v>30006</v>
      </c>
      <c r="U14" s="75">
        <f>'Липецк детальный'!E17</f>
        <v>5617</v>
      </c>
      <c r="V14" s="93">
        <f t="shared" si="11"/>
        <v>24389</v>
      </c>
      <c r="W14" s="79">
        <f t="shared" si="12"/>
        <v>0.18719589415450244</v>
      </c>
      <c r="X14" s="79">
        <f t="shared" si="13"/>
        <v>5.6158768246350726E-3</v>
      </c>
      <c r="Y14" s="75">
        <f>'Ярославль детальный'!D16</f>
        <v>4140</v>
      </c>
      <c r="Z14" s="75">
        <f>'Ярославль детальный'!E16</f>
        <v>0</v>
      </c>
      <c r="AA14" s="93">
        <f t="shared" si="14"/>
        <v>4140</v>
      </c>
      <c r="AB14" s="79">
        <f t="shared" si="15"/>
        <v>0</v>
      </c>
      <c r="AC14" s="79">
        <f t="shared" si="16"/>
        <v>0</v>
      </c>
    </row>
    <row r="15" spans="1:29" ht="46.2" customHeight="1" x14ac:dyDescent="0.25">
      <c r="A15" s="74">
        <v>10</v>
      </c>
      <c r="B15" s="174" t="s">
        <v>131</v>
      </c>
      <c r="C15" s="75" t="s">
        <v>127</v>
      </c>
      <c r="D15" s="183">
        <f t="shared" si="0"/>
        <v>2359</v>
      </c>
      <c r="E15" s="183">
        <f t="shared" si="1"/>
        <v>1259</v>
      </c>
      <c r="F15" s="93">
        <f t="shared" si="2"/>
        <v>1100</v>
      </c>
      <c r="G15" s="184">
        <f t="shared" si="3"/>
        <v>0.53370072064434082</v>
      </c>
      <c r="H15" s="79">
        <f t="shared" si="4"/>
        <v>5.3370072064434088E-2</v>
      </c>
      <c r="I15" s="79">
        <v>0.1</v>
      </c>
      <c r="J15" s="75">
        <f>'Курск детальный '!D18</f>
        <v>663</v>
      </c>
      <c r="K15" s="75">
        <f>'Курск детальный '!E18</f>
        <v>643</v>
      </c>
      <c r="L15" s="93">
        <f t="shared" si="5"/>
        <v>20</v>
      </c>
      <c r="M15" s="79">
        <f t="shared" si="6"/>
        <v>0.9698340874811463</v>
      </c>
      <c r="N15" s="79">
        <f t="shared" si="7"/>
        <v>9.6983408748114633E-2</v>
      </c>
      <c r="O15" s="75">
        <f>'Пермь детальный'!D17</f>
        <v>432</v>
      </c>
      <c r="P15" s="75">
        <f>'Пермь детальный'!E17</f>
        <v>160</v>
      </c>
      <c r="Q15" s="93">
        <f t="shared" si="8"/>
        <v>272</v>
      </c>
      <c r="R15" s="79">
        <f t="shared" si="9"/>
        <v>0.37037037037037035</v>
      </c>
      <c r="S15" s="79">
        <f t="shared" si="10"/>
        <v>3.7037037037037035E-2</v>
      </c>
      <c r="T15" s="75">
        <f>'Липецк детальный'!D18</f>
        <v>963</v>
      </c>
      <c r="U15" s="75">
        <f>'Липецк детальный'!E18</f>
        <v>340</v>
      </c>
      <c r="V15" s="93">
        <f t="shared" si="11"/>
        <v>623</v>
      </c>
      <c r="W15" s="79">
        <f t="shared" si="12"/>
        <v>0.35306334371754933</v>
      </c>
      <c r="X15" s="79">
        <f t="shared" si="13"/>
        <v>3.5306334371754934E-2</v>
      </c>
      <c r="Y15" s="75">
        <f>'Ярославль детальный'!D17</f>
        <v>301</v>
      </c>
      <c r="Z15" s="75">
        <f>'Ярославль детальный'!E17</f>
        <v>116</v>
      </c>
      <c r="AA15" s="93">
        <f t="shared" si="14"/>
        <v>185</v>
      </c>
      <c r="AB15" s="79">
        <f t="shared" si="15"/>
        <v>0.38538205980066448</v>
      </c>
      <c r="AC15" s="79">
        <f t="shared" si="16"/>
        <v>3.8538205980066451E-2</v>
      </c>
    </row>
    <row r="16" spans="1:29" ht="30.6" customHeight="1" x14ac:dyDescent="0.25">
      <c r="A16" s="74">
        <v>11</v>
      </c>
      <c r="B16" s="172" t="s">
        <v>132</v>
      </c>
      <c r="C16" s="75" t="s">
        <v>127</v>
      </c>
      <c r="D16" s="183">
        <f t="shared" si="0"/>
        <v>2359</v>
      </c>
      <c r="E16" s="183">
        <f t="shared" si="1"/>
        <v>1085</v>
      </c>
      <c r="F16" s="93">
        <f t="shared" si="2"/>
        <v>1274</v>
      </c>
      <c r="G16" s="184">
        <f t="shared" si="3"/>
        <v>0.4599406528189911</v>
      </c>
      <c r="H16" s="79">
        <f t="shared" si="4"/>
        <v>4.5994065281899109E-2</v>
      </c>
      <c r="I16" s="79">
        <v>0.1</v>
      </c>
      <c r="J16" s="75">
        <f>'Курск детальный '!D19</f>
        <v>663</v>
      </c>
      <c r="K16" s="75">
        <f>'Курск детальный '!E19</f>
        <v>623</v>
      </c>
      <c r="L16" s="93">
        <f t="shared" si="5"/>
        <v>40</v>
      </c>
      <c r="M16" s="79">
        <f t="shared" si="6"/>
        <v>0.9396681749622926</v>
      </c>
      <c r="N16" s="79">
        <f t="shared" si="7"/>
        <v>9.3966817496229274E-2</v>
      </c>
      <c r="O16" s="75">
        <f>'Пермь детальный'!D18</f>
        <v>432</v>
      </c>
      <c r="P16" s="75">
        <f>'Пермь детальный'!E18</f>
        <v>128</v>
      </c>
      <c r="Q16" s="93">
        <f t="shared" si="8"/>
        <v>304</v>
      </c>
      <c r="R16" s="79">
        <f t="shared" si="9"/>
        <v>0.29629629629629628</v>
      </c>
      <c r="S16" s="79">
        <f t="shared" si="10"/>
        <v>2.9629629629629631E-2</v>
      </c>
      <c r="T16" s="75">
        <f>'Липецк детальный'!D19</f>
        <v>963</v>
      </c>
      <c r="U16" s="75">
        <f>'Липецк детальный'!E19</f>
        <v>235</v>
      </c>
      <c r="V16" s="93">
        <f t="shared" si="11"/>
        <v>728</v>
      </c>
      <c r="W16" s="79">
        <f t="shared" si="12"/>
        <v>0.24402907580477673</v>
      </c>
      <c r="X16" s="79">
        <f t="shared" si="13"/>
        <v>2.4402907580477674E-2</v>
      </c>
      <c r="Y16" s="75">
        <f>'Ярославль детальный'!D18</f>
        <v>301</v>
      </c>
      <c r="Z16" s="75">
        <f>'Ярославль детальный'!E18</f>
        <v>99</v>
      </c>
      <c r="AA16" s="93">
        <f t="shared" si="14"/>
        <v>202</v>
      </c>
      <c r="AB16" s="79">
        <f t="shared" si="15"/>
        <v>0.32890365448504982</v>
      </c>
      <c r="AC16" s="79">
        <f t="shared" si="16"/>
        <v>3.2890365448504988E-2</v>
      </c>
    </row>
    <row r="17" spans="1:29" ht="30.6" customHeight="1" x14ac:dyDescent="0.25">
      <c r="A17" s="74">
        <v>12</v>
      </c>
      <c r="B17" s="172" t="s">
        <v>133</v>
      </c>
      <c r="C17" s="75" t="s">
        <v>134</v>
      </c>
      <c r="D17" s="183">
        <f t="shared" si="0"/>
        <v>18209.030000000002</v>
      </c>
      <c r="E17" s="183">
        <f t="shared" si="1"/>
        <v>4766.1799999999994</v>
      </c>
      <c r="F17" s="93">
        <f t="shared" si="2"/>
        <v>13442.850000000002</v>
      </c>
      <c r="G17" s="184">
        <f t="shared" si="3"/>
        <v>0.26174815462438134</v>
      </c>
      <c r="H17" s="79">
        <f t="shared" si="4"/>
        <v>2.6174815462438134E-2</v>
      </c>
      <c r="I17" s="79">
        <v>0.1</v>
      </c>
      <c r="J17" s="75">
        <f>'Курск детальный '!D20</f>
        <v>27.220000000000002</v>
      </c>
      <c r="K17" s="75">
        <f>'Курск детальный '!E20</f>
        <v>21.69</v>
      </c>
      <c r="L17" s="93">
        <f t="shared" si="5"/>
        <v>5.5300000000000011</v>
      </c>
      <c r="M17" s="79">
        <f t="shared" si="6"/>
        <v>0.79684055841293167</v>
      </c>
      <c r="N17" s="79">
        <f t="shared" si="7"/>
        <v>7.9684055841293164E-2</v>
      </c>
      <c r="O17" s="75">
        <f>'Пермь детальный'!D19</f>
        <v>18111</v>
      </c>
      <c r="P17" s="75">
        <f>'Пермь детальный'!E19</f>
        <v>4730</v>
      </c>
      <c r="Q17" s="93">
        <f t="shared" si="8"/>
        <v>13381</v>
      </c>
      <c r="R17" s="79">
        <f t="shared" si="9"/>
        <v>0.26116724642482469</v>
      </c>
      <c r="S17" s="79">
        <f t="shared" si="10"/>
        <v>2.6116724642482471E-2</v>
      </c>
      <c r="T17" s="75">
        <f>'Липецк детальный'!D20</f>
        <v>54.36</v>
      </c>
      <c r="U17" s="75">
        <f>'Липецк детальный'!E20</f>
        <v>8.74</v>
      </c>
      <c r="V17" s="93">
        <f t="shared" si="11"/>
        <v>45.62</v>
      </c>
      <c r="W17" s="79">
        <f t="shared" si="12"/>
        <v>0.16077998528329654</v>
      </c>
      <c r="X17" s="79">
        <f t="shared" si="13"/>
        <v>1.6077998528329657E-2</v>
      </c>
      <c r="Y17" s="75">
        <f>'Ярославль детальный'!D19</f>
        <v>16.45</v>
      </c>
      <c r="Z17" s="75">
        <f>'Ярославль детальный'!E19</f>
        <v>5.75</v>
      </c>
      <c r="AA17" s="93">
        <f t="shared" si="14"/>
        <v>10.7</v>
      </c>
      <c r="AB17" s="79">
        <f t="shared" si="15"/>
        <v>0.34954407294832829</v>
      </c>
      <c r="AC17" s="79">
        <f t="shared" si="16"/>
        <v>3.4954407294832832E-2</v>
      </c>
    </row>
    <row r="18" spans="1:29" ht="48" customHeight="1" x14ac:dyDescent="0.25">
      <c r="A18" s="74">
        <v>13</v>
      </c>
      <c r="B18" s="174" t="s">
        <v>135</v>
      </c>
      <c r="C18" s="75" t="s">
        <v>127</v>
      </c>
      <c r="D18" s="183">
        <f t="shared" si="0"/>
        <v>139</v>
      </c>
      <c r="E18" s="183">
        <f t="shared" si="1"/>
        <v>47</v>
      </c>
      <c r="F18" s="93">
        <f t="shared" si="2"/>
        <v>92</v>
      </c>
      <c r="G18" s="184">
        <f>E18/D18</f>
        <v>0.33812949640287771</v>
      </c>
      <c r="H18" s="79">
        <f t="shared" si="4"/>
        <v>6.7625899280575547E-3</v>
      </c>
      <c r="I18" s="79">
        <v>0.02</v>
      </c>
      <c r="J18" s="75">
        <f>'Курск детальный '!D21</f>
        <v>57</v>
      </c>
      <c r="K18" s="75">
        <f>'Курск детальный '!E21</f>
        <v>45</v>
      </c>
      <c r="L18" s="93">
        <f t="shared" si="5"/>
        <v>12</v>
      </c>
      <c r="M18" s="79">
        <f t="shared" si="6"/>
        <v>0.78947368421052633</v>
      </c>
      <c r="N18" s="79">
        <f t="shared" si="7"/>
        <v>1.5789473684210527E-2</v>
      </c>
      <c r="O18" s="75">
        <f>'Пермь детальный'!D20</f>
        <v>34</v>
      </c>
      <c r="P18" s="75">
        <f>'Пермь детальный'!E20</f>
        <v>2</v>
      </c>
      <c r="Q18" s="93">
        <f t="shared" si="8"/>
        <v>32</v>
      </c>
      <c r="R18" s="79">
        <f t="shared" si="9"/>
        <v>5.8823529411764705E-2</v>
      </c>
      <c r="S18" s="79">
        <f t="shared" si="10"/>
        <v>1.1764705882352942E-3</v>
      </c>
      <c r="T18" s="75">
        <f>'Липецк детальный'!D21</f>
        <v>16</v>
      </c>
      <c r="U18" s="75">
        <f>'Липецк детальный'!E21</f>
        <v>0</v>
      </c>
      <c r="V18" s="93">
        <f t="shared" si="11"/>
        <v>16</v>
      </c>
      <c r="W18" s="79">
        <f t="shared" si="12"/>
        <v>0</v>
      </c>
      <c r="X18" s="79">
        <f t="shared" si="13"/>
        <v>0</v>
      </c>
      <c r="Y18" s="75">
        <f>'Ярославль детальный'!D20</f>
        <v>32</v>
      </c>
      <c r="Z18" s="75">
        <f>'Ярославль детальный'!E20</f>
        <v>0</v>
      </c>
      <c r="AA18" s="93">
        <f t="shared" si="14"/>
        <v>32</v>
      </c>
      <c r="AB18" s="79">
        <f t="shared" si="15"/>
        <v>0</v>
      </c>
      <c r="AC18" s="79">
        <f t="shared" si="16"/>
        <v>0</v>
      </c>
    </row>
    <row r="19" spans="1:29" ht="30.6" customHeight="1" x14ac:dyDescent="0.25">
      <c r="A19" s="74">
        <v>14</v>
      </c>
      <c r="B19" s="174" t="s">
        <v>136</v>
      </c>
      <c r="C19" s="75" t="s">
        <v>127</v>
      </c>
      <c r="D19" s="183">
        <f t="shared" si="0"/>
        <v>170</v>
      </c>
      <c r="E19" s="183">
        <f t="shared" si="1"/>
        <v>58</v>
      </c>
      <c r="F19" s="93">
        <f t="shared" si="2"/>
        <v>112</v>
      </c>
      <c r="G19" s="184">
        <f t="shared" si="3"/>
        <v>0.3411764705882353</v>
      </c>
      <c r="H19" s="79">
        <f t="shared" si="4"/>
        <v>6.8235294117647057E-3</v>
      </c>
      <c r="I19" s="79">
        <v>0.02</v>
      </c>
      <c r="J19" s="75">
        <f>'Курск детальный '!D22</f>
        <v>57</v>
      </c>
      <c r="K19" s="75">
        <f>'Курск детальный '!E22</f>
        <v>45</v>
      </c>
      <c r="L19" s="93">
        <f t="shared" si="5"/>
        <v>12</v>
      </c>
      <c r="M19" s="79">
        <f t="shared" si="6"/>
        <v>0.78947368421052633</v>
      </c>
      <c r="N19" s="79">
        <f t="shared" si="7"/>
        <v>1.5789473684210527E-2</v>
      </c>
      <c r="O19" s="75">
        <f>'Пермь детальный'!D21</f>
        <v>34</v>
      </c>
      <c r="P19" s="75">
        <f>'Пермь детальный'!E21</f>
        <v>3</v>
      </c>
      <c r="Q19" s="93">
        <f t="shared" si="8"/>
        <v>31</v>
      </c>
      <c r="R19" s="79">
        <f t="shared" si="9"/>
        <v>8.8235294117647065E-2</v>
      </c>
      <c r="S19" s="79">
        <f t="shared" si="10"/>
        <v>1.764705882352941E-3</v>
      </c>
      <c r="T19" s="75">
        <f>'Липецк детальный'!D22</f>
        <v>47</v>
      </c>
      <c r="U19" s="75">
        <f>'Липецк детальный'!E22</f>
        <v>0</v>
      </c>
      <c r="V19" s="93">
        <f t="shared" si="11"/>
        <v>47</v>
      </c>
      <c r="W19" s="79">
        <f t="shared" si="12"/>
        <v>0</v>
      </c>
      <c r="X19" s="79">
        <f t="shared" si="13"/>
        <v>0</v>
      </c>
      <c r="Y19" s="75">
        <f>'Ярославль детальный'!D21</f>
        <v>32</v>
      </c>
      <c r="Z19" s="75">
        <f>'Ярославль детальный'!E21</f>
        <v>10</v>
      </c>
      <c r="AA19" s="93">
        <f t="shared" si="14"/>
        <v>22</v>
      </c>
      <c r="AB19" s="79">
        <f t="shared" si="15"/>
        <v>0.3125</v>
      </c>
      <c r="AC19" s="79">
        <f t="shared" si="16"/>
        <v>6.2500000000000003E-3</v>
      </c>
    </row>
    <row r="20" spans="1:29" x14ac:dyDescent="0.25">
      <c r="B20" s="80"/>
      <c r="C20" s="80"/>
      <c r="D20" s="185"/>
      <c r="E20" s="185"/>
      <c r="F20" s="185"/>
      <c r="G20" s="185"/>
      <c r="H20" s="80"/>
      <c r="I20" s="80"/>
      <c r="J20" s="80"/>
      <c r="K20" s="80"/>
      <c r="L20" s="80"/>
      <c r="M20" s="80"/>
      <c r="N20" s="80"/>
      <c r="O20" s="80"/>
      <c r="Q20" s="80"/>
      <c r="V20" s="80"/>
      <c r="AA20" s="80"/>
    </row>
    <row r="21" spans="1:29" x14ac:dyDescent="0.25">
      <c r="B21" s="80"/>
      <c r="C21" s="80"/>
      <c r="D21" s="185"/>
      <c r="E21" s="185"/>
      <c r="F21" s="185"/>
      <c r="G21" s="185"/>
      <c r="H21" s="80"/>
      <c r="I21" s="80"/>
      <c r="J21" s="80"/>
      <c r="K21" s="80"/>
      <c r="L21" s="80"/>
      <c r="M21" s="80"/>
      <c r="N21" s="80"/>
      <c r="O21" s="80"/>
      <c r="Q21" s="80"/>
      <c r="V21" s="80"/>
      <c r="AA21" s="80"/>
    </row>
  </sheetData>
  <mergeCells count="31">
    <mergeCell ref="A5:C5"/>
    <mergeCell ref="D5:G5"/>
    <mergeCell ref="J5:M5"/>
    <mergeCell ref="O5:R5"/>
    <mergeCell ref="T5:W5"/>
    <mergeCell ref="Y5:AB5"/>
    <mergeCell ref="X2:X5"/>
    <mergeCell ref="S2:S5"/>
    <mergeCell ref="A4:B4"/>
    <mergeCell ref="D4:G4"/>
    <mergeCell ref="J4:M4"/>
    <mergeCell ref="O4:R4"/>
    <mergeCell ref="T4:W4"/>
    <mergeCell ref="Y4:AB4"/>
    <mergeCell ref="N2:N5"/>
    <mergeCell ref="A3:B3"/>
    <mergeCell ref="C3:C4"/>
    <mergeCell ref="D3:G3"/>
    <mergeCell ref="J3:M3"/>
    <mergeCell ref="O3:R3"/>
    <mergeCell ref="T3:W3"/>
    <mergeCell ref="Y3:AB3"/>
    <mergeCell ref="T1:W1"/>
    <mergeCell ref="Y1:AB1"/>
    <mergeCell ref="AC2:AC5"/>
    <mergeCell ref="A1:A2"/>
    <mergeCell ref="B1:B2"/>
    <mergeCell ref="C1:C2"/>
    <mergeCell ref="D1:G1"/>
    <mergeCell ref="J1:M1"/>
    <mergeCell ref="O1:R1"/>
  </mergeCells>
  <conditionalFormatting sqref="G6:I19">
    <cfRule type="dataBar" priority="17">
      <dataBar>
        <cfvo type="min"/>
        <cfvo type="num" val="1"/>
        <color theme="4" tint="0.79998168889431442"/>
      </dataBar>
      <extLst>
        <ext xmlns:x14="http://schemas.microsoft.com/office/spreadsheetml/2009/9/main" uri="{B025F937-C7B1-47D3-B67F-A62EFF666E3E}">
          <x14:id>{7626A8A3-6DFF-48A3-90C6-167237EF45DF}</x14:id>
        </ext>
      </extLst>
    </cfRule>
  </conditionalFormatting>
  <conditionalFormatting sqref="M6:M19">
    <cfRule type="dataBar" priority="16">
      <dataBar>
        <cfvo type="min"/>
        <cfvo type="num" val="1"/>
        <color theme="4" tint="0.79998168889431442"/>
      </dataBar>
      <extLst>
        <ext xmlns:x14="http://schemas.microsoft.com/office/spreadsheetml/2009/9/main" uri="{B025F937-C7B1-47D3-B67F-A62EFF666E3E}">
          <x14:id>{0A6B4C6E-3CA3-4ED3-86BE-D96EB99F0871}</x14:id>
        </ext>
      </extLst>
    </cfRule>
  </conditionalFormatting>
  <conditionalFormatting sqref="R6:R19">
    <cfRule type="dataBar" priority="15">
      <dataBar>
        <cfvo type="min"/>
        <cfvo type="num" val="1"/>
        <color theme="4" tint="0.79998168889431442"/>
      </dataBar>
      <extLst>
        <ext xmlns:x14="http://schemas.microsoft.com/office/spreadsheetml/2009/9/main" uri="{B025F937-C7B1-47D3-B67F-A62EFF666E3E}">
          <x14:id>{DA45A087-03F9-43B1-8EAF-DDB56B0B8770}</x14:id>
        </ext>
      </extLst>
    </cfRule>
  </conditionalFormatting>
  <conditionalFormatting sqref="W6:W19">
    <cfRule type="dataBar" priority="14">
      <dataBar>
        <cfvo type="min"/>
        <cfvo type="num" val="1"/>
        <color theme="4" tint="0.79998168889431442"/>
      </dataBar>
      <extLst>
        <ext xmlns:x14="http://schemas.microsoft.com/office/spreadsheetml/2009/9/main" uri="{B025F937-C7B1-47D3-B67F-A62EFF666E3E}">
          <x14:id>{23694CFB-3B44-4211-B84E-6E3AF9F47F3A}</x14:id>
        </ext>
      </extLst>
    </cfRule>
  </conditionalFormatting>
  <conditionalFormatting sqref="AB6:AB19">
    <cfRule type="dataBar" priority="13">
      <dataBar>
        <cfvo type="min"/>
        <cfvo type="num" val="1"/>
        <color theme="4" tint="0.79998168889431442"/>
      </dataBar>
      <extLst>
        <ext xmlns:x14="http://schemas.microsoft.com/office/spreadsheetml/2009/9/main" uri="{B025F937-C7B1-47D3-B67F-A62EFF666E3E}">
          <x14:id>{F145ABF0-A5C0-4E4B-87E2-B00A2A6D03A5}</x14:id>
        </ext>
      </extLst>
    </cfRule>
  </conditionalFormatting>
  <conditionalFormatting sqref="D5">
    <cfRule type="dataBar" priority="11">
      <dataBar>
        <cfvo type="min"/>
        <cfvo type="num" val="1"/>
        <color theme="4" tint="0.79998168889431442"/>
      </dataBar>
      <extLst>
        <ext xmlns:x14="http://schemas.microsoft.com/office/spreadsheetml/2009/9/main" uri="{B025F937-C7B1-47D3-B67F-A62EFF666E3E}">
          <x14:id>{A3B4FE0A-98BC-4155-8D0E-FCAB33136CB4}</x14:id>
        </ext>
      </extLst>
    </cfRule>
  </conditionalFormatting>
  <conditionalFormatting sqref="J5">
    <cfRule type="dataBar" priority="10">
      <dataBar>
        <cfvo type="min"/>
        <cfvo type="num" val="1"/>
        <color theme="4" tint="0.79998168889431442"/>
      </dataBar>
      <extLst>
        <ext xmlns:x14="http://schemas.microsoft.com/office/spreadsheetml/2009/9/main" uri="{B025F937-C7B1-47D3-B67F-A62EFF666E3E}">
          <x14:id>{E8434837-26BA-4637-99A5-8448231BFA8A}</x14:id>
        </ext>
      </extLst>
    </cfRule>
  </conditionalFormatting>
  <conditionalFormatting sqref="O5">
    <cfRule type="dataBar" priority="9">
      <dataBar>
        <cfvo type="min"/>
        <cfvo type="num" val="1"/>
        <color theme="4" tint="0.79998168889431442"/>
      </dataBar>
      <extLst>
        <ext xmlns:x14="http://schemas.microsoft.com/office/spreadsheetml/2009/9/main" uri="{B025F937-C7B1-47D3-B67F-A62EFF666E3E}">
          <x14:id>{81D6E082-9A3F-4E3A-A1AF-0E56961DDE37}</x14:id>
        </ext>
      </extLst>
    </cfRule>
  </conditionalFormatting>
  <conditionalFormatting sqref="T5">
    <cfRule type="dataBar" priority="8">
      <dataBar>
        <cfvo type="min"/>
        <cfvo type="num" val="1"/>
        <color theme="4" tint="0.79998168889431442"/>
      </dataBar>
      <extLst>
        <ext xmlns:x14="http://schemas.microsoft.com/office/spreadsheetml/2009/9/main" uri="{B025F937-C7B1-47D3-B67F-A62EFF666E3E}">
          <x14:id>{D5094EF2-6A9B-4C2E-B44B-FEF1F024C7F0}</x14:id>
        </ext>
      </extLst>
    </cfRule>
  </conditionalFormatting>
  <conditionalFormatting sqref="Y5">
    <cfRule type="dataBar" priority="7">
      <dataBar>
        <cfvo type="min"/>
        <cfvo type="num" val="1"/>
        <color theme="4" tint="0.79998168889431442"/>
      </dataBar>
      <extLst>
        <ext xmlns:x14="http://schemas.microsoft.com/office/spreadsheetml/2009/9/main" uri="{B025F937-C7B1-47D3-B67F-A62EFF666E3E}">
          <x14:id>{8F2D096A-5558-4446-A7AF-44CD10E9440A}</x14:id>
        </ext>
      </extLst>
    </cfRule>
  </conditionalFormatting>
  <conditionalFormatting sqref="N6:N19">
    <cfRule type="dataBar" priority="5">
      <dataBar>
        <cfvo type="min"/>
        <cfvo type="num" val="1"/>
        <color theme="4" tint="0.79998168889431442"/>
      </dataBar>
      <extLst>
        <ext xmlns:x14="http://schemas.microsoft.com/office/spreadsheetml/2009/9/main" uri="{B025F937-C7B1-47D3-B67F-A62EFF666E3E}">
          <x14:id>{C2071528-5272-415D-898D-C919ACEECD93}</x14:id>
        </ext>
      </extLst>
    </cfRule>
  </conditionalFormatting>
  <conditionalFormatting sqref="S6:S19">
    <cfRule type="dataBar" priority="4">
      <dataBar>
        <cfvo type="min"/>
        <cfvo type="num" val="1"/>
        <color theme="4" tint="0.79998168889431442"/>
      </dataBar>
      <extLst>
        <ext xmlns:x14="http://schemas.microsoft.com/office/spreadsheetml/2009/9/main" uri="{B025F937-C7B1-47D3-B67F-A62EFF666E3E}">
          <x14:id>{CB6CFAE7-DFBF-4EFB-A67B-AA9EA0CD626E}</x14:id>
        </ext>
      </extLst>
    </cfRule>
  </conditionalFormatting>
  <conditionalFormatting sqref="X6:X19">
    <cfRule type="dataBar" priority="3">
      <dataBar>
        <cfvo type="min"/>
        <cfvo type="num" val="1"/>
        <color theme="4" tint="0.79998168889431442"/>
      </dataBar>
      <extLst>
        <ext xmlns:x14="http://schemas.microsoft.com/office/spreadsheetml/2009/9/main" uri="{B025F937-C7B1-47D3-B67F-A62EFF666E3E}">
          <x14:id>{CB5B1117-E821-4337-A0C1-FFC0FD137B83}</x14:id>
        </ext>
      </extLst>
    </cfRule>
  </conditionalFormatting>
  <conditionalFormatting sqref="AC6:AC19">
    <cfRule type="dataBar" priority="2">
      <dataBar>
        <cfvo type="min"/>
        <cfvo type="num" val="1"/>
        <color theme="4" tint="0.79998168889431442"/>
      </dataBar>
      <extLst>
        <ext xmlns:x14="http://schemas.microsoft.com/office/spreadsheetml/2009/9/main" uri="{B025F937-C7B1-47D3-B67F-A62EFF666E3E}">
          <x14:id>{12E78E30-8325-43CB-995F-625816909089}</x14:id>
        </ext>
      </extLst>
    </cfRule>
  </conditionalFormatting>
  <pageMargins left="0.7" right="0.7" top="0.75" bottom="0.75" header="0.3" footer="0.3"/>
  <pageSetup paperSize="8" scale="72" fitToHeight="0" orientation="landscape" r:id="rId1"/>
  <extLst>
    <ext xmlns:x14="http://schemas.microsoft.com/office/spreadsheetml/2009/9/main" uri="{78C0D931-6437-407d-A8EE-F0AAD7539E65}">
      <x14:conditionalFormattings>
        <x14:conditionalFormatting xmlns:xm="http://schemas.microsoft.com/office/excel/2006/main">
          <x14:cfRule type="dataBar" id="{7626A8A3-6DFF-48A3-90C6-167237EF45DF}">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G6:I19</xm:sqref>
        </x14:conditionalFormatting>
        <x14:conditionalFormatting xmlns:xm="http://schemas.microsoft.com/office/excel/2006/main">
          <x14:cfRule type="dataBar" id="{0A6B4C6E-3CA3-4ED3-86BE-D96EB99F0871}">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M6:M19</xm:sqref>
        </x14:conditionalFormatting>
        <x14:conditionalFormatting xmlns:xm="http://schemas.microsoft.com/office/excel/2006/main">
          <x14:cfRule type="dataBar" id="{DA45A087-03F9-43B1-8EAF-DDB56B0B8770}">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R6:R19</xm:sqref>
        </x14:conditionalFormatting>
        <x14:conditionalFormatting xmlns:xm="http://schemas.microsoft.com/office/excel/2006/main">
          <x14:cfRule type="dataBar" id="{23694CFB-3B44-4211-B84E-6E3AF9F47F3A}">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W6:W19</xm:sqref>
        </x14:conditionalFormatting>
        <x14:conditionalFormatting xmlns:xm="http://schemas.microsoft.com/office/excel/2006/main">
          <x14:cfRule type="dataBar" id="{F145ABF0-A5C0-4E4B-87E2-B00A2A6D03A5}">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AB6:AB19</xm:sqref>
        </x14:conditionalFormatting>
        <x14:conditionalFormatting xmlns:xm="http://schemas.microsoft.com/office/excel/2006/main">
          <x14:cfRule type="dataBar" id="{A3B4FE0A-98BC-4155-8D0E-FCAB33136CB4}">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D5</xm:sqref>
        </x14:conditionalFormatting>
        <x14:conditionalFormatting xmlns:xm="http://schemas.microsoft.com/office/excel/2006/main">
          <x14:cfRule type="dataBar" id="{E8434837-26BA-4637-99A5-8448231BFA8A}">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J5</xm:sqref>
        </x14:conditionalFormatting>
        <x14:conditionalFormatting xmlns:xm="http://schemas.microsoft.com/office/excel/2006/main">
          <x14:cfRule type="dataBar" id="{81D6E082-9A3F-4E3A-A1AF-0E56961DDE37}">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O5</xm:sqref>
        </x14:conditionalFormatting>
        <x14:conditionalFormatting xmlns:xm="http://schemas.microsoft.com/office/excel/2006/main">
          <x14:cfRule type="dataBar" id="{D5094EF2-6A9B-4C2E-B44B-FEF1F024C7F0}">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T5</xm:sqref>
        </x14:conditionalFormatting>
        <x14:conditionalFormatting xmlns:xm="http://schemas.microsoft.com/office/excel/2006/main">
          <x14:cfRule type="dataBar" id="{8F2D096A-5558-4446-A7AF-44CD10E9440A}">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Y5</xm:sqref>
        </x14:conditionalFormatting>
        <x14:conditionalFormatting xmlns:xm="http://schemas.microsoft.com/office/excel/2006/main">
          <x14:cfRule type="dataBar" id="{C2071528-5272-415D-898D-C919ACEECD93}">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N6:N19</xm:sqref>
        </x14:conditionalFormatting>
        <x14:conditionalFormatting xmlns:xm="http://schemas.microsoft.com/office/excel/2006/main">
          <x14:cfRule type="dataBar" id="{CB6CFAE7-DFBF-4EFB-A67B-AA9EA0CD626E}">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S6:S19</xm:sqref>
        </x14:conditionalFormatting>
        <x14:conditionalFormatting xmlns:xm="http://schemas.microsoft.com/office/excel/2006/main">
          <x14:cfRule type="dataBar" id="{CB5B1117-E821-4337-A0C1-FFC0FD137B83}">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X6:X19</xm:sqref>
        </x14:conditionalFormatting>
        <x14:conditionalFormatting xmlns:xm="http://schemas.microsoft.com/office/excel/2006/main">
          <x14:cfRule type="dataBar" id="{12E78E30-8325-43CB-995F-625816909089}">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AC6:AC19</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0B553-19B5-4A08-B2E8-8BE42E6B0DC1}">
  <sheetPr>
    <pageSetUpPr fitToPage="1"/>
  </sheetPr>
  <dimension ref="A1:Q13"/>
  <sheetViews>
    <sheetView view="pageBreakPreview" zoomScale="70" zoomScaleNormal="70" zoomScaleSheetLayoutView="70" workbookViewId="0">
      <pane xSplit="1" ySplit="3" topLeftCell="B4" activePane="bottomRight" state="frozen"/>
      <selection pane="topRight" activeCell="B1" sqref="B1"/>
      <selection pane="bottomLeft" activeCell="A4" sqref="A4"/>
      <selection pane="bottomRight" activeCell="F9" sqref="F9"/>
    </sheetView>
  </sheetViews>
  <sheetFormatPr defaultRowHeight="18" x14ac:dyDescent="0.3"/>
  <cols>
    <col min="1" max="1" width="14.88671875" style="7" customWidth="1"/>
    <col min="2" max="2" width="15.109375" style="7" customWidth="1"/>
    <col min="3" max="3" width="20.77734375" style="7" customWidth="1"/>
    <col min="4" max="4" width="74.88671875" style="2" customWidth="1"/>
    <col min="5" max="5" width="10.21875" style="7" bestFit="1" customWidth="1"/>
    <col min="6" max="7" width="14.77734375" style="7" customWidth="1"/>
    <col min="8" max="8" width="12.21875" style="7" customWidth="1"/>
    <col min="9" max="9" width="35.109375" style="2" customWidth="1"/>
    <col min="10" max="10" width="22.21875" style="7" bestFit="1" customWidth="1"/>
    <col min="11" max="11" width="22.21875" style="7" customWidth="1"/>
    <col min="12" max="12" width="21.77734375" style="7" customWidth="1"/>
    <col min="13" max="13" width="20" style="7" customWidth="1"/>
    <col min="14" max="14" width="20" style="7" hidden="1" customWidth="1"/>
    <col min="15" max="15" width="13.77734375" style="7" customWidth="1"/>
    <col min="16" max="16" width="15.33203125" style="14" customWidth="1"/>
    <col min="17" max="17" width="8.88671875" style="15"/>
    <col min="18" max="16384" width="8.88671875" style="1"/>
  </cols>
  <sheetData>
    <row r="1" spans="1:17" ht="33.6" customHeight="1" x14ac:dyDescent="0.3">
      <c r="A1" s="48" t="s">
        <v>100</v>
      </c>
      <c r="B1" s="48"/>
      <c r="C1" s="48"/>
      <c r="D1" s="48"/>
      <c r="E1" s="48"/>
      <c r="F1" s="48"/>
      <c r="G1" s="48"/>
      <c r="H1" s="48"/>
      <c r="I1" s="48"/>
      <c r="J1" s="48"/>
      <c r="K1" s="48"/>
      <c r="L1" s="48"/>
      <c r="M1" s="48"/>
      <c r="N1" s="48"/>
      <c r="O1" s="48"/>
    </row>
    <row r="2" spans="1:17" ht="23.4" customHeight="1" x14ac:dyDescent="0.3">
      <c r="A2" s="32" t="s">
        <v>0</v>
      </c>
      <c r="B2" s="54" t="s">
        <v>1</v>
      </c>
      <c r="C2" s="54"/>
      <c r="D2" s="32" t="s">
        <v>2</v>
      </c>
      <c r="E2" s="32" t="s">
        <v>85</v>
      </c>
      <c r="F2" s="54" t="s">
        <v>3</v>
      </c>
      <c r="G2" s="54"/>
      <c r="H2" s="54"/>
      <c r="I2" s="32" t="s">
        <v>99</v>
      </c>
      <c r="J2" s="32" t="s">
        <v>105</v>
      </c>
      <c r="K2" s="44" t="s">
        <v>104</v>
      </c>
      <c r="L2" s="32" t="s">
        <v>90</v>
      </c>
      <c r="M2" s="57" t="s">
        <v>91</v>
      </c>
      <c r="N2" s="57" t="s">
        <v>92</v>
      </c>
      <c r="O2" s="57" t="s">
        <v>4</v>
      </c>
      <c r="P2" s="33" t="s">
        <v>54</v>
      </c>
      <c r="Q2" s="1"/>
    </row>
    <row r="3" spans="1:17" ht="93" customHeight="1" x14ac:dyDescent="0.3">
      <c r="A3" s="32"/>
      <c r="B3" s="16" t="s">
        <v>22</v>
      </c>
      <c r="C3" s="17" t="s">
        <v>21</v>
      </c>
      <c r="D3" s="32"/>
      <c r="E3" s="32"/>
      <c r="F3" s="18" t="s">
        <v>86</v>
      </c>
      <c r="G3" s="16" t="s">
        <v>87</v>
      </c>
      <c r="H3" s="16" t="s">
        <v>88</v>
      </c>
      <c r="I3" s="32"/>
      <c r="J3" s="32"/>
      <c r="K3" s="45"/>
      <c r="L3" s="32"/>
      <c r="M3" s="57"/>
      <c r="N3" s="57"/>
      <c r="O3" s="57"/>
      <c r="P3" s="34"/>
      <c r="Q3" s="1"/>
    </row>
    <row r="4" spans="1:17" s="10" customFormat="1" ht="40.799999999999997" customHeight="1" x14ac:dyDescent="0.3">
      <c r="A4" s="49" t="s">
        <v>71</v>
      </c>
      <c r="B4" s="50"/>
      <c r="C4" s="50"/>
      <c r="D4" s="27" t="s">
        <v>102</v>
      </c>
      <c r="E4" s="31">
        <f>SUM(E6:E10)</f>
        <v>15.75</v>
      </c>
      <c r="F4" s="46">
        <f>'Ярославль детальный'!D7</f>
        <v>0.44533955053949731</v>
      </c>
      <c r="G4" s="46">
        <f>'Ярославль детальный'!F12</f>
        <v>0.52233807266982624</v>
      </c>
      <c r="H4" s="46">
        <f>AVERAGE(H6:H10)</f>
        <v>0.54</v>
      </c>
      <c r="I4" s="55" t="s">
        <v>98</v>
      </c>
      <c r="J4" s="36">
        <f>SUM(J6:J12)</f>
        <v>4479673</v>
      </c>
      <c r="K4" s="36">
        <f>SUM(K6:K12)</f>
        <v>4697180</v>
      </c>
      <c r="L4" s="12">
        <f>SUM(L6:L12)</f>
        <v>96360</v>
      </c>
      <c r="M4" s="12">
        <f>SUM(M6)</f>
        <v>572235.86650999996</v>
      </c>
      <c r="N4" s="36">
        <f>SUM(N6)</f>
        <v>475875.86650999996</v>
      </c>
      <c r="O4" s="58">
        <v>0</v>
      </c>
      <c r="P4" s="34"/>
    </row>
    <row r="5" spans="1:17" s="10" customFormat="1" ht="40.799999999999997" customHeight="1" x14ac:dyDescent="0.3">
      <c r="A5" s="51"/>
      <c r="B5" s="52"/>
      <c r="C5" s="52"/>
      <c r="D5" s="11" t="s">
        <v>101</v>
      </c>
      <c r="E5" s="28">
        <f>SUM(E6:E10)</f>
        <v>15.75</v>
      </c>
      <c r="F5" s="47"/>
      <c r="G5" s="47"/>
      <c r="H5" s="47"/>
      <c r="I5" s="56"/>
      <c r="J5" s="37"/>
      <c r="K5" s="37"/>
      <c r="L5" s="13">
        <f>L4/J4</f>
        <v>2.1510498645771689E-2</v>
      </c>
      <c r="M5" s="13">
        <f>M4*100%/J4</f>
        <v>0.12774054412230534</v>
      </c>
      <c r="N5" s="37"/>
      <c r="O5" s="59"/>
      <c r="P5" s="35"/>
    </row>
    <row r="6" spans="1:17" ht="69" customHeight="1" x14ac:dyDescent="0.3">
      <c r="A6" s="32" t="s">
        <v>72</v>
      </c>
      <c r="B6" s="5">
        <v>1</v>
      </c>
      <c r="C6" s="4" t="s">
        <v>24</v>
      </c>
      <c r="D6" s="20" t="s">
        <v>79</v>
      </c>
      <c r="E6" s="6">
        <v>5.55</v>
      </c>
      <c r="F6" s="19">
        <f>'Ярославль детальный'!I7</f>
        <v>0.93013982947837925</v>
      </c>
      <c r="G6" s="19">
        <f>'Ярославль детальный'!K12</f>
        <v>1</v>
      </c>
      <c r="H6" s="19">
        <v>0.98</v>
      </c>
      <c r="I6" s="21" t="s">
        <v>75</v>
      </c>
      <c r="J6" s="9">
        <v>891931</v>
      </c>
      <c r="K6" s="24">
        <v>1109438</v>
      </c>
      <c r="L6" s="9">
        <v>96360</v>
      </c>
      <c r="M6" s="38">
        <f>572235866.51/1000</f>
        <v>572235.86650999996</v>
      </c>
      <c r="N6" s="40">
        <v>475875.86650999996</v>
      </c>
      <c r="O6" s="8" t="s">
        <v>84</v>
      </c>
      <c r="P6" s="19">
        <f t="shared" ref="P6:P10" si="0">L6/J6</f>
        <v>0.10803526281741525</v>
      </c>
      <c r="Q6" s="1"/>
    </row>
    <row r="7" spans="1:17" ht="69" customHeight="1" x14ac:dyDescent="0.3">
      <c r="A7" s="32"/>
      <c r="B7" s="8" t="s">
        <v>73</v>
      </c>
      <c r="C7" s="4" t="s">
        <v>74</v>
      </c>
      <c r="D7" s="20" t="s">
        <v>80</v>
      </c>
      <c r="E7" s="6" t="s">
        <v>23</v>
      </c>
      <c r="F7" s="19">
        <v>0.3</v>
      </c>
      <c r="G7" s="61" t="s">
        <v>23</v>
      </c>
      <c r="H7" s="61"/>
      <c r="I7" s="21" t="s">
        <v>75</v>
      </c>
      <c r="J7" s="9">
        <v>183225</v>
      </c>
      <c r="K7" s="30">
        <f>J7</f>
        <v>183225</v>
      </c>
      <c r="L7" s="9">
        <v>0</v>
      </c>
      <c r="M7" s="38"/>
      <c r="N7" s="40"/>
      <c r="O7" s="8" t="s">
        <v>23</v>
      </c>
      <c r="P7" s="19">
        <f t="shared" si="0"/>
        <v>0</v>
      </c>
      <c r="Q7" s="1"/>
    </row>
    <row r="8" spans="1:17" ht="69" customHeight="1" x14ac:dyDescent="0.3">
      <c r="A8" s="32"/>
      <c r="B8" s="5">
        <v>2</v>
      </c>
      <c r="C8" s="4" t="s">
        <v>7</v>
      </c>
      <c r="D8" s="20" t="s">
        <v>81</v>
      </c>
      <c r="E8" s="5">
        <v>10.199999999999999</v>
      </c>
      <c r="F8" s="19">
        <f>'Ярославль детальный'!M7</f>
        <v>0.19977171438214258</v>
      </c>
      <c r="G8" s="19">
        <f>'Ярославль детальный'!O12</f>
        <v>0.26253658536585367</v>
      </c>
      <c r="H8" s="19">
        <v>0.1</v>
      </c>
      <c r="I8" s="21" t="s">
        <v>76</v>
      </c>
      <c r="J8" s="9">
        <v>2195227</v>
      </c>
      <c r="K8" s="30">
        <f>J8</f>
        <v>2195227</v>
      </c>
      <c r="L8" s="9">
        <v>0</v>
      </c>
      <c r="M8" s="38"/>
      <c r="N8" s="40"/>
      <c r="O8" s="8" t="s">
        <v>84</v>
      </c>
      <c r="P8" s="19">
        <f t="shared" si="0"/>
        <v>0</v>
      </c>
      <c r="Q8" s="1"/>
    </row>
    <row r="9" spans="1:17" ht="69" customHeight="1" x14ac:dyDescent="0.3">
      <c r="A9" s="32"/>
      <c r="B9" s="39" t="s">
        <v>23</v>
      </c>
      <c r="C9" s="4" t="s">
        <v>9</v>
      </c>
      <c r="D9" s="20" t="s">
        <v>77</v>
      </c>
      <c r="E9" s="5" t="s">
        <v>23</v>
      </c>
      <c r="F9" s="19">
        <v>0</v>
      </c>
      <c r="G9" s="61" t="s">
        <v>23</v>
      </c>
      <c r="H9" s="61"/>
      <c r="I9" s="21" t="s">
        <v>82</v>
      </c>
      <c r="J9" s="9">
        <v>381563</v>
      </c>
      <c r="K9" s="30">
        <f>J9</f>
        <v>381563</v>
      </c>
      <c r="L9" s="9">
        <v>0</v>
      </c>
      <c r="M9" s="38"/>
      <c r="N9" s="40"/>
      <c r="O9" s="64" t="s">
        <v>23</v>
      </c>
      <c r="P9" s="19">
        <f t="shared" si="0"/>
        <v>0</v>
      </c>
      <c r="Q9" s="1"/>
    </row>
    <row r="10" spans="1:17" ht="69" customHeight="1" x14ac:dyDescent="0.3">
      <c r="A10" s="32"/>
      <c r="B10" s="39"/>
      <c r="C10" s="4" t="s">
        <v>8</v>
      </c>
      <c r="D10" s="20" t="s">
        <v>78</v>
      </c>
      <c r="E10" s="5" t="s">
        <v>23</v>
      </c>
      <c r="F10" s="19">
        <v>0</v>
      </c>
      <c r="G10" s="61"/>
      <c r="H10" s="61"/>
      <c r="I10" s="21" t="s">
        <v>83</v>
      </c>
      <c r="J10" s="9">
        <v>827727</v>
      </c>
      <c r="K10" s="30">
        <f>J10</f>
        <v>827727</v>
      </c>
      <c r="L10" s="9">
        <v>0</v>
      </c>
      <c r="M10" s="38"/>
      <c r="N10" s="40"/>
      <c r="O10" s="65"/>
      <c r="P10" s="19">
        <f t="shared" si="0"/>
        <v>0</v>
      </c>
      <c r="Q10" s="1"/>
    </row>
    <row r="11" spans="1:17" x14ac:dyDescent="0.3">
      <c r="Q11" s="1"/>
    </row>
    <row r="12" spans="1:17" x14ac:dyDescent="0.3">
      <c r="M12" s="1"/>
      <c r="N12" s="1"/>
      <c r="Q12" s="1"/>
    </row>
    <row r="13" spans="1:17" x14ac:dyDescent="0.3">
      <c r="Q13" s="1"/>
    </row>
  </sheetData>
  <mergeCells count="30">
    <mergeCell ref="A1:O1"/>
    <mergeCell ref="A2:A3"/>
    <mergeCell ref="B2:C2"/>
    <mergeCell ref="D2:D3"/>
    <mergeCell ref="E2:E3"/>
    <mergeCell ref="F2:H2"/>
    <mergeCell ref="I2:I3"/>
    <mergeCell ref="J2:J3"/>
    <mergeCell ref="K2:K3"/>
    <mergeCell ref="L2:L3"/>
    <mergeCell ref="P2:P5"/>
    <mergeCell ref="A4:C5"/>
    <mergeCell ref="F4:F5"/>
    <mergeCell ref="G4:G5"/>
    <mergeCell ref="H4:H5"/>
    <mergeCell ref="I4:I5"/>
    <mergeCell ref="J4:J5"/>
    <mergeCell ref="K4:K5"/>
    <mergeCell ref="O4:O5"/>
    <mergeCell ref="N4:N5"/>
    <mergeCell ref="M2:M3"/>
    <mergeCell ref="N2:N3"/>
    <mergeCell ref="O2:O3"/>
    <mergeCell ref="O9:O10"/>
    <mergeCell ref="A6:A10"/>
    <mergeCell ref="M6:M10"/>
    <mergeCell ref="N6:N10"/>
    <mergeCell ref="G7:H7"/>
    <mergeCell ref="B9:B10"/>
    <mergeCell ref="G9:H10"/>
  </mergeCells>
  <conditionalFormatting sqref="P6:P10">
    <cfRule type="cellIs" dxfId="6" priority="45" stopIfTrue="1" operator="equal">
      <formula>1</formula>
    </cfRule>
  </conditionalFormatting>
  <conditionalFormatting sqref="O6:O9">
    <cfRule type="containsText" dxfId="5" priority="26" operator="containsText" text="Да">
      <formula>NOT(ISERROR(SEARCH("Да",O6)))</formula>
    </cfRule>
  </conditionalFormatting>
  <conditionalFormatting sqref="F6:H6 F9:G9 F10 F8:H8 F7:G7">
    <cfRule type="cellIs" dxfId="4" priority="25" stopIfTrue="1" operator="equal">
      <formula>1</formula>
    </cfRule>
  </conditionalFormatting>
  <conditionalFormatting sqref="F6:F10">
    <cfRule type="dataBar" priority="53">
      <dataBar>
        <cfvo type="min"/>
        <cfvo type="num" val="1"/>
        <color theme="4" tint="0.39997558519241921"/>
      </dataBar>
      <extLst>
        <ext xmlns:x14="http://schemas.microsoft.com/office/spreadsheetml/2009/9/main" uri="{B025F937-C7B1-47D3-B67F-A62EFF666E3E}">
          <x14:id>{D7E69950-153F-47C1-9487-9C6F2AA7A5BA}</x14:id>
        </ext>
      </extLst>
    </cfRule>
  </conditionalFormatting>
  <conditionalFormatting sqref="G6:H6 G9 G8:H8 F7:G7">
    <cfRule type="dataBar" priority="54">
      <dataBar>
        <cfvo type="min"/>
        <cfvo type="num" val="1"/>
        <color theme="4" tint="0.39997558519241921"/>
      </dataBar>
      <extLst>
        <ext xmlns:x14="http://schemas.microsoft.com/office/spreadsheetml/2009/9/main" uri="{B025F937-C7B1-47D3-B67F-A62EFF666E3E}">
          <x14:id>{3D0D39F6-ED8D-4834-975C-7B1E614C88B2}</x14:id>
        </ext>
      </extLst>
    </cfRule>
  </conditionalFormatting>
  <conditionalFormatting sqref="P6:P10">
    <cfRule type="dataBar" priority="119">
      <dataBar>
        <cfvo type="min"/>
        <cfvo type="num" val="1"/>
        <color theme="4" tint="0.39997558519241921"/>
      </dataBar>
      <extLst>
        <ext xmlns:x14="http://schemas.microsoft.com/office/spreadsheetml/2009/9/main" uri="{B025F937-C7B1-47D3-B67F-A62EFF666E3E}">
          <x14:id>{7DA2DED4-9496-4113-B1C4-82EBA594B903}</x14:id>
        </ext>
      </extLst>
    </cfRule>
  </conditionalFormatting>
  <conditionalFormatting sqref="O4">
    <cfRule type="cellIs" dxfId="3" priority="1" stopIfTrue="1" operator="equal">
      <formula>1</formula>
    </cfRule>
  </conditionalFormatting>
  <conditionalFormatting sqref="F4:H4">
    <cfRule type="cellIs" dxfId="2" priority="3" stopIfTrue="1" operator="equal">
      <formula>1</formula>
    </cfRule>
  </conditionalFormatting>
  <conditionalFormatting sqref="L5:M5 G4:H4">
    <cfRule type="cellIs" dxfId="1" priority="7" stopIfTrue="1" operator="equal">
      <formula>1</formula>
    </cfRule>
  </conditionalFormatting>
  <conditionalFormatting sqref="F4">
    <cfRule type="dataBar" priority="6">
      <dataBar>
        <cfvo type="min"/>
        <cfvo type="num" val="1"/>
        <color theme="4" tint="0.39997558519241921"/>
      </dataBar>
      <extLst>
        <ext xmlns:x14="http://schemas.microsoft.com/office/spreadsheetml/2009/9/main" uri="{B025F937-C7B1-47D3-B67F-A62EFF666E3E}">
          <x14:id>{FCFD9618-B87B-455F-A722-EA3B8C36697D}</x14:id>
        </ext>
      </extLst>
    </cfRule>
  </conditionalFormatting>
  <conditionalFormatting sqref="F4">
    <cfRule type="cellIs" dxfId="0" priority="5" stopIfTrue="1" operator="equal">
      <formula>1</formula>
    </cfRule>
  </conditionalFormatting>
  <conditionalFormatting sqref="G4:H4">
    <cfRule type="dataBar" priority="4">
      <dataBar>
        <cfvo type="min"/>
        <cfvo type="num" val="1"/>
        <color theme="4" tint="0.39997558519241921"/>
      </dataBar>
      <extLst>
        <ext xmlns:x14="http://schemas.microsoft.com/office/spreadsheetml/2009/9/main" uri="{B025F937-C7B1-47D3-B67F-A62EFF666E3E}">
          <x14:id>{7ECA6A96-E7BB-4BCB-BD40-990633A926CE}</x14:id>
        </ext>
      </extLst>
    </cfRule>
  </conditionalFormatting>
  <conditionalFormatting sqref="L5:M5">
    <cfRule type="dataBar" priority="2">
      <dataBar>
        <cfvo type="min"/>
        <cfvo type="num" val="1"/>
        <color theme="4" tint="0.39997558519241921"/>
      </dataBar>
      <extLst>
        <ext xmlns:x14="http://schemas.microsoft.com/office/spreadsheetml/2009/9/main" uri="{B025F937-C7B1-47D3-B67F-A62EFF666E3E}">
          <x14:id>{4AF3E8CF-CD0B-49CE-9F41-1540CE899FDA}</x14:id>
        </ext>
      </extLst>
    </cfRule>
  </conditionalFormatting>
  <conditionalFormatting sqref="O4">
    <cfRule type="dataBar" priority="8">
      <dataBar>
        <cfvo type="min"/>
        <cfvo type="num" val="1"/>
        <color theme="4" tint="0.39997558519241921"/>
      </dataBar>
      <extLst>
        <ext xmlns:x14="http://schemas.microsoft.com/office/spreadsheetml/2009/9/main" uri="{B025F937-C7B1-47D3-B67F-A62EFF666E3E}">
          <x14:id>{87048320-8ACF-4853-A8C6-81BCE828FA2F}</x14:id>
        </ext>
      </extLst>
    </cfRule>
  </conditionalFormatting>
  <pageMargins left="0.7" right="0.7" top="0.75" bottom="0.75" header="0.3" footer="0.3"/>
  <pageSetup paperSize="8" scale="61" fitToHeight="0" orientation="landscape" r:id="rId1"/>
  <extLst>
    <ext xmlns:x14="http://schemas.microsoft.com/office/spreadsheetml/2009/9/main" uri="{78C0D931-6437-407d-A8EE-F0AAD7539E65}">
      <x14:conditionalFormattings>
        <x14:conditionalFormatting xmlns:xm="http://schemas.microsoft.com/office/excel/2006/main">
          <x14:cfRule type="dataBar" id="{D7E69950-153F-47C1-9487-9C6F2AA7A5BA}">
            <x14:dataBar minLength="0" maxLength="100" border="1" gradient="0" negativeBarBorderColorSameAsPositive="0">
              <x14:cfvo type="autoMin"/>
              <x14:cfvo type="num">
                <xm:f>1</xm:f>
              </x14:cfvo>
              <x14:borderColor rgb="FF638EC6"/>
              <x14:negativeFillColor rgb="FFFF0000"/>
              <x14:negativeBorderColor rgb="FFFF0000"/>
              <x14:axisColor rgb="FF000000"/>
            </x14:dataBar>
          </x14:cfRule>
          <xm:sqref>F6:F10</xm:sqref>
        </x14:conditionalFormatting>
        <x14:conditionalFormatting xmlns:xm="http://schemas.microsoft.com/office/excel/2006/main">
          <x14:cfRule type="dataBar" id="{3D0D39F6-ED8D-4834-975C-7B1E614C88B2}">
            <x14:dataBar minLength="0" maxLength="100" border="1" gradient="0" negativeBarBorderColorSameAsPositive="0">
              <x14:cfvo type="autoMin"/>
              <x14:cfvo type="num">
                <xm:f>1</xm:f>
              </x14:cfvo>
              <x14:borderColor rgb="FF638EC6"/>
              <x14:negativeFillColor rgb="FFFF0000"/>
              <x14:negativeBorderColor rgb="FFFF0000"/>
              <x14:axisColor rgb="FF000000"/>
            </x14:dataBar>
          </x14:cfRule>
          <xm:sqref>G6:H6 G9 G8:H8 F7:G7</xm:sqref>
        </x14:conditionalFormatting>
        <x14:conditionalFormatting xmlns:xm="http://schemas.microsoft.com/office/excel/2006/main">
          <x14:cfRule type="dataBar" id="{7DA2DED4-9496-4113-B1C4-82EBA594B903}">
            <x14:dataBar minLength="0" maxLength="100" border="1" gradient="0" negativeBarBorderColorSameAsPositive="0">
              <x14:cfvo type="autoMin"/>
              <x14:cfvo type="num">
                <xm:f>1</xm:f>
              </x14:cfvo>
              <x14:borderColor rgb="FF638EC6"/>
              <x14:negativeFillColor rgb="FFFF0000"/>
              <x14:negativeBorderColor rgb="FFFF0000"/>
              <x14:axisColor rgb="FF000000"/>
            </x14:dataBar>
          </x14:cfRule>
          <xm:sqref>P6:P10</xm:sqref>
        </x14:conditionalFormatting>
        <x14:conditionalFormatting xmlns:xm="http://schemas.microsoft.com/office/excel/2006/main">
          <x14:cfRule type="dataBar" id="{FCFD9618-B87B-455F-A722-EA3B8C36697D}">
            <x14:dataBar minLength="0" maxLength="100" border="1" gradient="0" negativeBarBorderColorSameAsPositive="0">
              <x14:cfvo type="autoMin"/>
              <x14:cfvo type="num">
                <xm:f>1</xm:f>
              </x14:cfvo>
              <x14:borderColor rgb="FF638EC6"/>
              <x14:negativeFillColor rgb="FFFF0000"/>
              <x14:negativeBorderColor rgb="FFFF0000"/>
              <x14:axisColor rgb="FF000000"/>
            </x14:dataBar>
          </x14:cfRule>
          <xm:sqref>F4</xm:sqref>
        </x14:conditionalFormatting>
        <x14:conditionalFormatting xmlns:xm="http://schemas.microsoft.com/office/excel/2006/main">
          <x14:cfRule type="dataBar" id="{7ECA6A96-E7BB-4BCB-BD40-990633A926CE}">
            <x14:dataBar minLength="0" maxLength="100" border="1" gradient="0" negativeBarBorderColorSameAsPositive="0">
              <x14:cfvo type="autoMin"/>
              <x14:cfvo type="num">
                <xm:f>1</xm:f>
              </x14:cfvo>
              <x14:borderColor rgb="FF638EC6"/>
              <x14:negativeFillColor rgb="FFFF0000"/>
              <x14:negativeBorderColor rgb="FFFF0000"/>
              <x14:axisColor rgb="FF000000"/>
            </x14:dataBar>
          </x14:cfRule>
          <xm:sqref>G4:H4</xm:sqref>
        </x14:conditionalFormatting>
        <x14:conditionalFormatting xmlns:xm="http://schemas.microsoft.com/office/excel/2006/main">
          <x14:cfRule type="dataBar" id="{4AF3E8CF-CD0B-49CE-9F41-1540CE899FDA}">
            <x14:dataBar minLength="0" maxLength="100" border="1" gradient="0" negativeBarBorderColorSameAsPositive="0">
              <x14:cfvo type="autoMin"/>
              <x14:cfvo type="num">
                <xm:f>1</xm:f>
              </x14:cfvo>
              <x14:borderColor rgb="FF638EC6"/>
              <x14:negativeFillColor rgb="FFFF0000"/>
              <x14:negativeBorderColor rgb="FFFF0000"/>
              <x14:axisColor rgb="FF000000"/>
            </x14:dataBar>
          </x14:cfRule>
          <xm:sqref>L5:M5</xm:sqref>
        </x14:conditionalFormatting>
        <x14:conditionalFormatting xmlns:xm="http://schemas.microsoft.com/office/excel/2006/main">
          <x14:cfRule type="dataBar" id="{87048320-8ACF-4853-A8C6-81BCE828FA2F}">
            <x14:dataBar minLength="0" maxLength="100" border="1" gradient="0" negativeBarBorderColorSameAsPositive="0">
              <x14:cfvo type="autoMin"/>
              <x14:cfvo type="num">
                <xm:f>1</xm:f>
              </x14:cfvo>
              <x14:borderColor rgb="FF638EC6"/>
              <x14:negativeFillColor rgb="FFFF0000"/>
              <x14:negativeBorderColor rgb="FFFF0000"/>
              <x14:axisColor rgb="FF000000"/>
            </x14:dataBar>
          </x14:cfRule>
          <xm:sqref>O4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B7DB2-AD86-44C5-A323-F0EE410AD20B}">
  <dimension ref="A1:I85"/>
  <sheetViews>
    <sheetView view="pageBreakPreview" zoomScale="60" zoomScaleNormal="100" workbookViewId="0">
      <selection activeCell="E21" sqref="E21"/>
    </sheetView>
  </sheetViews>
  <sheetFormatPr defaultRowHeight="15.6" x14ac:dyDescent="0.3"/>
  <cols>
    <col min="1" max="1" width="5.21875" style="192" bestFit="1" customWidth="1"/>
    <col min="2" max="2" width="24.44140625" style="192" bestFit="1" customWidth="1"/>
    <col min="3" max="3" width="6.77734375" style="204" customWidth="1"/>
    <col min="4" max="4" width="9.88671875" style="204" customWidth="1"/>
    <col min="5" max="5" width="24" style="192" bestFit="1" customWidth="1"/>
    <col min="6" max="6" width="20" style="192" bestFit="1" customWidth="1"/>
    <col min="7" max="7" width="25.21875" style="192" bestFit="1" customWidth="1"/>
    <col min="8" max="8" width="25" style="192" bestFit="1" customWidth="1"/>
    <col min="9" max="9" width="16.6640625" style="192" bestFit="1" customWidth="1"/>
    <col min="10" max="16384" width="8.88671875" style="192"/>
  </cols>
  <sheetData>
    <row r="1" spans="1:9" ht="30" customHeight="1" x14ac:dyDescent="0.25">
      <c r="A1" s="205" t="s">
        <v>110</v>
      </c>
      <c r="B1" s="205"/>
      <c r="C1" s="205"/>
      <c r="D1" s="205"/>
      <c r="E1" s="205"/>
      <c r="F1" s="205"/>
      <c r="G1" s="205"/>
      <c r="H1" s="205"/>
      <c r="I1" s="205"/>
    </row>
    <row r="2" spans="1:9" s="191" customFormat="1" ht="46.8" x14ac:dyDescent="0.25">
      <c r="A2" s="188" t="s">
        <v>153</v>
      </c>
      <c r="B2" s="189" t="s">
        <v>154</v>
      </c>
      <c r="C2" s="201" t="s">
        <v>155</v>
      </c>
      <c r="D2" s="202" t="s">
        <v>156</v>
      </c>
      <c r="E2" s="190" t="s">
        <v>157</v>
      </c>
      <c r="F2" s="190" t="s">
        <v>158</v>
      </c>
      <c r="G2" s="190" t="s">
        <v>159</v>
      </c>
      <c r="H2" s="190" t="s">
        <v>160</v>
      </c>
      <c r="I2" s="190" t="s">
        <v>161</v>
      </c>
    </row>
    <row r="3" spans="1:9" x14ac:dyDescent="0.25">
      <c r="A3" s="196">
        <v>1</v>
      </c>
      <c r="B3" s="172" t="s">
        <v>171</v>
      </c>
      <c r="C3" s="125" t="s">
        <v>120</v>
      </c>
      <c r="D3" s="203">
        <f>D20+D37+D54+D71</f>
        <v>16.41599999999999</v>
      </c>
      <c r="E3" s="193">
        <f>E20+E37+E54+E71</f>
        <v>0</v>
      </c>
      <c r="F3" s="194">
        <f>E3*D3</f>
        <v>0</v>
      </c>
      <c r="G3" s="193">
        <f>G20+G37+G54+G71</f>
        <v>0</v>
      </c>
      <c r="H3" s="194">
        <f>G3*D3</f>
        <v>0</v>
      </c>
      <c r="I3" s="194">
        <f>H3+F3</f>
        <v>0</v>
      </c>
    </row>
    <row r="4" spans="1:9" x14ac:dyDescent="0.25">
      <c r="A4" s="196">
        <v>2</v>
      </c>
      <c r="B4" s="172" t="s">
        <v>170</v>
      </c>
      <c r="C4" s="125" t="s">
        <v>120</v>
      </c>
      <c r="D4" s="203">
        <f t="shared" ref="D4:E16" si="0">D21+D38+D55+D72</f>
        <v>26.728999999999992</v>
      </c>
      <c r="E4" s="193">
        <f t="shared" si="0"/>
        <v>0</v>
      </c>
      <c r="F4" s="194">
        <f t="shared" ref="F4:F16" si="1">E4*D4</f>
        <v>0</v>
      </c>
      <c r="G4" s="193">
        <f t="shared" ref="G4" si="2">G21+G38+G55+G72</f>
        <v>0</v>
      </c>
      <c r="H4" s="194" t="s">
        <v>173</v>
      </c>
      <c r="I4" s="194" t="e">
        <f t="shared" ref="I4:I15" si="3">H4+F4</f>
        <v>#VALUE!</v>
      </c>
    </row>
    <row r="5" spans="1:9" x14ac:dyDescent="0.25">
      <c r="A5" s="196">
        <v>3</v>
      </c>
      <c r="B5" s="172" t="s">
        <v>169</v>
      </c>
      <c r="C5" s="125" t="s">
        <v>120</v>
      </c>
      <c r="D5" s="203">
        <f t="shared" si="0"/>
        <v>30.313999999999993</v>
      </c>
      <c r="E5" s="193">
        <f t="shared" si="0"/>
        <v>0</v>
      </c>
      <c r="F5" s="194">
        <f t="shared" si="1"/>
        <v>0</v>
      </c>
      <c r="G5" s="193">
        <f t="shared" ref="G5" si="4">G22+G39+G56+G73</f>
        <v>0</v>
      </c>
      <c r="H5" s="194">
        <f t="shared" ref="H4:H16" si="5">G5*D5</f>
        <v>0</v>
      </c>
      <c r="I5" s="194">
        <f t="shared" si="3"/>
        <v>0</v>
      </c>
    </row>
    <row r="6" spans="1:9" x14ac:dyDescent="0.25">
      <c r="A6" s="196">
        <v>4</v>
      </c>
      <c r="B6" s="172" t="s">
        <v>168</v>
      </c>
      <c r="C6" s="125" t="s">
        <v>120</v>
      </c>
      <c r="D6" s="203">
        <f t="shared" si="0"/>
        <v>32.236999999999995</v>
      </c>
      <c r="E6" s="193">
        <f t="shared" si="0"/>
        <v>0</v>
      </c>
      <c r="F6" s="194">
        <f t="shared" si="1"/>
        <v>0</v>
      </c>
      <c r="G6" s="193">
        <f t="shared" ref="G6" si="6">G23+G40+G57+G74</f>
        <v>0</v>
      </c>
      <c r="H6" s="194">
        <f t="shared" si="5"/>
        <v>0</v>
      </c>
      <c r="I6" s="194">
        <f t="shared" si="3"/>
        <v>0</v>
      </c>
    </row>
    <row r="7" spans="1:9" x14ac:dyDescent="0.25">
      <c r="A7" s="196">
        <v>5</v>
      </c>
      <c r="B7" s="172" t="s">
        <v>167</v>
      </c>
      <c r="C7" s="125" t="s">
        <v>120</v>
      </c>
      <c r="D7" s="203">
        <f t="shared" si="0"/>
        <v>33.908999999999992</v>
      </c>
      <c r="E7" s="193">
        <f t="shared" si="0"/>
        <v>0</v>
      </c>
      <c r="F7" s="194">
        <f t="shared" si="1"/>
        <v>0</v>
      </c>
      <c r="G7" s="193">
        <f t="shared" ref="G7" si="7">G24+G41+G58+G75</f>
        <v>0</v>
      </c>
      <c r="H7" s="194">
        <f t="shared" si="5"/>
        <v>0</v>
      </c>
      <c r="I7" s="194">
        <f t="shared" si="3"/>
        <v>0</v>
      </c>
    </row>
    <row r="8" spans="1:9" x14ac:dyDescent="0.25">
      <c r="A8" s="196">
        <v>6</v>
      </c>
      <c r="B8" s="172" t="s">
        <v>166</v>
      </c>
      <c r="C8" s="125" t="s">
        <v>120</v>
      </c>
      <c r="D8" s="203">
        <f t="shared" si="0"/>
        <v>36.993999999999986</v>
      </c>
      <c r="E8" s="193">
        <f t="shared" si="0"/>
        <v>0</v>
      </c>
      <c r="F8" s="194">
        <f t="shared" si="1"/>
        <v>0</v>
      </c>
      <c r="G8" s="193">
        <f t="shared" ref="G8" si="8">G25+G42+G59+G76</f>
        <v>0</v>
      </c>
      <c r="H8" s="194">
        <f t="shared" si="5"/>
        <v>0</v>
      </c>
      <c r="I8" s="194">
        <f t="shared" si="3"/>
        <v>0</v>
      </c>
    </row>
    <row r="9" spans="1:9" ht="41.4" x14ac:dyDescent="0.25">
      <c r="A9" s="196">
        <v>7</v>
      </c>
      <c r="B9" s="174" t="s">
        <v>165</v>
      </c>
      <c r="C9" s="125" t="s">
        <v>127</v>
      </c>
      <c r="D9" s="203">
        <f t="shared" si="0"/>
        <v>45041</v>
      </c>
      <c r="E9" s="193">
        <f t="shared" si="0"/>
        <v>0</v>
      </c>
      <c r="F9" s="194">
        <f t="shared" si="1"/>
        <v>0</v>
      </c>
      <c r="G9" s="193">
        <f t="shared" ref="G9" si="9">G26+G43+G60+G77</f>
        <v>0</v>
      </c>
      <c r="H9" s="194">
        <f t="shared" si="5"/>
        <v>0</v>
      </c>
      <c r="I9" s="194">
        <f t="shared" si="3"/>
        <v>0</v>
      </c>
    </row>
    <row r="10" spans="1:9" x14ac:dyDescent="0.25">
      <c r="A10" s="196">
        <v>8</v>
      </c>
      <c r="B10" s="172" t="s">
        <v>162</v>
      </c>
      <c r="C10" s="125" t="s">
        <v>127</v>
      </c>
      <c r="D10" s="203">
        <f t="shared" si="0"/>
        <v>56255</v>
      </c>
      <c r="E10" s="193">
        <f t="shared" si="0"/>
        <v>0</v>
      </c>
      <c r="F10" s="194">
        <f t="shared" si="1"/>
        <v>0</v>
      </c>
      <c r="G10" s="193">
        <f t="shared" ref="G10" si="10">G27+G44+G61+G78</f>
        <v>0</v>
      </c>
      <c r="H10" s="194">
        <f t="shared" si="5"/>
        <v>0</v>
      </c>
      <c r="I10" s="194">
        <f t="shared" si="3"/>
        <v>0</v>
      </c>
    </row>
    <row r="11" spans="1:9" x14ac:dyDescent="0.25">
      <c r="A11" s="196">
        <v>9</v>
      </c>
      <c r="B11" s="172" t="s">
        <v>163</v>
      </c>
      <c r="C11" s="125" t="s">
        <v>130</v>
      </c>
      <c r="D11" s="203">
        <f t="shared" si="0"/>
        <v>45695</v>
      </c>
      <c r="E11" s="193">
        <f t="shared" si="0"/>
        <v>0</v>
      </c>
      <c r="F11" s="194">
        <f t="shared" si="1"/>
        <v>0</v>
      </c>
      <c r="G11" s="193">
        <f t="shared" ref="G11" si="11">G28+G45+G62+G79</f>
        <v>0</v>
      </c>
      <c r="H11" s="194">
        <f t="shared" si="5"/>
        <v>0</v>
      </c>
      <c r="I11" s="194">
        <f t="shared" si="3"/>
        <v>0</v>
      </c>
    </row>
    <row r="12" spans="1:9" ht="41.4" x14ac:dyDescent="0.25">
      <c r="A12" s="196">
        <v>10</v>
      </c>
      <c r="B12" s="174" t="s">
        <v>164</v>
      </c>
      <c r="C12" s="125" t="s">
        <v>127</v>
      </c>
      <c r="D12" s="203">
        <f t="shared" si="0"/>
        <v>1100</v>
      </c>
      <c r="E12" s="193">
        <f t="shared" si="0"/>
        <v>0</v>
      </c>
      <c r="F12" s="194">
        <f t="shared" si="1"/>
        <v>0</v>
      </c>
      <c r="G12" s="193">
        <f t="shared" ref="G12" si="12">G29+G46+G63+G80</f>
        <v>0</v>
      </c>
      <c r="H12" s="194">
        <f t="shared" si="5"/>
        <v>0</v>
      </c>
      <c r="I12" s="194">
        <f t="shared" si="3"/>
        <v>0</v>
      </c>
    </row>
    <row r="13" spans="1:9" x14ac:dyDescent="0.25">
      <c r="A13" s="196">
        <v>11</v>
      </c>
      <c r="B13" s="172" t="s">
        <v>132</v>
      </c>
      <c r="C13" s="125" t="s">
        <v>127</v>
      </c>
      <c r="D13" s="203">
        <f t="shared" si="0"/>
        <v>1274</v>
      </c>
      <c r="E13" s="193">
        <f t="shared" si="0"/>
        <v>0</v>
      </c>
      <c r="F13" s="194">
        <f t="shared" si="1"/>
        <v>0</v>
      </c>
      <c r="G13" s="193">
        <f t="shared" ref="G13" si="13">G30+G47+G64+G81</f>
        <v>0</v>
      </c>
      <c r="H13" s="194">
        <f t="shared" si="5"/>
        <v>0</v>
      </c>
      <c r="I13" s="194">
        <f t="shared" si="3"/>
        <v>0</v>
      </c>
    </row>
    <row r="14" spans="1:9" x14ac:dyDescent="0.25">
      <c r="A14" s="196">
        <v>12</v>
      </c>
      <c r="B14" s="172" t="s">
        <v>133</v>
      </c>
      <c r="C14" s="125" t="s">
        <v>134</v>
      </c>
      <c r="D14" s="203">
        <f t="shared" si="0"/>
        <v>13442.850000000002</v>
      </c>
      <c r="E14" s="193">
        <f t="shared" si="0"/>
        <v>0</v>
      </c>
      <c r="F14" s="194">
        <f t="shared" si="1"/>
        <v>0</v>
      </c>
      <c r="G14" s="193">
        <f t="shared" ref="G14" si="14">G31+G48+G65+G82</f>
        <v>0</v>
      </c>
      <c r="H14" s="194">
        <f t="shared" si="5"/>
        <v>0</v>
      </c>
      <c r="I14" s="194">
        <f t="shared" si="3"/>
        <v>0</v>
      </c>
    </row>
    <row r="15" spans="1:9" ht="41.4" x14ac:dyDescent="0.25">
      <c r="A15" s="196">
        <v>13</v>
      </c>
      <c r="B15" s="174" t="s">
        <v>135</v>
      </c>
      <c r="C15" s="125" t="s">
        <v>127</v>
      </c>
      <c r="D15" s="203">
        <f t="shared" si="0"/>
        <v>92</v>
      </c>
      <c r="E15" s="193">
        <f t="shared" si="0"/>
        <v>0</v>
      </c>
      <c r="F15" s="194">
        <f t="shared" si="1"/>
        <v>0</v>
      </c>
      <c r="G15" s="193">
        <f t="shared" ref="G15" si="15">G32+G49+G66+G83</f>
        <v>0</v>
      </c>
      <c r="H15" s="194">
        <f t="shared" si="5"/>
        <v>0</v>
      </c>
      <c r="I15" s="194">
        <f t="shared" si="3"/>
        <v>0</v>
      </c>
    </row>
    <row r="16" spans="1:9" ht="27.6" x14ac:dyDescent="0.25">
      <c r="A16" s="196">
        <v>14</v>
      </c>
      <c r="B16" s="174" t="s">
        <v>136</v>
      </c>
      <c r="C16" s="125" t="s">
        <v>127</v>
      </c>
      <c r="D16" s="203">
        <f t="shared" si="0"/>
        <v>112</v>
      </c>
      <c r="E16" s="193">
        <f t="shared" si="0"/>
        <v>0</v>
      </c>
      <c r="F16" s="194">
        <f t="shared" si="1"/>
        <v>0</v>
      </c>
      <c r="G16" s="193">
        <f t="shared" ref="G16" si="16">G33+G50+G67+G84</f>
        <v>0</v>
      </c>
      <c r="H16" s="194">
        <f t="shared" si="5"/>
        <v>0</v>
      </c>
      <c r="I16" s="194">
        <f>H16+F16</f>
        <v>0</v>
      </c>
    </row>
    <row r="17" spans="1:9" ht="13.8" x14ac:dyDescent="0.25">
      <c r="A17" s="200"/>
      <c r="B17" s="197" t="s">
        <v>172</v>
      </c>
      <c r="C17" s="198"/>
      <c r="D17" s="199"/>
      <c r="E17" s="200" t="s">
        <v>23</v>
      </c>
      <c r="F17" s="200">
        <f>SUM(F3:F16)</f>
        <v>0</v>
      </c>
      <c r="G17" s="200" t="s">
        <v>23</v>
      </c>
      <c r="H17" s="200">
        <f>SUM(H3:H16)</f>
        <v>0</v>
      </c>
      <c r="I17" s="200">
        <f t="shared" ref="I17" si="17">H17+F17</f>
        <v>0</v>
      </c>
    </row>
    <row r="18" spans="1:9" ht="30" customHeight="1" x14ac:dyDescent="0.25">
      <c r="A18" s="195" t="s">
        <v>148</v>
      </c>
      <c r="B18" s="195"/>
      <c r="C18" s="195"/>
      <c r="D18" s="195"/>
      <c r="E18" s="195"/>
      <c r="F18" s="195"/>
      <c r="G18" s="195"/>
      <c r="H18" s="195"/>
      <c r="I18" s="195"/>
    </row>
    <row r="19" spans="1:9" ht="46.8" x14ac:dyDescent="0.25">
      <c r="A19" s="188" t="s">
        <v>153</v>
      </c>
      <c r="B19" s="189" t="s">
        <v>154</v>
      </c>
      <c r="C19" s="201" t="s">
        <v>155</v>
      </c>
      <c r="D19" s="202" t="s">
        <v>156</v>
      </c>
      <c r="E19" s="190" t="s">
        <v>157</v>
      </c>
      <c r="F19" s="190" t="s">
        <v>158</v>
      </c>
      <c r="G19" s="190" t="s">
        <v>159</v>
      </c>
      <c r="H19" s="190" t="s">
        <v>160</v>
      </c>
      <c r="I19" s="190" t="s">
        <v>161</v>
      </c>
    </row>
    <row r="20" spans="1:9" x14ac:dyDescent="0.25">
      <c r="A20" s="196">
        <v>1</v>
      </c>
      <c r="B20" s="172" t="s">
        <v>171</v>
      </c>
      <c r="C20" s="125" t="s">
        <v>120</v>
      </c>
      <c r="D20" s="203">
        <f>'Всего детальный'!L6</f>
        <v>0</v>
      </c>
      <c r="E20" s="193"/>
      <c r="F20" s="194">
        <f>E20*D20</f>
        <v>0</v>
      </c>
      <c r="G20" s="193"/>
      <c r="H20" s="194">
        <f>G20*D20</f>
        <v>0</v>
      </c>
      <c r="I20" s="194">
        <f>H20+F20</f>
        <v>0</v>
      </c>
    </row>
    <row r="21" spans="1:9" x14ac:dyDescent="0.25">
      <c r="A21" s="196">
        <v>2</v>
      </c>
      <c r="B21" s="172" t="s">
        <v>170</v>
      </c>
      <c r="C21" s="125" t="s">
        <v>120</v>
      </c>
      <c r="D21" s="203">
        <f>'Всего детальный'!L7</f>
        <v>0</v>
      </c>
      <c r="E21" s="193"/>
      <c r="F21" s="194">
        <f t="shared" ref="F21:F33" si="18">E21*D21</f>
        <v>0</v>
      </c>
      <c r="G21" s="193"/>
      <c r="H21" s="194">
        <f t="shared" ref="H21:H33" si="19">G21*D21</f>
        <v>0</v>
      </c>
      <c r="I21" s="194">
        <f t="shared" ref="I21:I32" si="20">H21+F21</f>
        <v>0</v>
      </c>
    </row>
    <row r="22" spans="1:9" x14ac:dyDescent="0.25">
      <c r="A22" s="196">
        <v>3</v>
      </c>
      <c r="B22" s="172" t="s">
        <v>169</v>
      </c>
      <c r="C22" s="125" t="s">
        <v>120</v>
      </c>
      <c r="D22" s="203">
        <f>'Всего детальный'!L8</f>
        <v>0</v>
      </c>
      <c r="E22" s="193"/>
      <c r="F22" s="194">
        <f t="shared" si="18"/>
        <v>0</v>
      </c>
      <c r="G22" s="193"/>
      <c r="H22" s="194">
        <f t="shared" si="19"/>
        <v>0</v>
      </c>
      <c r="I22" s="194">
        <f t="shared" si="20"/>
        <v>0</v>
      </c>
    </row>
    <row r="23" spans="1:9" x14ac:dyDescent="0.25">
      <c r="A23" s="196">
        <v>4</v>
      </c>
      <c r="B23" s="172" t="s">
        <v>168</v>
      </c>
      <c r="C23" s="125" t="s">
        <v>120</v>
      </c>
      <c r="D23" s="203">
        <f>'Всего детальный'!L9</f>
        <v>0</v>
      </c>
      <c r="E23" s="193"/>
      <c r="F23" s="194">
        <f t="shared" si="18"/>
        <v>0</v>
      </c>
      <c r="G23" s="193"/>
      <c r="H23" s="194">
        <f t="shared" si="19"/>
        <v>0</v>
      </c>
      <c r="I23" s="194">
        <f t="shared" si="20"/>
        <v>0</v>
      </c>
    </row>
    <row r="24" spans="1:9" x14ac:dyDescent="0.25">
      <c r="A24" s="196">
        <v>5</v>
      </c>
      <c r="B24" s="172" t="s">
        <v>167</v>
      </c>
      <c r="C24" s="125" t="s">
        <v>120</v>
      </c>
      <c r="D24" s="203">
        <f>'Всего детальный'!L10</f>
        <v>0.43999999999999773</v>
      </c>
      <c r="E24" s="193"/>
      <c r="F24" s="194">
        <f t="shared" si="18"/>
        <v>0</v>
      </c>
      <c r="G24" s="193"/>
      <c r="H24" s="194">
        <f t="shared" si="19"/>
        <v>0</v>
      </c>
      <c r="I24" s="194">
        <f t="shared" si="20"/>
        <v>0</v>
      </c>
    </row>
    <row r="25" spans="1:9" x14ac:dyDescent="0.25">
      <c r="A25" s="196">
        <v>6</v>
      </c>
      <c r="B25" s="172" t="s">
        <v>166</v>
      </c>
      <c r="C25" s="125" t="s">
        <v>120</v>
      </c>
      <c r="D25" s="203">
        <f>'Всего детальный'!L11</f>
        <v>0.43999999999999773</v>
      </c>
      <c r="E25" s="193"/>
      <c r="F25" s="194">
        <f t="shared" si="18"/>
        <v>0</v>
      </c>
      <c r="G25" s="193"/>
      <c r="H25" s="194">
        <f t="shared" si="19"/>
        <v>0</v>
      </c>
      <c r="I25" s="194">
        <f t="shared" si="20"/>
        <v>0</v>
      </c>
    </row>
    <row r="26" spans="1:9" ht="41.4" x14ac:dyDescent="0.25">
      <c r="A26" s="196">
        <v>7</v>
      </c>
      <c r="B26" s="174" t="s">
        <v>165</v>
      </c>
      <c r="C26" s="125" t="s">
        <v>127</v>
      </c>
      <c r="D26" s="203">
        <f>'Всего детальный'!L12</f>
        <v>1348</v>
      </c>
      <c r="E26" s="193"/>
      <c r="F26" s="194">
        <f t="shared" si="18"/>
        <v>0</v>
      </c>
      <c r="G26" s="193"/>
      <c r="H26" s="194">
        <f t="shared" si="19"/>
        <v>0</v>
      </c>
      <c r="I26" s="194">
        <f t="shared" si="20"/>
        <v>0</v>
      </c>
    </row>
    <row r="27" spans="1:9" x14ac:dyDescent="0.25">
      <c r="A27" s="196">
        <v>8</v>
      </c>
      <c r="B27" s="172" t="s">
        <v>162</v>
      </c>
      <c r="C27" s="125" t="s">
        <v>127</v>
      </c>
      <c r="D27" s="203">
        <f>'Всего детальный'!L13</f>
        <v>3016</v>
      </c>
      <c r="E27" s="193"/>
      <c r="F27" s="194">
        <f t="shared" si="18"/>
        <v>0</v>
      </c>
      <c r="G27" s="193"/>
      <c r="H27" s="194">
        <f t="shared" si="19"/>
        <v>0</v>
      </c>
      <c r="I27" s="194">
        <f t="shared" si="20"/>
        <v>0</v>
      </c>
    </row>
    <row r="28" spans="1:9" x14ac:dyDescent="0.25">
      <c r="A28" s="196">
        <v>9</v>
      </c>
      <c r="B28" s="172" t="s">
        <v>163</v>
      </c>
      <c r="C28" s="125" t="s">
        <v>130</v>
      </c>
      <c r="D28" s="203">
        <f>'Всего детальный'!L14</f>
        <v>7351</v>
      </c>
      <c r="E28" s="193"/>
      <c r="F28" s="194">
        <f t="shared" si="18"/>
        <v>0</v>
      </c>
      <c r="G28" s="193"/>
      <c r="H28" s="194">
        <f t="shared" si="19"/>
        <v>0</v>
      </c>
      <c r="I28" s="194">
        <f t="shared" si="20"/>
        <v>0</v>
      </c>
    </row>
    <row r="29" spans="1:9" ht="41.4" x14ac:dyDescent="0.25">
      <c r="A29" s="196">
        <v>10</v>
      </c>
      <c r="B29" s="174" t="s">
        <v>164</v>
      </c>
      <c r="C29" s="125" t="s">
        <v>127</v>
      </c>
      <c r="D29" s="203">
        <f>'Всего детальный'!L15</f>
        <v>20</v>
      </c>
      <c r="E29" s="193"/>
      <c r="F29" s="194">
        <f t="shared" si="18"/>
        <v>0</v>
      </c>
      <c r="G29" s="193"/>
      <c r="H29" s="194">
        <f t="shared" si="19"/>
        <v>0</v>
      </c>
      <c r="I29" s="194">
        <f t="shared" si="20"/>
        <v>0</v>
      </c>
    </row>
    <row r="30" spans="1:9" x14ac:dyDescent="0.25">
      <c r="A30" s="196">
        <v>11</v>
      </c>
      <c r="B30" s="172" t="s">
        <v>132</v>
      </c>
      <c r="C30" s="125" t="s">
        <v>127</v>
      </c>
      <c r="D30" s="203">
        <f>'Всего детальный'!L16</f>
        <v>40</v>
      </c>
      <c r="E30" s="193"/>
      <c r="F30" s="194">
        <f t="shared" si="18"/>
        <v>0</v>
      </c>
      <c r="G30" s="193"/>
      <c r="H30" s="194">
        <f t="shared" si="19"/>
        <v>0</v>
      </c>
      <c r="I30" s="194">
        <f t="shared" si="20"/>
        <v>0</v>
      </c>
    </row>
    <row r="31" spans="1:9" x14ac:dyDescent="0.25">
      <c r="A31" s="196">
        <v>12</v>
      </c>
      <c r="B31" s="172" t="s">
        <v>133</v>
      </c>
      <c r="C31" s="125" t="s">
        <v>134</v>
      </c>
      <c r="D31" s="203">
        <f>'Всего детальный'!L17</f>
        <v>5.5300000000000011</v>
      </c>
      <c r="E31" s="193"/>
      <c r="F31" s="194">
        <f t="shared" si="18"/>
        <v>0</v>
      </c>
      <c r="G31" s="193"/>
      <c r="H31" s="194">
        <f t="shared" si="19"/>
        <v>0</v>
      </c>
      <c r="I31" s="194">
        <f t="shared" si="20"/>
        <v>0</v>
      </c>
    </row>
    <row r="32" spans="1:9" ht="41.4" x14ac:dyDescent="0.25">
      <c r="A32" s="196">
        <v>13</v>
      </c>
      <c r="B32" s="174" t="s">
        <v>135</v>
      </c>
      <c r="C32" s="125" t="s">
        <v>127</v>
      </c>
      <c r="D32" s="203">
        <f>'Всего детальный'!L18</f>
        <v>12</v>
      </c>
      <c r="E32" s="193"/>
      <c r="F32" s="194">
        <f t="shared" si="18"/>
        <v>0</v>
      </c>
      <c r="G32" s="193"/>
      <c r="H32" s="194">
        <f t="shared" si="19"/>
        <v>0</v>
      </c>
      <c r="I32" s="194">
        <f t="shared" si="20"/>
        <v>0</v>
      </c>
    </row>
    <row r="33" spans="1:9" ht="27.6" x14ac:dyDescent="0.25">
      <c r="A33" s="196">
        <v>14</v>
      </c>
      <c r="B33" s="174" t="s">
        <v>136</v>
      </c>
      <c r="C33" s="125" t="s">
        <v>127</v>
      </c>
      <c r="D33" s="203">
        <f>'Всего детальный'!L19</f>
        <v>12</v>
      </c>
      <c r="E33" s="193"/>
      <c r="F33" s="194">
        <f t="shared" si="18"/>
        <v>0</v>
      </c>
      <c r="G33" s="193"/>
      <c r="H33" s="194">
        <f t="shared" si="19"/>
        <v>0</v>
      </c>
      <c r="I33" s="194">
        <f>H33+F33</f>
        <v>0</v>
      </c>
    </row>
    <row r="34" spans="1:9" ht="13.8" x14ac:dyDescent="0.25">
      <c r="A34" s="200"/>
      <c r="B34" s="197" t="s">
        <v>172</v>
      </c>
      <c r="C34" s="198"/>
      <c r="D34" s="199"/>
      <c r="E34" s="200" t="s">
        <v>23</v>
      </c>
      <c r="F34" s="200">
        <f>SUM(F20:F33)</f>
        <v>0</v>
      </c>
      <c r="G34" s="200" t="s">
        <v>23</v>
      </c>
      <c r="H34" s="200">
        <f>SUM(H20:H33)</f>
        <v>0</v>
      </c>
      <c r="I34" s="200">
        <f t="shared" ref="I34" si="21">H34+F34</f>
        <v>0</v>
      </c>
    </row>
    <row r="35" spans="1:9" ht="13.8" x14ac:dyDescent="0.25">
      <c r="A35" s="195" t="s">
        <v>149</v>
      </c>
      <c r="B35" s="195"/>
      <c r="C35" s="195"/>
      <c r="D35" s="195"/>
      <c r="E35" s="195"/>
      <c r="F35" s="195"/>
      <c r="G35" s="195"/>
      <c r="H35" s="195"/>
      <c r="I35" s="195"/>
    </row>
    <row r="36" spans="1:9" ht="46.8" x14ac:dyDescent="0.25">
      <c r="A36" s="188" t="s">
        <v>153</v>
      </c>
      <c r="B36" s="189" t="s">
        <v>154</v>
      </c>
      <c r="C36" s="201" t="s">
        <v>155</v>
      </c>
      <c r="D36" s="202" t="s">
        <v>156</v>
      </c>
      <c r="E36" s="190" t="s">
        <v>157</v>
      </c>
      <c r="F36" s="190" t="s">
        <v>158</v>
      </c>
      <c r="G36" s="190" t="s">
        <v>159</v>
      </c>
      <c r="H36" s="190" t="s">
        <v>160</v>
      </c>
      <c r="I36" s="190" t="s">
        <v>161</v>
      </c>
    </row>
    <row r="37" spans="1:9" x14ac:dyDescent="0.25">
      <c r="A37" s="196">
        <v>1</v>
      </c>
      <c r="B37" s="172" t="s">
        <v>171</v>
      </c>
      <c r="C37" s="125" t="s">
        <v>120</v>
      </c>
      <c r="D37" s="203">
        <f>'Всего детальный'!Q6</f>
        <v>1.3299999999999983</v>
      </c>
      <c r="E37" s="193"/>
      <c r="F37" s="194">
        <f>E37*D37</f>
        <v>0</v>
      </c>
      <c r="G37" s="193"/>
      <c r="H37" s="194">
        <f>G37*D37</f>
        <v>0</v>
      </c>
      <c r="I37" s="194">
        <f>H37+F37</f>
        <v>0</v>
      </c>
    </row>
    <row r="38" spans="1:9" x14ac:dyDescent="0.25">
      <c r="A38" s="196">
        <v>2</v>
      </c>
      <c r="B38" s="172" t="s">
        <v>170</v>
      </c>
      <c r="C38" s="125" t="s">
        <v>120</v>
      </c>
      <c r="D38" s="203">
        <f>'Всего детальный'!Q7</f>
        <v>1.3299999999999983</v>
      </c>
      <c r="E38" s="193"/>
      <c r="F38" s="194">
        <f t="shared" ref="F38:F50" si="22">E38*D38</f>
        <v>0</v>
      </c>
      <c r="G38" s="193"/>
      <c r="H38" s="194">
        <f t="shared" ref="H38:H50" si="23">G38*D38</f>
        <v>0</v>
      </c>
      <c r="I38" s="194">
        <f t="shared" ref="I38:I49" si="24">H38+F38</f>
        <v>0</v>
      </c>
    </row>
    <row r="39" spans="1:9" x14ac:dyDescent="0.25">
      <c r="A39" s="196">
        <v>3</v>
      </c>
      <c r="B39" s="172" t="s">
        <v>169</v>
      </c>
      <c r="C39" s="125" t="s">
        <v>120</v>
      </c>
      <c r="D39" s="203">
        <f>'Всего детальный'!Q8</f>
        <v>1.3299999999999983</v>
      </c>
      <c r="E39" s="193"/>
      <c r="F39" s="194">
        <f t="shared" si="22"/>
        <v>0</v>
      </c>
      <c r="G39" s="193"/>
      <c r="H39" s="194">
        <f t="shared" si="23"/>
        <v>0</v>
      </c>
      <c r="I39" s="194">
        <f t="shared" si="24"/>
        <v>0</v>
      </c>
    </row>
    <row r="40" spans="1:9" x14ac:dyDescent="0.25">
      <c r="A40" s="196">
        <v>4</v>
      </c>
      <c r="B40" s="172" t="s">
        <v>168</v>
      </c>
      <c r="C40" s="125" t="s">
        <v>120</v>
      </c>
      <c r="D40" s="203">
        <f>'Всего детальный'!Q9</f>
        <v>1.3499999999999979</v>
      </c>
      <c r="E40" s="193"/>
      <c r="F40" s="194">
        <f t="shared" si="22"/>
        <v>0</v>
      </c>
      <c r="G40" s="193"/>
      <c r="H40" s="194">
        <f t="shared" si="23"/>
        <v>0</v>
      </c>
      <c r="I40" s="194">
        <f t="shared" si="24"/>
        <v>0</v>
      </c>
    </row>
    <row r="41" spans="1:9" x14ac:dyDescent="0.25">
      <c r="A41" s="196">
        <v>5</v>
      </c>
      <c r="B41" s="172" t="s">
        <v>167</v>
      </c>
      <c r="C41" s="125" t="s">
        <v>120</v>
      </c>
      <c r="D41" s="203">
        <f>'Всего детальный'!Q10</f>
        <v>1.2699999999999978</v>
      </c>
      <c r="E41" s="193"/>
      <c r="F41" s="194">
        <f t="shared" si="22"/>
        <v>0</v>
      </c>
      <c r="G41" s="193"/>
      <c r="H41" s="194">
        <f t="shared" si="23"/>
        <v>0</v>
      </c>
      <c r="I41" s="194">
        <f t="shared" si="24"/>
        <v>0</v>
      </c>
    </row>
    <row r="42" spans="1:9" x14ac:dyDescent="0.25">
      <c r="A42" s="196">
        <v>6</v>
      </c>
      <c r="B42" s="172" t="s">
        <v>166</v>
      </c>
      <c r="C42" s="125" t="s">
        <v>120</v>
      </c>
      <c r="D42" s="203">
        <f>'Всего детальный'!Q11</f>
        <v>1.5599999999999987</v>
      </c>
      <c r="E42" s="193"/>
      <c r="F42" s="194">
        <f t="shared" si="22"/>
        <v>0</v>
      </c>
      <c r="G42" s="193"/>
      <c r="H42" s="194">
        <f t="shared" si="23"/>
        <v>0</v>
      </c>
      <c r="I42" s="194">
        <f t="shared" si="24"/>
        <v>0</v>
      </c>
    </row>
    <row r="43" spans="1:9" ht="41.4" x14ac:dyDescent="0.25">
      <c r="A43" s="196">
        <v>7</v>
      </c>
      <c r="B43" s="174" t="s">
        <v>165</v>
      </c>
      <c r="C43" s="125" t="s">
        <v>127</v>
      </c>
      <c r="D43" s="203">
        <f>'Всего детальный'!Q12</f>
        <v>6233</v>
      </c>
      <c r="E43" s="193"/>
      <c r="F43" s="194">
        <f t="shared" si="22"/>
        <v>0</v>
      </c>
      <c r="G43" s="193"/>
      <c r="H43" s="194">
        <f t="shared" si="23"/>
        <v>0</v>
      </c>
      <c r="I43" s="194">
        <f t="shared" si="24"/>
        <v>0</v>
      </c>
    </row>
    <row r="44" spans="1:9" x14ac:dyDescent="0.25">
      <c r="A44" s="196">
        <v>8</v>
      </c>
      <c r="B44" s="172" t="s">
        <v>162</v>
      </c>
      <c r="C44" s="125" t="s">
        <v>127</v>
      </c>
      <c r="D44" s="203">
        <f>'Всего детальный'!Q13</f>
        <v>23846</v>
      </c>
      <c r="E44" s="193"/>
      <c r="F44" s="194">
        <f t="shared" si="22"/>
        <v>0</v>
      </c>
      <c r="G44" s="193"/>
      <c r="H44" s="194">
        <f t="shared" si="23"/>
        <v>0</v>
      </c>
      <c r="I44" s="194">
        <f t="shared" si="24"/>
        <v>0</v>
      </c>
    </row>
    <row r="45" spans="1:9" x14ac:dyDescent="0.25">
      <c r="A45" s="196">
        <v>9</v>
      </c>
      <c r="B45" s="172" t="s">
        <v>163</v>
      </c>
      <c r="C45" s="125" t="s">
        <v>130</v>
      </c>
      <c r="D45" s="203">
        <f>'Всего детальный'!Q14</f>
        <v>9815</v>
      </c>
      <c r="E45" s="193"/>
      <c r="F45" s="194">
        <f t="shared" si="22"/>
        <v>0</v>
      </c>
      <c r="G45" s="193"/>
      <c r="H45" s="194">
        <f t="shared" si="23"/>
        <v>0</v>
      </c>
      <c r="I45" s="194">
        <f t="shared" si="24"/>
        <v>0</v>
      </c>
    </row>
    <row r="46" spans="1:9" ht="41.4" x14ac:dyDescent="0.25">
      <c r="A46" s="196">
        <v>10</v>
      </c>
      <c r="B46" s="174" t="s">
        <v>164</v>
      </c>
      <c r="C46" s="125" t="s">
        <v>127</v>
      </c>
      <c r="D46" s="203">
        <f>'Всего детальный'!Q15</f>
        <v>272</v>
      </c>
      <c r="E46" s="193"/>
      <c r="F46" s="194">
        <f t="shared" si="22"/>
        <v>0</v>
      </c>
      <c r="G46" s="193"/>
      <c r="H46" s="194">
        <f t="shared" si="23"/>
        <v>0</v>
      </c>
      <c r="I46" s="194">
        <f t="shared" si="24"/>
        <v>0</v>
      </c>
    </row>
    <row r="47" spans="1:9" x14ac:dyDescent="0.25">
      <c r="A47" s="196">
        <v>11</v>
      </c>
      <c r="B47" s="172" t="s">
        <v>132</v>
      </c>
      <c r="C47" s="125" t="s">
        <v>127</v>
      </c>
      <c r="D47" s="203">
        <f>'Всего детальный'!Q16</f>
        <v>304</v>
      </c>
      <c r="E47" s="193"/>
      <c r="F47" s="194">
        <f t="shared" si="22"/>
        <v>0</v>
      </c>
      <c r="G47" s="193"/>
      <c r="H47" s="194">
        <f t="shared" si="23"/>
        <v>0</v>
      </c>
      <c r="I47" s="194">
        <f t="shared" si="24"/>
        <v>0</v>
      </c>
    </row>
    <row r="48" spans="1:9" x14ac:dyDescent="0.25">
      <c r="A48" s="196">
        <v>12</v>
      </c>
      <c r="B48" s="172" t="s">
        <v>133</v>
      </c>
      <c r="C48" s="125" t="s">
        <v>134</v>
      </c>
      <c r="D48" s="203">
        <f>'Всего детальный'!Q17</f>
        <v>13381</v>
      </c>
      <c r="E48" s="193"/>
      <c r="F48" s="194">
        <f t="shared" si="22"/>
        <v>0</v>
      </c>
      <c r="G48" s="193"/>
      <c r="H48" s="194">
        <f t="shared" si="23"/>
        <v>0</v>
      </c>
      <c r="I48" s="194">
        <f t="shared" si="24"/>
        <v>0</v>
      </c>
    </row>
    <row r="49" spans="1:9" ht="41.4" x14ac:dyDescent="0.25">
      <c r="A49" s="196">
        <v>13</v>
      </c>
      <c r="B49" s="174" t="s">
        <v>135</v>
      </c>
      <c r="C49" s="125" t="s">
        <v>127</v>
      </c>
      <c r="D49" s="203">
        <f>'Всего детальный'!Q18</f>
        <v>32</v>
      </c>
      <c r="E49" s="193"/>
      <c r="F49" s="194">
        <f t="shared" si="22"/>
        <v>0</v>
      </c>
      <c r="G49" s="193"/>
      <c r="H49" s="194">
        <f t="shared" si="23"/>
        <v>0</v>
      </c>
      <c r="I49" s="194">
        <f t="shared" si="24"/>
        <v>0</v>
      </c>
    </row>
    <row r="50" spans="1:9" ht="27.6" x14ac:dyDescent="0.25">
      <c r="A50" s="196">
        <v>14</v>
      </c>
      <c r="B50" s="174" t="s">
        <v>136</v>
      </c>
      <c r="C50" s="125" t="s">
        <v>127</v>
      </c>
      <c r="D50" s="203">
        <f>'Всего детальный'!Q19</f>
        <v>31</v>
      </c>
      <c r="E50" s="193"/>
      <c r="F50" s="194">
        <f t="shared" si="22"/>
        <v>0</v>
      </c>
      <c r="G50" s="193"/>
      <c r="H50" s="194">
        <f t="shared" si="23"/>
        <v>0</v>
      </c>
      <c r="I50" s="194">
        <f>H50+F50</f>
        <v>0</v>
      </c>
    </row>
    <row r="51" spans="1:9" ht="13.8" x14ac:dyDescent="0.25">
      <c r="A51" s="200"/>
      <c r="B51" s="197" t="s">
        <v>172</v>
      </c>
      <c r="C51" s="198"/>
      <c r="D51" s="199"/>
      <c r="E51" s="200" t="s">
        <v>23</v>
      </c>
      <c r="F51" s="200">
        <f>SUM(F37:F50)</f>
        <v>0</v>
      </c>
      <c r="G51" s="200" t="s">
        <v>23</v>
      </c>
      <c r="H51" s="200">
        <f>SUM(H37:H50)</f>
        <v>0</v>
      </c>
      <c r="I51" s="200">
        <f t="shared" ref="I51" si="25">H51+F51</f>
        <v>0</v>
      </c>
    </row>
    <row r="52" spans="1:9" ht="13.8" x14ac:dyDescent="0.25">
      <c r="A52" s="195" t="s">
        <v>150</v>
      </c>
      <c r="B52" s="195"/>
      <c r="C52" s="195"/>
      <c r="D52" s="195"/>
      <c r="E52" s="195"/>
      <c r="F52" s="195"/>
      <c r="G52" s="195"/>
      <c r="H52" s="195"/>
      <c r="I52" s="195"/>
    </row>
    <row r="53" spans="1:9" ht="46.8" x14ac:dyDescent="0.25">
      <c r="A53" s="188" t="s">
        <v>153</v>
      </c>
      <c r="B53" s="189" t="s">
        <v>154</v>
      </c>
      <c r="C53" s="201" t="s">
        <v>155</v>
      </c>
      <c r="D53" s="202" t="s">
        <v>156</v>
      </c>
      <c r="E53" s="190" t="s">
        <v>157</v>
      </c>
      <c r="F53" s="190" t="s">
        <v>158</v>
      </c>
      <c r="G53" s="190" t="s">
        <v>159</v>
      </c>
      <c r="H53" s="190" t="s">
        <v>160</v>
      </c>
      <c r="I53" s="190" t="s">
        <v>161</v>
      </c>
    </row>
    <row r="54" spans="1:9" x14ac:dyDescent="0.25">
      <c r="A54" s="196">
        <v>1</v>
      </c>
      <c r="B54" s="172" t="s">
        <v>171</v>
      </c>
      <c r="C54" s="125" t="s">
        <v>120</v>
      </c>
      <c r="D54" s="203">
        <f>'Всего детальный'!V6</f>
        <v>14.039999999999992</v>
      </c>
      <c r="E54" s="193"/>
      <c r="F54" s="194">
        <f>E54*D54</f>
        <v>0</v>
      </c>
      <c r="G54" s="193"/>
      <c r="H54" s="194">
        <f>G54*D54</f>
        <v>0</v>
      </c>
      <c r="I54" s="194">
        <f>H54+F54</f>
        <v>0</v>
      </c>
    </row>
    <row r="55" spans="1:9" x14ac:dyDescent="0.25">
      <c r="A55" s="196">
        <v>2</v>
      </c>
      <c r="B55" s="172" t="s">
        <v>170</v>
      </c>
      <c r="C55" s="125" t="s">
        <v>120</v>
      </c>
      <c r="D55" s="203">
        <f>'Всего детальный'!V7</f>
        <v>18.619999999999994</v>
      </c>
      <c r="E55" s="193"/>
      <c r="F55" s="194">
        <f t="shared" ref="F55:F67" si="26">E55*D55</f>
        <v>0</v>
      </c>
      <c r="G55" s="193"/>
      <c r="H55" s="194">
        <f t="shared" ref="H55:H67" si="27">G55*D55</f>
        <v>0</v>
      </c>
      <c r="I55" s="194">
        <f t="shared" ref="I55:I66" si="28">H55+F55</f>
        <v>0</v>
      </c>
    </row>
    <row r="56" spans="1:9" x14ac:dyDescent="0.25">
      <c r="A56" s="196">
        <v>3</v>
      </c>
      <c r="B56" s="172" t="s">
        <v>169</v>
      </c>
      <c r="C56" s="125" t="s">
        <v>120</v>
      </c>
      <c r="D56" s="203">
        <f>'Всего детальный'!V8</f>
        <v>21.649999999999995</v>
      </c>
      <c r="E56" s="193"/>
      <c r="F56" s="194">
        <f t="shared" si="26"/>
        <v>0</v>
      </c>
      <c r="G56" s="193"/>
      <c r="H56" s="194">
        <f t="shared" si="27"/>
        <v>0</v>
      </c>
      <c r="I56" s="194">
        <f t="shared" si="28"/>
        <v>0</v>
      </c>
    </row>
    <row r="57" spans="1:9" x14ac:dyDescent="0.25">
      <c r="A57" s="196">
        <v>4</v>
      </c>
      <c r="B57" s="172" t="s">
        <v>168</v>
      </c>
      <c r="C57" s="125" t="s">
        <v>120</v>
      </c>
      <c r="D57" s="203">
        <f>'Всего детальный'!V9</f>
        <v>23.419999999999995</v>
      </c>
      <c r="E57" s="193"/>
      <c r="F57" s="194">
        <f t="shared" si="26"/>
        <v>0</v>
      </c>
      <c r="G57" s="193"/>
      <c r="H57" s="194">
        <f t="shared" si="27"/>
        <v>0</v>
      </c>
      <c r="I57" s="194">
        <f t="shared" si="28"/>
        <v>0</v>
      </c>
    </row>
    <row r="58" spans="1:9" x14ac:dyDescent="0.25">
      <c r="A58" s="196">
        <v>5</v>
      </c>
      <c r="B58" s="172" t="s">
        <v>167</v>
      </c>
      <c r="C58" s="125" t="s">
        <v>120</v>
      </c>
      <c r="D58" s="203">
        <f>'Всего детальный'!V10</f>
        <v>24.639999999999997</v>
      </c>
      <c r="E58" s="193"/>
      <c r="F58" s="194">
        <f t="shared" si="26"/>
        <v>0</v>
      </c>
      <c r="G58" s="193"/>
      <c r="H58" s="194">
        <f t="shared" si="27"/>
        <v>0</v>
      </c>
      <c r="I58" s="194">
        <f t="shared" si="28"/>
        <v>0</v>
      </c>
    </row>
    <row r="59" spans="1:9" x14ac:dyDescent="0.25">
      <c r="A59" s="196">
        <v>6</v>
      </c>
      <c r="B59" s="172" t="s">
        <v>166</v>
      </c>
      <c r="C59" s="125" t="s">
        <v>120</v>
      </c>
      <c r="D59" s="203">
        <f>'Всего детальный'!V11</f>
        <v>27.419999999999995</v>
      </c>
      <c r="E59" s="193"/>
      <c r="F59" s="194">
        <f t="shared" si="26"/>
        <v>0</v>
      </c>
      <c r="G59" s="193"/>
      <c r="H59" s="194">
        <f t="shared" si="27"/>
        <v>0</v>
      </c>
      <c r="I59" s="194">
        <f t="shared" si="28"/>
        <v>0</v>
      </c>
    </row>
    <row r="60" spans="1:9" ht="41.4" x14ac:dyDescent="0.25">
      <c r="A60" s="196">
        <v>7</v>
      </c>
      <c r="B60" s="174" t="s">
        <v>165</v>
      </c>
      <c r="C60" s="125" t="s">
        <v>127</v>
      </c>
      <c r="D60" s="203">
        <f>'Всего детальный'!V12</f>
        <v>26929</v>
      </c>
      <c r="E60" s="193"/>
      <c r="F60" s="194">
        <f t="shared" si="26"/>
        <v>0</v>
      </c>
      <c r="G60" s="193"/>
      <c r="H60" s="194">
        <f t="shared" si="27"/>
        <v>0</v>
      </c>
      <c r="I60" s="194">
        <f t="shared" si="28"/>
        <v>0</v>
      </c>
    </row>
    <row r="61" spans="1:9" x14ac:dyDescent="0.25">
      <c r="A61" s="196">
        <v>8</v>
      </c>
      <c r="B61" s="172" t="s">
        <v>162</v>
      </c>
      <c r="C61" s="125" t="s">
        <v>127</v>
      </c>
      <c r="D61" s="203">
        <f>'Всего детальный'!V13</f>
        <v>6921</v>
      </c>
      <c r="E61" s="193"/>
      <c r="F61" s="194">
        <f t="shared" si="26"/>
        <v>0</v>
      </c>
      <c r="G61" s="193"/>
      <c r="H61" s="194">
        <f t="shared" si="27"/>
        <v>0</v>
      </c>
      <c r="I61" s="194">
        <f t="shared" si="28"/>
        <v>0</v>
      </c>
    </row>
    <row r="62" spans="1:9" x14ac:dyDescent="0.25">
      <c r="A62" s="196">
        <v>9</v>
      </c>
      <c r="B62" s="172" t="s">
        <v>163</v>
      </c>
      <c r="C62" s="125" t="s">
        <v>130</v>
      </c>
      <c r="D62" s="203">
        <f>'Всего детальный'!V14</f>
        <v>24389</v>
      </c>
      <c r="E62" s="193"/>
      <c r="F62" s="194">
        <f t="shared" si="26"/>
        <v>0</v>
      </c>
      <c r="G62" s="193"/>
      <c r="H62" s="194">
        <f t="shared" si="27"/>
        <v>0</v>
      </c>
      <c r="I62" s="194">
        <f t="shared" si="28"/>
        <v>0</v>
      </c>
    </row>
    <row r="63" spans="1:9" ht="41.4" x14ac:dyDescent="0.25">
      <c r="A63" s="196">
        <v>10</v>
      </c>
      <c r="B63" s="174" t="s">
        <v>164</v>
      </c>
      <c r="C63" s="125" t="s">
        <v>127</v>
      </c>
      <c r="D63" s="203">
        <f>'Всего детальный'!V15</f>
        <v>623</v>
      </c>
      <c r="E63" s="193"/>
      <c r="F63" s="194">
        <f t="shared" si="26"/>
        <v>0</v>
      </c>
      <c r="G63" s="193"/>
      <c r="H63" s="194">
        <f t="shared" si="27"/>
        <v>0</v>
      </c>
      <c r="I63" s="194">
        <f t="shared" si="28"/>
        <v>0</v>
      </c>
    </row>
    <row r="64" spans="1:9" x14ac:dyDescent="0.25">
      <c r="A64" s="196">
        <v>11</v>
      </c>
      <c r="B64" s="172" t="s">
        <v>132</v>
      </c>
      <c r="C64" s="125" t="s">
        <v>127</v>
      </c>
      <c r="D64" s="203">
        <f>'Всего детальный'!V16</f>
        <v>728</v>
      </c>
      <c r="E64" s="193"/>
      <c r="F64" s="194">
        <f t="shared" si="26"/>
        <v>0</v>
      </c>
      <c r="G64" s="193"/>
      <c r="H64" s="194">
        <f t="shared" si="27"/>
        <v>0</v>
      </c>
      <c r="I64" s="194">
        <f t="shared" si="28"/>
        <v>0</v>
      </c>
    </row>
    <row r="65" spans="1:9" x14ac:dyDescent="0.25">
      <c r="A65" s="196">
        <v>12</v>
      </c>
      <c r="B65" s="172" t="s">
        <v>133</v>
      </c>
      <c r="C65" s="125" t="s">
        <v>134</v>
      </c>
      <c r="D65" s="203">
        <f>'Всего детальный'!V17</f>
        <v>45.62</v>
      </c>
      <c r="E65" s="193"/>
      <c r="F65" s="194">
        <f t="shared" si="26"/>
        <v>0</v>
      </c>
      <c r="G65" s="193"/>
      <c r="H65" s="194">
        <f t="shared" si="27"/>
        <v>0</v>
      </c>
      <c r="I65" s="194">
        <f t="shared" si="28"/>
        <v>0</v>
      </c>
    </row>
    <row r="66" spans="1:9" ht="41.4" x14ac:dyDescent="0.25">
      <c r="A66" s="196">
        <v>13</v>
      </c>
      <c r="B66" s="174" t="s">
        <v>135</v>
      </c>
      <c r="C66" s="125" t="s">
        <v>127</v>
      </c>
      <c r="D66" s="203">
        <f>'Всего детальный'!V18</f>
        <v>16</v>
      </c>
      <c r="E66" s="193"/>
      <c r="F66" s="194">
        <f t="shared" si="26"/>
        <v>0</v>
      </c>
      <c r="G66" s="193"/>
      <c r="H66" s="194">
        <f t="shared" si="27"/>
        <v>0</v>
      </c>
      <c r="I66" s="194">
        <f t="shared" si="28"/>
        <v>0</v>
      </c>
    </row>
    <row r="67" spans="1:9" ht="27.6" x14ac:dyDescent="0.25">
      <c r="A67" s="196">
        <v>14</v>
      </c>
      <c r="B67" s="174" t="s">
        <v>136</v>
      </c>
      <c r="C67" s="125" t="s">
        <v>127</v>
      </c>
      <c r="D67" s="203">
        <f>'Всего детальный'!V19</f>
        <v>47</v>
      </c>
      <c r="E67" s="193"/>
      <c r="F67" s="194">
        <f t="shared" si="26"/>
        <v>0</v>
      </c>
      <c r="G67" s="193"/>
      <c r="H67" s="194">
        <f t="shared" si="27"/>
        <v>0</v>
      </c>
      <c r="I67" s="194">
        <f>H67+F67</f>
        <v>0</v>
      </c>
    </row>
    <row r="68" spans="1:9" ht="13.8" x14ac:dyDescent="0.25">
      <c r="A68" s="200"/>
      <c r="B68" s="197" t="s">
        <v>172</v>
      </c>
      <c r="C68" s="198"/>
      <c r="D68" s="199"/>
      <c r="E68" s="200" t="s">
        <v>23</v>
      </c>
      <c r="F68" s="200">
        <f>SUM(F54:F67)</f>
        <v>0</v>
      </c>
      <c r="G68" s="200" t="s">
        <v>23</v>
      </c>
      <c r="H68" s="200">
        <f>SUM(H54:H67)</f>
        <v>0</v>
      </c>
      <c r="I68" s="200">
        <f t="shared" ref="I68" si="29">H68+F68</f>
        <v>0</v>
      </c>
    </row>
    <row r="69" spans="1:9" ht="13.8" x14ac:dyDescent="0.25">
      <c r="A69" s="195" t="s">
        <v>151</v>
      </c>
      <c r="B69" s="195"/>
      <c r="C69" s="195"/>
      <c r="D69" s="195"/>
      <c r="E69" s="195"/>
      <c r="F69" s="195"/>
      <c r="G69" s="195"/>
      <c r="H69" s="195"/>
      <c r="I69" s="195"/>
    </row>
    <row r="70" spans="1:9" ht="46.8" x14ac:dyDescent="0.25">
      <c r="A70" s="188" t="s">
        <v>153</v>
      </c>
      <c r="B70" s="189" t="s">
        <v>154</v>
      </c>
      <c r="C70" s="201" t="s">
        <v>155</v>
      </c>
      <c r="D70" s="202" t="s">
        <v>156</v>
      </c>
      <c r="E70" s="190" t="s">
        <v>157</v>
      </c>
      <c r="F70" s="190" t="s">
        <v>158</v>
      </c>
      <c r="G70" s="190" t="s">
        <v>159</v>
      </c>
      <c r="H70" s="190" t="s">
        <v>160</v>
      </c>
      <c r="I70" s="190" t="s">
        <v>161</v>
      </c>
    </row>
    <row r="71" spans="1:9" x14ac:dyDescent="0.25">
      <c r="A71" s="196">
        <v>1</v>
      </c>
      <c r="B71" s="172" t="s">
        <v>171</v>
      </c>
      <c r="C71" s="125" t="s">
        <v>120</v>
      </c>
      <c r="D71" s="203">
        <f>'Всего детальный'!AA6</f>
        <v>1.0459999999999994</v>
      </c>
      <c r="E71" s="193"/>
      <c r="F71" s="194">
        <f>E71*D71</f>
        <v>0</v>
      </c>
      <c r="G71" s="193"/>
      <c r="H71" s="194">
        <f>G71*D71</f>
        <v>0</v>
      </c>
      <c r="I71" s="194">
        <f>H71+F71</f>
        <v>0</v>
      </c>
    </row>
    <row r="72" spans="1:9" x14ac:dyDescent="0.25">
      <c r="A72" s="196">
        <v>2</v>
      </c>
      <c r="B72" s="172" t="s">
        <v>170</v>
      </c>
      <c r="C72" s="125" t="s">
        <v>120</v>
      </c>
      <c r="D72" s="203">
        <f>'Всего детальный'!AA7</f>
        <v>6.7789999999999999</v>
      </c>
      <c r="E72" s="193"/>
      <c r="F72" s="194">
        <f t="shared" ref="F72:F84" si="30">E72*D72</f>
        <v>0</v>
      </c>
      <c r="G72" s="193"/>
      <c r="H72" s="194">
        <f t="shared" ref="H72:H84" si="31">G72*D72</f>
        <v>0</v>
      </c>
      <c r="I72" s="194">
        <f t="shared" ref="I72:I83" si="32">H72+F72</f>
        <v>0</v>
      </c>
    </row>
    <row r="73" spans="1:9" x14ac:dyDescent="0.25">
      <c r="A73" s="196">
        <v>3</v>
      </c>
      <c r="B73" s="172" t="s">
        <v>169</v>
      </c>
      <c r="C73" s="125" t="s">
        <v>120</v>
      </c>
      <c r="D73" s="203">
        <f>'Всего детальный'!AA8</f>
        <v>7.3339999999999996</v>
      </c>
      <c r="E73" s="193"/>
      <c r="F73" s="194">
        <f t="shared" si="30"/>
        <v>0</v>
      </c>
      <c r="G73" s="193"/>
      <c r="H73" s="194">
        <f t="shared" si="31"/>
        <v>0</v>
      </c>
      <c r="I73" s="194">
        <f t="shared" si="32"/>
        <v>0</v>
      </c>
    </row>
    <row r="74" spans="1:9" x14ac:dyDescent="0.25">
      <c r="A74" s="196">
        <v>4</v>
      </c>
      <c r="B74" s="172" t="s">
        <v>168</v>
      </c>
      <c r="C74" s="125" t="s">
        <v>120</v>
      </c>
      <c r="D74" s="203">
        <f>'Всего детальный'!AA9</f>
        <v>7.4669999999999987</v>
      </c>
      <c r="E74" s="193"/>
      <c r="F74" s="194">
        <f t="shared" si="30"/>
        <v>0</v>
      </c>
      <c r="G74" s="193"/>
      <c r="H74" s="194">
        <f t="shared" si="31"/>
        <v>0</v>
      </c>
      <c r="I74" s="194">
        <f t="shared" si="32"/>
        <v>0</v>
      </c>
    </row>
    <row r="75" spans="1:9" x14ac:dyDescent="0.25">
      <c r="A75" s="196">
        <v>5</v>
      </c>
      <c r="B75" s="172" t="s">
        <v>167</v>
      </c>
      <c r="C75" s="125" t="s">
        <v>120</v>
      </c>
      <c r="D75" s="203">
        <f>'Всего детальный'!AA10</f>
        <v>7.5589999999999993</v>
      </c>
      <c r="E75" s="193"/>
      <c r="F75" s="194">
        <f t="shared" si="30"/>
        <v>0</v>
      </c>
      <c r="G75" s="193"/>
      <c r="H75" s="194">
        <f t="shared" si="31"/>
        <v>0</v>
      </c>
      <c r="I75" s="194">
        <f t="shared" si="32"/>
        <v>0</v>
      </c>
    </row>
    <row r="76" spans="1:9" x14ac:dyDescent="0.25">
      <c r="A76" s="196">
        <v>6</v>
      </c>
      <c r="B76" s="172" t="s">
        <v>166</v>
      </c>
      <c r="C76" s="125" t="s">
        <v>120</v>
      </c>
      <c r="D76" s="203">
        <f>'Всего детальный'!AA11</f>
        <v>7.5739999999999981</v>
      </c>
      <c r="E76" s="193"/>
      <c r="F76" s="194">
        <f t="shared" si="30"/>
        <v>0</v>
      </c>
      <c r="G76" s="193"/>
      <c r="H76" s="194">
        <f t="shared" si="31"/>
        <v>0</v>
      </c>
      <c r="I76" s="194">
        <f t="shared" si="32"/>
        <v>0</v>
      </c>
    </row>
    <row r="77" spans="1:9" ht="41.4" x14ac:dyDescent="0.25">
      <c r="A77" s="196">
        <v>7</v>
      </c>
      <c r="B77" s="174" t="s">
        <v>165</v>
      </c>
      <c r="C77" s="125" t="s">
        <v>127</v>
      </c>
      <c r="D77" s="203">
        <f>'Всего детальный'!AA12</f>
        <v>10531</v>
      </c>
      <c r="E77" s="193"/>
      <c r="F77" s="194">
        <f t="shared" si="30"/>
        <v>0</v>
      </c>
      <c r="G77" s="193"/>
      <c r="H77" s="194">
        <f t="shared" si="31"/>
        <v>0</v>
      </c>
      <c r="I77" s="194">
        <f t="shared" si="32"/>
        <v>0</v>
      </c>
    </row>
    <row r="78" spans="1:9" x14ac:dyDescent="0.25">
      <c r="A78" s="196">
        <v>8</v>
      </c>
      <c r="B78" s="172" t="s">
        <v>162</v>
      </c>
      <c r="C78" s="125" t="s">
        <v>127</v>
      </c>
      <c r="D78" s="203">
        <f>'Всего детальный'!AA13</f>
        <v>22472</v>
      </c>
      <c r="E78" s="193"/>
      <c r="F78" s="194">
        <f t="shared" si="30"/>
        <v>0</v>
      </c>
      <c r="G78" s="193"/>
      <c r="H78" s="194">
        <f t="shared" si="31"/>
        <v>0</v>
      </c>
      <c r="I78" s="194">
        <f t="shared" si="32"/>
        <v>0</v>
      </c>
    </row>
    <row r="79" spans="1:9" x14ac:dyDescent="0.25">
      <c r="A79" s="196">
        <v>9</v>
      </c>
      <c r="B79" s="172" t="s">
        <v>163</v>
      </c>
      <c r="C79" s="125" t="s">
        <v>130</v>
      </c>
      <c r="D79" s="203">
        <f>'Всего детальный'!AA14</f>
        <v>4140</v>
      </c>
      <c r="E79" s="193"/>
      <c r="F79" s="194">
        <f t="shared" si="30"/>
        <v>0</v>
      </c>
      <c r="G79" s="193"/>
      <c r="H79" s="194">
        <f t="shared" si="31"/>
        <v>0</v>
      </c>
      <c r="I79" s="194">
        <f t="shared" si="32"/>
        <v>0</v>
      </c>
    </row>
    <row r="80" spans="1:9" ht="41.4" x14ac:dyDescent="0.25">
      <c r="A80" s="196">
        <v>10</v>
      </c>
      <c r="B80" s="174" t="s">
        <v>164</v>
      </c>
      <c r="C80" s="125" t="s">
        <v>127</v>
      </c>
      <c r="D80" s="203">
        <f>'Всего детальный'!AA15</f>
        <v>185</v>
      </c>
      <c r="E80" s="193"/>
      <c r="F80" s="194">
        <f t="shared" si="30"/>
        <v>0</v>
      </c>
      <c r="G80" s="193"/>
      <c r="H80" s="194">
        <f t="shared" si="31"/>
        <v>0</v>
      </c>
      <c r="I80" s="194">
        <f t="shared" si="32"/>
        <v>0</v>
      </c>
    </row>
    <row r="81" spans="1:9" x14ac:dyDescent="0.25">
      <c r="A81" s="196">
        <v>11</v>
      </c>
      <c r="B81" s="172" t="s">
        <v>132</v>
      </c>
      <c r="C81" s="125" t="s">
        <v>127</v>
      </c>
      <c r="D81" s="203">
        <f>'Всего детальный'!AA16</f>
        <v>202</v>
      </c>
      <c r="E81" s="193"/>
      <c r="F81" s="194">
        <f t="shared" si="30"/>
        <v>0</v>
      </c>
      <c r="G81" s="193"/>
      <c r="H81" s="194">
        <f t="shared" si="31"/>
        <v>0</v>
      </c>
      <c r="I81" s="194">
        <f t="shared" si="32"/>
        <v>0</v>
      </c>
    </row>
    <row r="82" spans="1:9" x14ac:dyDescent="0.25">
      <c r="A82" s="196">
        <v>12</v>
      </c>
      <c r="B82" s="172" t="s">
        <v>133</v>
      </c>
      <c r="C82" s="125" t="s">
        <v>134</v>
      </c>
      <c r="D82" s="203">
        <f>'Всего детальный'!AA17</f>
        <v>10.7</v>
      </c>
      <c r="E82" s="193"/>
      <c r="F82" s="194">
        <f t="shared" si="30"/>
        <v>0</v>
      </c>
      <c r="G82" s="193"/>
      <c r="H82" s="194">
        <f t="shared" si="31"/>
        <v>0</v>
      </c>
      <c r="I82" s="194">
        <f t="shared" si="32"/>
        <v>0</v>
      </c>
    </row>
    <row r="83" spans="1:9" ht="41.4" x14ac:dyDescent="0.25">
      <c r="A83" s="196">
        <v>13</v>
      </c>
      <c r="B83" s="174" t="s">
        <v>135</v>
      </c>
      <c r="C83" s="125" t="s">
        <v>127</v>
      </c>
      <c r="D83" s="203">
        <f>'Всего детальный'!AA18</f>
        <v>32</v>
      </c>
      <c r="E83" s="193"/>
      <c r="F83" s="194">
        <f t="shared" si="30"/>
        <v>0</v>
      </c>
      <c r="G83" s="193"/>
      <c r="H83" s="194">
        <f t="shared" si="31"/>
        <v>0</v>
      </c>
      <c r="I83" s="194">
        <f t="shared" si="32"/>
        <v>0</v>
      </c>
    </row>
    <row r="84" spans="1:9" ht="27.6" x14ac:dyDescent="0.25">
      <c r="A84" s="196">
        <v>14</v>
      </c>
      <c r="B84" s="174" t="s">
        <v>136</v>
      </c>
      <c r="C84" s="125" t="s">
        <v>127</v>
      </c>
      <c r="D84" s="203">
        <f>'Всего детальный'!AA19</f>
        <v>22</v>
      </c>
      <c r="E84" s="193"/>
      <c r="F84" s="194">
        <f t="shared" si="30"/>
        <v>0</v>
      </c>
      <c r="G84" s="193"/>
      <c r="H84" s="194">
        <f t="shared" si="31"/>
        <v>0</v>
      </c>
      <c r="I84" s="194">
        <f>H84+F84</f>
        <v>0</v>
      </c>
    </row>
    <row r="85" spans="1:9" ht="13.8" x14ac:dyDescent="0.25">
      <c r="A85" s="200"/>
      <c r="B85" s="197" t="s">
        <v>172</v>
      </c>
      <c r="C85" s="198"/>
      <c r="D85" s="199"/>
      <c r="E85" s="200" t="s">
        <v>23</v>
      </c>
      <c r="F85" s="200">
        <f>SUM(F71:F84)</f>
        <v>0</v>
      </c>
      <c r="G85" s="200" t="s">
        <v>23</v>
      </c>
      <c r="H85" s="200">
        <f>SUM(H71:H84)</f>
        <v>0</v>
      </c>
      <c r="I85" s="200">
        <f t="shared" ref="I85" si="33">H85+F85</f>
        <v>0</v>
      </c>
    </row>
  </sheetData>
  <mergeCells count="10">
    <mergeCell ref="A52:I52"/>
    <mergeCell ref="B68:D68"/>
    <mergeCell ref="A69:I69"/>
    <mergeCell ref="B85:D85"/>
    <mergeCell ref="A1:I1"/>
    <mergeCell ref="A18:I18"/>
    <mergeCell ref="B34:D34"/>
    <mergeCell ref="B17:D17"/>
    <mergeCell ref="A35:I35"/>
    <mergeCell ref="B51:D51"/>
  </mergeCells>
  <pageMargins left="0.7" right="0.7" top="0.75" bottom="0.75" header="0.3" footer="0.3"/>
  <pageSetup paperSize="9" scale="52" orientation="portrait" r:id="rId1"/>
  <rowBreaks count="1" manualBreakCount="1">
    <brk id="5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5443A-ADD5-4AC9-BC4E-F371241B6D72}">
  <sheetPr>
    <pageSetUpPr fitToPage="1"/>
  </sheetPr>
  <dimension ref="A1:AB24"/>
  <sheetViews>
    <sheetView view="pageBreakPreview" zoomScale="60" zoomScaleNormal="70" workbookViewId="0">
      <selection activeCell="AA19" sqref="AA19:AA20"/>
    </sheetView>
  </sheetViews>
  <sheetFormatPr defaultRowHeight="13.8" x14ac:dyDescent="0.25"/>
  <cols>
    <col min="1" max="1" width="8.88671875" style="76"/>
    <col min="2" max="2" width="29" style="76" customWidth="1"/>
    <col min="3" max="3" width="15.33203125" style="76" customWidth="1"/>
    <col min="4" max="4" width="8.88671875" style="76"/>
    <col min="5" max="5" width="8.109375" style="76" customWidth="1"/>
    <col min="6" max="6" width="13.77734375" style="76" customWidth="1"/>
    <col min="7" max="8" width="13.77734375" style="76" hidden="1" customWidth="1"/>
    <col min="9" max="11" width="11.88671875" style="76" customWidth="1"/>
    <col min="12" max="12" width="5.33203125" style="76" hidden="1" customWidth="1"/>
    <col min="13" max="13" width="12.6640625" style="76" customWidth="1"/>
    <col min="14" max="14" width="10" style="76" customWidth="1"/>
    <col min="15" max="15" width="12.6640625" style="76" customWidth="1"/>
    <col min="16" max="16" width="8.77734375" style="76" hidden="1" customWidth="1"/>
    <col min="17" max="19" width="11.77734375" style="76" customWidth="1"/>
    <col min="20" max="20" width="8.77734375" style="76" hidden="1" customWidth="1"/>
    <col min="21" max="21" width="12.6640625" style="76" customWidth="1"/>
    <col min="22" max="22" width="10.5546875" style="76" customWidth="1"/>
    <col min="23" max="23" width="12.6640625" style="76" customWidth="1"/>
    <col min="24" max="24" width="9.5546875" style="76" hidden="1" customWidth="1"/>
    <col min="25" max="25" width="8.88671875" style="76"/>
    <col min="26" max="26" width="10.33203125" style="76" customWidth="1"/>
    <col min="27" max="27" width="10" style="76" customWidth="1"/>
    <col min="28" max="28" width="8.5546875" style="76" hidden="1" customWidth="1"/>
    <col min="29" max="16384" width="8.88671875" style="76"/>
  </cols>
  <sheetData>
    <row r="1" spans="1:28" ht="39.6" customHeight="1" x14ac:dyDescent="0.25">
      <c r="A1" s="206" t="s">
        <v>148</v>
      </c>
      <c r="B1" s="206"/>
      <c r="C1" s="206"/>
      <c r="D1" s="206"/>
      <c r="E1" s="206"/>
      <c r="F1" s="206"/>
    </row>
    <row r="2" spans="1:28" s="68" customFormat="1" x14ac:dyDescent="0.25">
      <c r="A2" s="66" t="s">
        <v>107</v>
      </c>
      <c r="B2" s="66" t="s">
        <v>108</v>
      </c>
      <c r="C2" s="66" t="s">
        <v>109</v>
      </c>
      <c r="D2" s="66" t="s">
        <v>110</v>
      </c>
      <c r="E2" s="66"/>
      <c r="F2" s="66"/>
      <c r="G2" s="69"/>
      <c r="H2" s="69"/>
      <c r="I2" s="67" t="s">
        <v>111</v>
      </c>
      <c r="J2" s="67"/>
      <c r="K2" s="67"/>
      <c r="L2" s="91"/>
      <c r="M2" s="67" t="s">
        <v>112</v>
      </c>
      <c r="N2" s="67"/>
      <c r="O2" s="67"/>
      <c r="P2" s="91"/>
      <c r="Q2" s="67" t="s">
        <v>113</v>
      </c>
      <c r="R2" s="67"/>
      <c r="S2" s="67"/>
      <c r="T2" s="91"/>
      <c r="U2" s="67" t="s">
        <v>114</v>
      </c>
      <c r="V2" s="67"/>
      <c r="W2" s="67"/>
      <c r="X2" s="91"/>
      <c r="Y2" s="95" t="s">
        <v>115</v>
      </c>
      <c r="Z2" s="96"/>
      <c r="AA2" s="97"/>
      <c r="AB2" s="94"/>
    </row>
    <row r="3" spans="1:28" s="68" customFormat="1" ht="42.6" customHeight="1" x14ac:dyDescent="0.25">
      <c r="A3" s="66"/>
      <c r="B3" s="66"/>
      <c r="C3" s="66"/>
      <c r="D3" s="70" t="s">
        <v>110</v>
      </c>
      <c r="E3" s="70" t="s">
        <v>137</v>
      </c>
      <c r="F3" s="70" t="s">
        <v>116</v>
      </c>
      <c r="G3" s="70" t="s">
        <v>139</v>
      </c>
      <c r="H3" s="70" t="s">
        <v>140</v>
      </c>
      <c r="I3" s="70" t="s">
        <v>110</v>
      </c>
      <c r="J3" s="70" t="s">
        <v>137</v>
      </c>
      <c r="K3" s="70" t="s">
        <v>116</v>
      </c>
      <c r="L3" s="116" t="s">
        <v>141</v>
      </c>
      <c r="M3" s="70" t="s">
        <v>110</v>
      </c>
      <c r="N3" s="70" t="s">
        <v>137</v>
      </c>
      <c r="O3" s="70" t="s">
        <v>116</v>
      </c>
      <c r="P3" s="116" t="s">
        <v>141</v>
      </c>
      <c r="Q3" s="70" t="s">
        <v>110</v>
      </c>
      <c r="R3" s="70" t="s">
        <v>137</v>
      </c>
      <c r="S3" s="70" t="s">
        <v>116</v>
      </c>
      <c r="T3" s="116" t="s">
        <v>141</v>
      </c>
      <c r="U3" s="70" t="s">
        <v>110</v>
      </c>
      <c r="V3" s="70" t="s">
        <v>137</v>
      </c>
      <c r="W3" s="70" t="s">
        <v>116</v>
      </c>
      <c r="X3" s="89" t="s">
        <v>141</v>
      </c>
      <c r="Y3" s="70" t="s">
        <v>110</v>
      </c>
      <c r="Z3" s="70" t="s">
        <v>137</v>
      </c>
      <c r="AA3" s="70" t="s">
        <v>116</v>
      </c>
      <c r="AB3" s="89" t="s">
        <v>141</v>
      </c>
    </row>
    <row r="4" spans="1:28" s="68" customFormat="1" ht="30.6" customHeight="1" x14ac:dyDescent="0.25">
      <c r="A4" s="71" t="s">
        <v>142</v>
      </c>
      <c r="B4" s="72"/>
      <c r="C4" s="72"/>
      <c r="D4" s="72"/>
      <c r="E4" s="72"/>
      <c r="F4" s="73"/>
      <c r="G4" s="102"/>
      <c r="H4" s="102"/>
      <c r="I4" s="115" t="str">
        <f>Курск!I6</f>
        <v>Получено положительное заключение 
№ 46-1-1-3-079195-2023 от 20.11.2023</v>
      </c>
      <c r="J4" s="118"/>
      <c r="K4" s="119"/>
      <c r="L4" s="117"/>
      <c r="M4" s="115" t="str">
        <f>Курск!I8</f>
        <v>Получено положительное заключение 
№ 46-1-1-3-068353-2023 от 13.11.2023</v>
      </c>
      <c r="N4" s="118"/>
      <c r="O4" s="119"/>
      <c r="P4" s="117"/>
      <c r="Q4" s="115" t="str">
        <f>Курск!I9</f>
        <v>Получено положительное заключение 
№ 46-1-1-3-077205-2023 от 14.12.2023</v>
      </c>
      <c r="R4" s="118"/>
      <c r="S4" s="119"/>
      <c r="T4" s="117"/>
      <c r="U4" s="115" t="str">
        <f>Курск!I10</f>
        <v>Получено положительное заключение
№ 46-1-1-3-073551-2023 от 01.12.2023</v>
      </c>
      <c r="V4" s="118"/>
      <c r="W4" s="119"/>
      <c r="X4" s="92"/>
      <c r="Y4" s="109" t="s">
        <v>145</v>
      </c>
      <c r="Z4" s="110"/>
      <c r="AA4" s="111"/>
      <c r="AB4" s="92"/>
    </row>
    <row r="5" spans="1:28" s="68" customFormat="1" ht="24" customHeight="1" x14ac:dyDescent="0.25">
      <c r="A5" s="120"/>
      <c r="B5" s="121"/>
      <c r="C5" s="121"/>
      <c r="D5" s="121"/>
      <c r="E5" s="121"/>
      <c r="F5" s="122"/>
      <c r="G5" s="102"/>
      <c r="H5" s="102"/>
      <c r="I5" s="124" t="s">
        <v>144</v>
      </c>
      <c r="J5" s="124"/>
      <c r="K5" s="124"/>
      <c r="L5" s="124"/>
      <c r="M5" s="124"/>
      <c r="N5" s="124"/>
      <c r="O5" s="124"/>
      <c r="P5" s="124"/>
      <c r="Q5" s="124"/>
      <c r="R5" s="124"/>
      <c r="S5" s="124"/>
      <c r="T5" s="124"/>
      <c r="U5" s="124"/>
      <c r="V5" s="124"/>
      <c r="W5" s="124"/>
      <c r="X5" s="92"/>
      <c r="Y5" s="112"/>
      <c r="Z5" s="113"/>
      <c r="AA5" s="114"/>
      <c r="AB5" s="92"/>
    </row>
    <row r="6" spans="1:28" s="135" customFormat="1" ht="16.8" customHeight="1" x14ac:dyDescent="0.35">
      <c r="A6" s="140" t="s">
        <v>117</v>
      </c>
      <c r="B6" s="141"/>
      <c r="C6" s="126" t="s">
        <v>118</v>
      </c>
      <c r="D6" s="127">
        <f>SUM(I6:AA6)</f>
        <v>5732090.7999999998</v>
      </c>
      <c r="E6" s="128"/>
      <c r="F6" s="129"/>
      <c r="G6" s="130"/>
      <c r="H6" s="130"/>
      <c r="I6" s="131">
        <f>Курск!J6+Курск!J7</f>
        <v>721499</v>
      </c>
      <c r="J6" s="132"/>
      <c r="K6" s="133"/>
      <c r="L6" s="134"/>
      <c r="M6" s="131">
        <f>Курск!J7</f>
        <v>464894</v>
      </c>
      <c r="N6" s="132"/>
      <c r="O6" s="133"/>
      <c r="P6" s="134"/>
      <c r="Q6" s="131">
        <f>Курск!J9</f>
        <v>1504031</v>
      </c>
      <c r="R6" s="132"/>
      <c r="S6" s="133"/>
      <c r="T6" s="134"/>
      <c r="U6" s="131">
        <f>Курск!J10</f>
        <v>1288819</v>
      </c>
      <c r="V6" s="132"/>
      <c r="W6" s="133"/>
      <c r="X6" s="92"/>
      <c r="Y6" s="165">
        <f>Курск!K11</f>
        <v>1752847.8</v>
      </c>
      <c r="Z6" s="165"/>
      <c r="AA6" s="165"/>
      <c r="AB6" s="92"/>
    </row>
    <row r="7" spans="1:28" s="135" customFormat="1" ht="16.8" customHeight="1" x14ac:dyDescent="0.35">
      <c r="A7" s="140" t="s">
        <v>138</v>
      </c>
      <c r="B7" s="141"/>
      <c r="C7" s="136"/>
      <c r="D7" s="127">
        <f>SUM(I7:AA7)</f>
        <v>1252122</v>
      </c>
      <c r="E7" s="128"/>
      <c r="F7" s="129"/>
      <c r="G7" s="130"/>
      <c r="H7" s="130"/>
      <c r="I7" s="137">
        <f>Курск!L6+Курск!L7</f>
        <v>383265</v>
      </c>
      <c r="J7" s="138"/>
      <c r="K7" s="139"/>
      <c r="L7" s="134"/>
      <c r="M7" s="137">
        <f>Курск!L8</f>
        <v>147839</v>
      </c>
      <c r="N7" s="138"/>
      <c r="O7" s="139"/>
      <c r="P7" s="134"/>
      <c r="Q7" s="137">
        <f>Курск!L9</f>
        <v>392714</v>
      </c>
      <c r="R7" s="138"/>
      <c r="S7" s="139"/>
      <c r="T7" s="134"/>
      <c r="U7" s="137">
        <f>Курск!L10</f>
        <v>328304</v>
      </c>
      <c r="V7" s="138"/>
      <c r="W7" s="139"/>
      <c r="X7" s="92"/>
      <c r="Y7" s="137">
        <f>Курск!L11</f>
        <v>0</v>
      </c>
      <c r="Z7" s="138"/>
      <c r="AA7" s="139"/>
      <c r="AB7" s="92"/>
    </row>
    <row r="8" spans="1:28" s="156" customFormat="1" ht="27" customHeight="1" x14ac:dyDescent="0.35">
      <c r="A8" s="148" t="s">
        <v>146</v>
      </c>
      <c r="B8" s="149"/>
      <c r="C8" s="150"/>
      <c r="D8" s="151">
        <f>SUM(G9:G22)</f>
        <v>0.93279327783915411</v>
      </c>
      <c r="E8" s="152"/>
      <c r="F8" s="153"/>
      <c r="G8" s="158"/>
      <c r="H8" s="154">
        <f>SUM(H9:H22)</f>
        <v>1</v>
      </c>
      <c r="I8" s="151">
        <f>SUM(L9:L22)</f>
        <v>0.98987068094564568</v>
      </c>
      <c r="J8" s="152"/>
      <c r="K8" s="153"/>
      <c r="L8" s="155"/>
      <c r="M8" s="151">
        <f>SUM(P9:P22)</f>
        <v>1</v>
      </c>
      <c r="N8" s="152"/>
      <c r="O8" s="153"/>
      <c r="P8" s="155"/>
      <c r="Q8" s="151">
        <f>SUM(T9:T22)</f>
        <v>0.99669701133631061</v>
      </c>
      <c r="R8" s="152"/>
      <c r="S8" s="153"/>
      <c r="T8" s="155"/>
      <c r="U8" s="151">
        <f>SUM(X9:X22)</f>
        <v>1</v>
      </c>
      <c r="V8" s="152"/>
      <c r="W8" s="153"/>
      <c r="X8" s="90"/>
      <c r="Y8" s="151">
        <f>SUM(AB9:AB22)</f>
        <v>0.72929401259540938</v>
      </c>
      <c r="Z8" s="152"/>
      <c r="AA8" s="153"/>
      <c r="AB8" s="90"/>
    </row>
    <row r="9" spans="1:28" ht="30.6" customHeight="1" x14ac:dyDescent="0.25">
      <c r="A9" s="74">
        <v>1</v>
      </c>
      <c r="B9" s="81" t="s">
        <v>119</v>
      </c>
      <c r="C9" s="75" t="s">
        <v>120</v>
      </c>
      <c r="D9" s="75">
        <f>I9+M9+Q9+U9+Y9</f>
        <v>24.64</v>
      </c>
      <c r="E9" s="75">
        <f>J9+N9+R9+V9+Z9</f>
        <v>24.64</v>
      </c>
      <c r="F9" s="79">
        <f>E9/D9</f>
        <v>1</v>
      </c>
      <c r="G9" s="79">
        <f>E9*H9/D9</f>
        <v>5.000000000000001E-2</v>
      </c>
      <c r="H9" s="79">
        <v>0.05</v>
      </c>
      <c r="I9" s="75">
        <v>3.26</v>
      </c>
      <c r="J9" s="75">
        <v>3.26</v>
      </c>
      <c r="K9" s="79">
        <f>J9/I9</f>
        <v>1</v>
      </c>
      <c r="L9" s="79">
        <f>J9*H9/I9</f>
        <v>0.05</v>
      </c>
      <c r="M9" s="75">
        <v>1.76</v>
      </c>
      <c r="N9" s="75">
        <v>1.76</v>
      </c>
      <c r="O9" s="79">
        <f>N9/M9</f>
        <v>1</v>
      </c>
      <c r="P9" s="79">
        <f>N9*$H9/M9</f>
        <v>0.05</v>
      </c>
      <c r="Q9" s="75">
        <v>7.92</v>
      </c>
      <c r="R9" s="75">
        <v>7.92</v>
      </c>
      <c r="S9" s="79">
        <f>R9/Q9</f>
        <v>1</v>
      </c>
      <c r="T9" s="79">
        <f>R9*$H9/Q9</f>
        <v>0.05</v>
      </c>
      <c r="U9" s="75">
        <v>6.66</v>
      </c>
      <c r="V9" s="75">
        <v>6.66</v>
      </c>
      <c r="W9" s="79">
        <f>V9/U9</f>
        <v>1</v>
      </c>
      <c r="X9" s="79">
        <f>V9*$H9/U9</f>
        <v>0.05</v>
      </c>
      <c r="Y9" s="75">
        <v>5.04</v>
      </c>
      <c r="Z9" s="75">
        <v>5.04</v>
      </c>
      <c r="AA9" s="79">
        <f>Z9/Y9</f>
        <v>1</v>
      </c>
      <c r="AB9" s="79">
        <f>Z9*$H9/Y9</f>
        <v>0.05</v>
      </c>
    </row>
    <row r="10" spans="1:28" ht="30.6" customHeight="1" x14ac:dyDescent="0.25">
      <c r="A10" s="74">
        <v>2</v>
      </c>
      <c r="B10" s="81" t="s">
        <v>121</v>
      </c>
      <c r="C10" s="75" t="s">
        <v>120</v>
      </c>
      <c r="D10" s="75">
        <f>I10+M10+Q10+U10+Y10</f>
        <v>24.64</v>
      </c>
      <c r="E10" s="75">
        <f>J10+N10+R10+V10+Z10</f>
        <v>24.64</v>
      </c>
      <c r="F10" s="79">
        <f t="shared" ref="F10:F22" si="0">E10/D10</f>
        <v>1</v>
      </c>
      <c r="G10" s="79">
        <f t="shared" ref="G10:G22" si="1">E10*H10/D10</f>
        <v>5.000000000000001E-2</v>
      </c>
      <c r="H10" s="79">
        <v>0.05</v>
      </c>
      <c r="I10" s="75">
        <v>3.26</v>
      </c>
      <c r="J10" s="75">
        <v>3.26</v>
      </c>
      <c r="K10" s="79">
        <f t="shared" ref="K10:K22" si="2">J10/I10</f>
        <v>1</v>
      </c>
      <c r="L10" s="79">
        <f t="shared" ref="L10:L22" si="3">J10*H10/I10</f>
        <v>0.05</v>
      </c>
      <c r="M10" s="75">
        <v>1.76</v>
      </c>
      <c r="N10" s="75">
        <v>1.76</v>
      </c>
      <c r="O10" s="79">
        <f t="shared" ref="O10:O22" si="4">N10/M10</f>
        <v>1</v>
      </c>
      <c r="P10" s="79">
        <f t="shared" ref="P10:P22" si="5">N10*$H10/M10</f>
        <v>0.05</v>
      </c>
      <c r="Q10" s="75">
        <v>7.92</v>
      </c>
      <c r="R10" s="75">
        <v>7.92</v>
      </c>
      <c r="S10" s="79">
        <f t="shared" ref="S10:S22" si="6">R10/Q10</f>
        <v>1</v>
      </c>
      <c r="T10" s="79">
        <f t="shared" ref="T10:T22" si="7">R10*$H10/Q10</f>
        <v>0.05</v>
      </c>
      <c r="U10" s="75">
        <v>6.66</v>
      </c>
      <c r="V10" s="75">
        <v>6.66</v>
      </c>
      <c r="W10" s="79">
        <f t="shared" ref="W10:W22" si="8">V10/U10</f>
        <v>1</v>
      </c>
      <c r="X10" s="79">
        <f t="shared" ref="X10:X22" si="9">V10*$H10/U10</f>
        <v>0.05</v>
      </c>
      <c r="Y10" s="75">
        <v>5.04</v>
      </c>
      <c r="Z10" s="75">
        <v>5.04</v>
      </c>
      <c r="AA10" s="79">
        <f t="shared" ref="AA10:AA22" si="10">Z10/Y10</f>
        <v>1</v>
      </c>
      <c r="AB10" s="79">
        <f t="shared" ref="AB10:AB22" si="11">Z10*$H10/Y10</f>
        <v>0.05</v>
      </c>
    </row>
    <row r="11" spans="1:28" ht="30.6" customHeight="1" x14ac:dyDescent="0.25">
      <c r="A11" s="74">
        <v>3</v>
      </c>
      <c r="B11" s="81" t="s">
        <v>122</v>
      </c>
      <c r="C11" s="75" t="s">
        <v>120</v>
      </c>
      <c r="D11" s="75">
        <f>I11+M11+Q11+U11+Y11</f>
        <v>24.64</v>
      </c>
      <c r="E11" s="75">
        <f>J11+N11+R11+V11+Z11</f>
        <v>24.64</v>
      </c>
      <c r="F11" s="79">
        <f t="shared" si="0"/>
        <v>1</v>
      </c>
      <c r="G11" s="79">
        <f t="shared" si="1"/>
        <v>5.000000000000001E-2</v>
      </c>
      <c r="H11" s="79">
        <v>0.05</v>
      </c>
      <c r="I11" s="75">
        <v>3.26</v>
      </c>
      <c r="J11" s="75">
        <v>3.26</v>
      </c>
      <c r="K11" s="79">
        <f t="shared" si="2"/>
        <v>1</v>
      </c>
      <c r="L11" s="79">
        <f t="shared" si="3"/>
        <v>0.05</v>
      </c>
      <c r="M11" s="75">
        <v>1.76</v>
      </c>
      <c r="N11" s="75">
        <v>1.76</v>
      </c>
      <c r="O11" s="79">
        <f t="shared" si="4"/>
        <v>1</v>
      </c>
      <c r="P11" s="79">
        <f t="shared" si="5"/>
        <v>0.05</v>
      </c>
      <c r="Q11" s="75">
        <v>7.92</v>
      </c>
      <c r="R11" s="75">
        <v>7.92</v>
      </c>
      <c r="S11" s="79">
        <f t="shared" si="6"/>
        <v>1</v>
      </c>
      <c r="T11" s="79">
        <f t="shared" si="7"/>
        <v>0.05</v>
      </c>
      <c r="U11" s="75">
        <v>6.66</v>
      </c>
      <c r="V11" s="75">
        <v>6.66</v>
      </c>
      <c r="W11" s="79">
        <f t="shared" si="8"/>
        <v>1</v>
      </c>
      <c r="X11" s="79">
        <f t="shared" si="9"/>
        <v>0.05</v>
      </c>
      <c r="Y11" s="75">
        <v>5.04</v>
      </c>
      <c r="Z11" s="75">
        <v>5.04</v>
      </c>
      <c r="AA11" s="79">
        <f t="shared" si="10"/>
        <v>1</v>
      </c>
      <c r="AB11" s="79">
        <f t="shared" si="11"/>
        <v>0.05</v>
      </c>
    </row>
    <row r="12" spans="1:28" ht="30.6" customHeight="1" x14ac:dyDescent="0.25">
      <c r="A12" s="74">
        <v>4</v>
      </c>
      <c r="B12" s="81" t="s">
        <v>123</v>
      </c>
      <c r="C12" s="75" t="s">
        <v>120</v>
      </c>
      <c r="D12" s="75">
        <f>I12+M12+Q12+U12+Y12</f>
        <v>24.64</v>
      </c>
      <c r="E12" s="75">
        <f>J12+N12+R12+V12+Z12</f>
        <v>24.64</v>
      </c>
      <c r="F12" s="79">
        <f t="shared" si="0"/>
        <v>1</v>
      </c>
      <c r="G12" s="79">
        <f t="shared" si="1"/>
        <v>5.000000000000001E-2</v>
      </c>
      <c r="H12" s="79">
        <v>0.05</v>
      </c>
      <c r="I12" s="75">
        <v>3.26</v>
      </c>
      <c r="J12" s="75">
        <v>3.26</v>
      </c>
      <c r="K12" s="79">
        <f t="shared" si="2"/>
        <v>1</v>
      </c>
      <c r="L12" s="79">
        <f t="shared" si="3"/>
        <v>0.05</v>
      </c>
      <c r="M12" s="75">
        <v>1.76</v>
      </c>
      <c r="N12" s="75">
        <v>1.76</v>
      </c>
      <c r="O12" s="79">
        <f t="shared" si="4"/>
        <v>1</v>
      </c>
      <c r="P12" s="79">
        <f t="shared" si="5"/>
        <v>0.05</v>
      </c>
      <c r="Q12" s="75">
        <v>7.92</v>
      </c>
      <c r="R12" s="75">
        <v>7.92</v>
      </c>
      <c r="S12" s="79">
        <f t="shared" si="6"/>
        <v>1</v>
      </c>
      <c r="T12" s="79">
        <f t="shared" si="7"/>
        <v>0.05</v>
      </c>
      <c r="U12" s="75">
        <v>6.66</v>
      </c>
      <c r="V12" s="75">
        <v>6.66</v>
      </c>
      <c r="W12" s="79">
        <f t="shared" si="8"/>
        <v>1</v>
      </c>
      <c r="X12" s="79">
        <f t="shared" si="9"/>
        <v>0.05</v>
      </c>
      <c r="Y12" s="75">
        <v>5.04</v>
      </c>
      <c r="Z12" s="75">
        <v>5.04</v>
      </c>
      <c r="AA12" s="79">
        <f t="shared" si="10"/>
        <v>1</v>
      </c>
      <c r="AB12" s="79">
        <f t="shared" si="11"/>
        <v>0.05</v>
      </c>
    </row>
    <row r="13" spans="1:28" ht="30.6" customHeight="1" x14ac:dyDescent="0.25">
      <c r="A13" s="74">
        <v>5</v>
      </c>
      <c r="B13" s="81" t="s">
        <v>124</v>
      </c>
      <c r="C13" s="75" t="s">
        <v>120</v>
      </c>
      <c r="D13" s="75">
        <f>I13+M13+Q13+U13+Y13</f>
        <v>24.64</v>
      </c>
      <c r="E13" s="75">
        <f>J13+N13+R13+V13+Z13</f>
        <v>24.200000000000003</v>
      </c>
      <c r="F13" s="79">
        <f t="shared" si="0"/>
        <v>0.98214285714285721</v>
      </c>
      <c r="G13" s="79">
        <f t="shared" si="1"/>
        <v>0.34375</v>
      </c>
      <c r="H13" s="79">
        <v>0.35</v>
      </c>
      <c r="I13" s="75">
        <v>3.26</v>
      </c>
      <c r="J13" s="75">
        <v>3.26</v>
      </c>
      <c r="K13" s="79">
        <f t="shared" si="2"/>
        <v>1</v>
      </c>
      <c r="L13" s="79">
        <f t="shared" si="3"/>
        <v>0.35</v>
      </c>
      <c r="M13" s="75">
        <v>1.76</v>
      </c>
      <c r="N13" s="75">
        <v>1.76</v>
      </c>
      <c r="O13" s="79">
        <f t="shared" si="4"/>
        <v>1</v>
      </c>
      <c r="P13" s="79">
        <f t="shared" si="5"/>
        <v>0.35</v>
      </c>
      <c r="Q13" s="75">
        <v>7.92</v>
      </c>
      <c r="R13" s="75">
        <v>7.92</v>
      </c>
      <c r="S13" s="79">
        <f t="shared" si="6"/>
        <v>1</v>
      </c>
      <c r="T13" s="79">
        <f t="shared" si="7"/>
        <v>0.35</v>
      </c>
      <c r="U13" s="75">
        <v>6.66</v>
      </c>
      <c r="V13" s="75">
        <v>6.66</v>
      </c>
      <c r="W13" s="79">
        <f t="shared" si="8"/>
        <v>1</v>
      </c>
      <c r="X13" s="79">
        <f t="shared" si="9"/>
        <v>0.35</v>
      </c>
      <c r="Y13" s="75">
        <v>5.04</v>
      </c>
      <c r="Z13" s="75">
        <v>4.5999999999999996</v>
      </c>
      <c r="AA13" s="79">
        <f t="shared" si="10"/>
        <v>0.91269841269841268</v>
      </c>
      <c r="AB13" s="79">
        <f t="shared" si="11"/>
        <v>0.31944444444444442</v>
      </c>
    </row>
    <row r="14" spans="1:28" ht="30.6" customHeight="1" x14ac:dyDescent="0.25">
      <c r="A14" s="77">
        <v>6</v>
      </c>
      <c r="B14" s="82" t="s">
        <v>125</v>
      </c>
      <c r="C14" s="78" t="s">
        <v>120</v>
      </c>
      <c r="D14" s="75">
        <f>I14+M14+Q14+U14+Y14</f>
        <v>24.64</v>
      </c>
      <c r="E14" s="75">
        <f>J14+N14+R14+V14+Z14</f>
        <v>24.200000000000003</v>
      </c>
      <c r="F14" s="79">
        <f t="shared" si="0"/>
        <v>0.98214285714285721</v>
      </c>
      <c r="G14" s="79">
        <f t="shared" si="1"/>
        <v>2.9464285714285717E-2</v>
      </c>
      <c r="H14" s="79">
        <v>0.03</v>
      </c>
      <c r="I14" s="75">
        <v>3.26</v>
      </c>
      <c r="J14" s="75">
        <v>3.26</v>
      </c>
      <c r="K14" s="79">
        <f t="shared" si="2"/>
        <v>1</v>
      </c>
      <c r="L14" s="79">
        <f t="shared" si="3"/>
        <v>2.9999999999999995E-2</v>
      </c>
      <c r="M14" s="75">
        <v>1.76</v>
      </c>
      <c r="N14" s="75">
        <v>1.76</v>
      </c>
      <c r="O14" s="79">
        <f t="shared" si="4"/>
        <v>1</v>
      </c>
      <c r="P14" s="79">
        <f t="shared" si="5"/>
        <v>0.03</v>
      </c>
      <c r="Q14" s="75">
        <v>7.92</v>
      </c>
      <c r="R14" s="75">
        <v>7.92</v>
      </c>
      <c r="S14" s="79">
        <f t="shared" si="6"/>
        <v>1</v>
      </c>
      <c r="T14" s="79">
        <f t="shared" si="7"/>
        <v>0.03</v>
      </c>
      <c r="U14" s="75">
        <v>6.66</v>
      </c>
      <c r="V14" s="75">
        <v>6.66</v>
      </c>
      <c r="W14" s="79">
        <f t="shared" si="8"/>
        <v>1</v>
      </c>
      <c r="X14" s="79">
        <f t="shared" si="9"/>
        <v>0.03</v>
      </c>
      <c r="Y14" s="75">
        <v>5.04</v>
      </c>
      <c r="Z14" s="75">
        <v>4.5999999999999996</v>
      </c>
      <c r="AA14" s="79">
        <f t="shared" si="10"/>
        <v>0.91269841269841268</v>
      </c>
      <c r="AB14" s="79">
        <f t="shared" si="11"/>
        <v>2.7380952380952377E-2</v>
      </c>
    </row>
    <row r="15" spans="1:28" ht="30.6" customHeight="1" x14ac:dyDescent="0.25">
      <c r="A15" s="74">
        <v>7</v>
      </c>
      <c r="B15" s="83" t="s">
        <v>126</v>
      </c>
      <c r="C15" s="75" t="s">
        <v>127</v>
      </c>
      <c r="D15" s="75">
        <f>I15+M15+Q15+U15+Y15</f>
        <v>17303</v>
      </c>
      <c r="E15" s="75">
        <f>J15+N15+R15+V15+Z15</f>
        <v>15955</v>
      </c>
      <c r="F15" s="79">
        <f>E15/D15</f>
        <v>0.92209443449112871</v>
      </c>
      <c r="G15" s="79">
        <f t="shared" si="1"/>
        <v>1.8441888689822574E-2</v>
      </c>
      <c r="H15" s="79">
        <v>0.02</v>
      </c>
      <c r="I15" s="75">
        <v>2259</v>
      </c>
      <c r="J15" s="75">
        <v>2259</v>
      </c>
      <c r="K15" s="79">
        <f t="shared" si="2"/>
        <v>1</v>
      </c>
      <c r="L15" s="79">
        <f t="shared" si="3"/>
        <v>0.02</v>
      </c>
      <c r="M15" s="75">
        <v>2001</v>
      </c>
      <c r="N15" s="75">
        <v>2001</v>
      </c>
      <c r="O15" s="79">
        <f t="shared" si="4"/>
        <v>1</v>
      </c>
      <c r="P15" s="79">
        <f t="shared" si="5"/>
        <v>0.02</v>
      </c>
      <c r="Q15" s="75">
        <v>6614</v>
      </c>
      <c r="R15" s="75">
        <v>6614</v>
      </c>
      <c r="S15" s="79">
        <f t="shared" si="6"/>
        <v>1</v>
      </c>
      <c r="T15" s="79">
        <f t="shared" si="7"/>
        <v>0.02</v>
      </c>
      <c r="U15" s="75">
        <v>3983</v>
      </c>
      <c r="V15" s="75">
        <v>3983</v>
      </c>
      <c r="W15" s="79">
        <f t="shared" si="8"/>
        <v>1</v>
      </c>
      <c r="X15" s="79">
        <f t="shared" si="9"/>
        <v>0.02</v>
      </c>
      <c r="Y15" s="75">
        <v>2446</v>
      </c>
      <c r="Z15" s="75">
        <v>1098</v>
      </c>
      <c r="AA15" s="79">
        <f t="shared" si="10"/>
        <v>0.44889615699100571</v>
      </c>
      <c r="AB15" s="79">
        <f t="shared" si="11"/>
        <v>8.9779231398201143E-3</v>
      </c>
    </row>
    <row r="16" spans="1:28" ht="30.6" customHeight="1" x14ac:dyDescent="0.25">
      <c r="A16" s="74">
        <v>8</v>
      </c>
      <c r="B16" s="81" t="s">
        <v>128</v>
      </c>
      <c r="C16" s="75" t="s">
        <v>127</v>
      </c>
      <c r="D16" s="75">
        <f>I16+M16+Q16+U16+Y16</f>
        <v>6604</v>
      </c>
      <c r="E16" s="75">
        <f>J16+N16+R16+V16+Z16</f>
        <v>3588</v>
      </c>
      <c r="F16" s="79">
        <f t="shared" si="0"/>
        <v>0.54330708661417326</v>
      </c>
      <c r="G16" s="79">
        <f t="shared" si="1"/>
        <v>1.6299212598425195E-2</v>
      </c>
      <c r="H16" s="79">
        <v>0.03</v>
      </c>
      <c r="I16" s="75">
        <v>1236</v>
      </c>
      <c r="J16" s="75">
        <v>1236</v>
      </c>
      <c r="K16" s="79">
        <f t="shared" si="2"/>
        <v>1</v>
      </c>
      <c r="L16" s="79">
        <f t="shared" si="3"/>
        <v>0.03</v>
      </c>
      <c r="M16" s="75">
        <v>375</v>
      </c>
      <c r="N16" s="75">
        <v>375</v>
      </c>
      <c r="O16" s="79">
        <f t="shared" si="4"/>
        <v>1</v>
      </c>
      <c r="P16" s="79">
        <f t="shared" si="5"/>
        <v>0.03</v>
      </c>
      <c r="Q16" s="75">
        <v>1191</v>
      </c>
      <c r="R16" s="75">
        <v>1191</v>
      </c>
      <c r="S16" s="79">
        <f t="shared" si="6"/>
        <v>1</v>
      </c>
      <c r="T16" s="79">
        <f t="shared" si="7"/>
        <v>0.03</v>
      </c>
      <c r="U16" s="75">
        <v>145</v>
      </c>
      <c r="V16" s="75">
        <v>145</v>
      </c>
      <c r="W16" s="79">
        <f t="shared" si="8"/>
        <v>1</v>
      </c>
      <c r="X16" s="79">
        <f t="shared" si="9"/>
        <v>0.03</v>
      </c>
      <c r="Y16" s="75">
        <v>3657</v>
      </c>
      <c r="Z16" s="75">
        <v>641</v>
      </c>
      <c r="AA16" s="79">
        <f t="shared" si="10"/>
        <v>0.17528028438610882</v>
      </c>
      <c r="AB16" s="79">
        <f t="shared" si="11"/>
        <v>5.2584085315832653E-3</v>
      </c>
    </row>
    <row r="17" spans="1:28" ht="30.6" customHeight="1" x14ac:dyDescent="0.25">
      <c r="A17" s="74">
        <v>9</v>
      </c>
      <c r="B17" s="81" t="s">
        <v>129</v>
      </c>
      <c r="C17" s="75" t="s">
        <v>130</v>
      </c>
      <c r="D17" s="75">
        <f>I17+M17+Q17+U17+Y17</f>
        <v>29901</v>
      </c>
      <c r="E17" s="75">
        <f>J17+N17+R17+V17+Z17</f>
        <v>22550</v>
      </c>
      <c r="F17" s="79">
        <f t="shared" si="0"/>
        <v>0.75415537941874855</v>
      </c>
      <c r="G17" s="79">
        <f t="shared" si="1"/>
        <v>2.2624661382562455E-2</v>
      </c>
      <c r="H17" s="79">
        <v>0.03</v>
      </c>
      <c r="I17" s="75">
        <v>4949</v>
      </c>
      <c r="J17" s="75">
        <v>3278</v>
      </c>
      <c r="K17" s="79">
        <f t="shared" si="2"/>
        <v>0.66235603152151945</v>
      </c>
      <c r="L17" s="79">
        <f t="shared" si="3"/>
        <v>1.9870680945645584E-2</v>
      </c>
      <c r="M17" s="75">
        <v>2534</v>
      </c>
      <c r="N17" s="75">
        <v>2534</v>
      </c>
      <c r="O17" s="79">
        <f t="shared" si="4"/>
        <v>1</v>
      </c>
      <c r="P17" s="79">
        <f t="shared" si="5"/>
        <v>0.03</v>
      </c>
      <c r="Q17" s="75">
        <v>5822</v>
      </c>
      <c r="R17" s="75">
        <v>5181</v>
      </c>
      <c r="S17" s="79">
        <f t="shared" si="6"/>
        <v>0.88990037787701826</v>
      </c>
      <c r="T17" s="79">
        <f t="shared" si="7"/>
        <v>2.6697011336310549E-2</v>
      </c>
      <c r="U17" s="75">
        <v>10539</v>
      </c>
      <c r="V17" s="75">
        <v>10539</v>
      </c>
      <c r="W17" s="79">
        <f t="shared" si="8"/>
        <v>1</v>
      </c>
      <c r="X17" s="79">
        <f t="shared" si="9"/>
        <v>3.0000000000000002E-2</v>
      </c>
      <c r="Y17" s="75">
        <v>6057</v>
      </c>
      <c r="Z17" s="75">
        <v>1018</v>
      </c>
      <c r="AA17" s="79">
        <f t="shared" si="10"/>
        <v>0.16807000165098235</v>
      </c>
      <c r="AB17" s="79">
        <f t="shared" si="11"/>
        <v>5.0421000495294698E-3</v>
      </c>
    </row>
    <row r="18" spans="1:28" ht="46.2" customHeight="1" x14ac:dyDescent="0.25">
      <c r="A18" s="74">
        <v>10</v>
      </c>
      <c r="B18" s="83" t="s">
        <v>131</v>
      </c>
      <c r="C18" s="75" t="s">
        <v>127</v>
      </c>
      <c r="D18" s="75">
        <f>I18+M18+Q18+U18+Y18</f>
        <v>663</v>
      </c>
      <c r="E18" s="75">
        <f>J18+N18+R18+V18+Z18</f>
        <v>643</v>
      </c>
      <c r="F18" s="79">
        <f t="shared" si="0"/>
        <v>0.9698340874811463</v>
      </c>
      <c r="G18" s="79">
        <f t="shared" si="1"/>
        <v>9.6983408748114633E-2</v>
      </c>
      <c r="H18" s="79">
        <v>0.1</v>
      </c>
      <c r="I18" s="75">
        <v>92</v>
      </c>
      <c r="J18" s="75">
        <v>92</v>
      </c>
      <c r="K18" s="79">
        <f t="shared" si="2"/>
        <v>1</v>
      </c>
      <c r="L18" s="79">
        <f t="shared" si="3"/>
        <v>0.1</v>
      </c>
      <c r="M18" s="75">
        <v>54</v>
      </c>
      <c r="N18" s="75">
        <v>54</v>
      </c>
      <c r="O18" s="79">
        <f t="shared" si="4"/>
        <v>1</v>
      </c>
      <c r="P18" s="79">
        <f t="shared" si="5"/>
        <v>0.1</v>
      </c>
      <c r="Q18" s="75">
        <v>208</v>
      </c>
      <c r="R18" s="75">
        <v>208</v>
      </c>
      <c r="S18" s="79">
        <f t="shared" si="6"/>
        <v>1</v>
      </c>
      <c r="T18" s="79">
        <f t="shared" si="7"/>
        <v>0.1</v>
      </c>
      <c r="U18" s="75">
        <v>146</v>
      </c>
      <c r="V18" s="75">
        <v>146</v>
      </c>
      <c r="W18" s="79">
        <f t="shared" si="8"/>
        <v>1</v>
      </c>
      <c r="X18" s="79">
        <f t="shared" si="9"/>
        <v>0.1</v>
      </c>
      <c r="Y18" s="75">
        <v>163</v>
      </c>
      <c r="Z18" s="75">
        <v>143</v>
      </c>
      <c r="AA18" s="79">
        <f t="shared" si="10"/>
        <v>0.87730061349693256</v>
      </c>
      <c r="AB18" s="79">
        <f t="shared" si="11"/>
        <v>8.7730061349693259E-2</v>
      </c>
    </row>
    <row r="19" spans="1:28" ht="30.6" customHeight="1" x14ac:dyDescent="0.25">
      <c r="A19" s="74">
        <v>11</v>
      </c>
      <c r="B19" s="81" t="s">
        <v>132</v>
      </c>
      <c r="C19" s="75" t="s">
        <v>127</v>
      </c>
      <c r="D19" s="75">
        <f>I19+M19+Q19+U19+Y19</f>
        <v>663</v>
      </c>
      <c r="E19" s="75">
        <f>J19+N19+R19+V19+Z19</f>
        <v>623</v>
      </c>
      <c r="F19" s="79">
        <f t="shared" si="0"/>
        <v>0.9396681749622926</v>
      </c>
      <c r="G19" s="79">
        <f t="shared" si="1"/>
        <v>9.3966817496229274E-2</v>
      </c>
      <c r="H19" s="79">
        <v>0.1</v>
      </c>
      <c r="I19" s="75">
        <v>92</v>
      </c>
      <c r="J19" s="75">
        <v>92</v>
      </c>
      <c r="K19" s="79">
        <f t="shared" si="2"/>
        <v>1</v>
      </c>
      <c r="L19" s="79">
        <f t="shared" si="3"/>
        <v>0.1</v>
      </c>
      <c r="M19" s="75">
        <v>54</v>
      </c>
      <c r="N19" s="75">
        <v>54</v>
      </c>
      <c r="O19" s="79">
        <f t="shared" si="4"/>
        <v>1</v>
      </c>
      <c r="P19" s="79">
        <f t="shared" si="5"/>
        <v>0.1</v>
      </c>
      <c r="Q19" s="75">
        <v>208</v>
      </c>
      <c r="R19" s="75">
        <v>208</v>
      </c>
      <c r="S19" s="79">
        <f t="shared" si="6"/>
        <v>1</v>
      </c>
      <c r="T19" s="79">
        <f t="shared" si="7"/>
        <v>0.1</v>
      </c>
      <c r="U19" s="75">
        <v>146</v>
      </c>
      <c r="V19" s="75">
        <v>146</v>
      </c>
      <c r="W19" s="79">
        <f t="shared" si="8"/>
        <v>1</v>
      </c>
      <c r="X19" s="79">
        <f t="shared" si="9"/>
        <v>0.1</v>
      </c>
      <c r="Y19" s="75">
        <v>163</v>
      </c>
      <c r="Z19" s="75">
        <v>123</v>
      </c>
      <c r="AA19" s="79">
        <f t="shared" si="10"/>
        <v>0.754601226993865</v>
      </c>
      <c r="AB19" s="79">
        <f t="shared" si="11"/>
        <v>7.5460122699386512E-2</v>
      </c>
    </row>
    <row r="20" spans="1:28" ht="30.6" customHeight="1" x14ac:dyDescent="0.25">
      <c r="A20" s="74">
        <v>12</v>
      </c>
      <c r="B20" s="81" t="s">
        <v>133</v>
      </c>
      <c r="C20" s="75" t="s">
        <v>134</v>
      </c>
      <c r="D20" s="75">
        <f>I20+M20+Q20+U20+Y20</f>
        <v>27.220000000000002</v>
      </c>
      <c r="E20" s="75">
        <f>J20+N20+R20+V20+Z20</f>
        <v>21.69</v>
      </c>
      <c r="F20" s="79">
        <f t="shared" si="0"/>
        <v>0.79684055841293167</v>
      </c>
      <c r="G20" s="79">
        <f t="shared" si="1"/>
        <v>7.9684055841293164E-2</v>
      </c>
      <c r="H20" s="79">
        <v>0.1</v>
      </c>
      <c r="I20" s="75">
        <v>3.53</v>
      </c>
      <c r="J20" s="75">
        <v>3.53</v>
      </c>
      <c r="K20" s="79">
        <f t="shared" si="2"/>
        <v>1</v>
      </c>
      <c r="L20" s="79">
        <f t="shared" si="3"/>
        <v>0.1</v>
      </c>
      <c r="M20" s="75">
        <v>1.9</v>
      </c>
      <c r="N20" s="75">
        <v>1.9</v>
      </c>
      <c r="O20" s="79">
        <f t="shared" si="4"/>
        <v>1</v>
      </c>
      <c r="P20" s="79">
        <f t="shared" si="5"/>
        <v>0.1</v>
      </c>
      <c r="Q20" s="75">
        <v>8.7100000000000009</v>
      </c>
      <c r="R20" s="75">
        <v>8.7100000000000009</v>
      </c>
      <c r="S20" s="79">
        <f t="shared" si="6"/>
        <v>1</v>
      </c>
      <c r="T20" s="79">
        <f t="shared" si="7"/>
        <v>0.1</v>
      </c>
      <c r="U20" s="75">
        <v>7.55</v>
      </c>
      <c r="V20" s="75">
        <v>7.55</v>
      </c>
      <c r="W20" s="79">
        <f t="shared" si="8"/>
        <v>1</v>
      </c>
      <c r="X20" s="79">
        <f t="shared" si="9"/>
        <v>0.1</v>
      </c>
      <c r="Y20" s="75">
        <v>5.53</v>
      </c>
      <c r="Z20" s="75">
        <v>0</v>
      </c>
      <c r="AA20" s="79">
        <f t="shared" si="10"/>
        <v>0</v>
      </c>
      <c r="AB20" s="79">
        <f t="shared" si="11"/>
        <v>0</v>
      </c>
    </row>
    <row r="21" spans="1:28" ht="48" customHeight="1" x14ac:dyDescent="0.25">
      <c r="A21" s="74">
        <v>13</v>
      </c>
      <c r="B21" s="83" t="s">
        <v>135</v>
      </c>
      <c r="C21" s="75" t="s">
        <v>127</v>
      </c>
      <c r="D21" s="75">
        <f>I21+M21+Q21+U21+Y21</f>
        <v>57</v>
      </c>
      <c r="E21" s="75">
        <f>J21+N21+R21+V21+Z21</f>
        <v>45</v>
      </c>
      <c r="F21" s="79">
        <f>E21/D21</f>
        <v>0.78947368421052633</v>
      </c>
      <c r="G21" s="79">
        <f t="shared" si="1"/>
        <v>1.5789473684210527E-2</v>
      </c>
      <c r="H21" s="79">
        <v>0.02</v>
      </c>
      <c r="I21" s="75">
        <v>9</v>
      </c>
      <c r="J21" s="75">
        <v>9</v>
      </c>
      <c r="K21" s="79">
        <f t="shared" si="2"/>
        <v>1</v>
      </c>
      <c r="L21" s="79">
        <f t="shared" si="3"/>
        <v>0.02</v>
      </c>
      <c r="M21" s="75">
        <v>5</v>
      </c>
      <c r="N21" s="75">
        <v>5</v>
      </c>
      <c r="O21" s="79">
        <f t="shared" si="4"/>
        <v>1</v>
      </c>
      <c r="P21" s="79">
        <f t="shared" si="5"/>
        <v>0.02</v>
      </c>
      <c r="Q21" s="75">
        <v>20</v>
      </c>
      <c r="R21" s="75">
        <v>20</v>
      </c>
      <c r="S21" s="79">
        <f t="shared" si="6"/>
        <v>1</v>
      </c>
      <c r="T21" s="79">
        <f t="shared" si="7"/>
        <v>0.02</v>
      </c>
      <c r="U21" s="75">
        <v>11</v>
      </c>
      <c r="V21" s="75">
        <v>11</v>
      </c>
      <c r="W21" s="79">
        <f t="shared" si="8"/>
        <v>1</v>
      </c>
      <c r="X21" s="79">
        <f t="shared" si="9"/>
        <v>0.02</v>
      </c>
      <c r="Y21" s="75">
        <v>12</v>
      </c>
      <c r="Z21" s="75">
        <v>0</v>
      </c>
      <c r="AA21" s="79">
        <f t="shared" si="10"/>
        <v>0</v>
      </c>
      <c r="AB21" s="79">
        <f t="shared" si="11"/>
        <v>0</v>
      </c>
    </row>
    <row r="22" spans="1:28" ht="30.6" customHeight="1" x14ac:dyDescent="0.25">
      <c r="A22" s="74">
        <v>14</v>
      </c>
      <c r="B22" s="83" t="s">
        <v>136</v>
      </c>
      <c r="C22" s="75" t="s">
        <v>127</v>
      </c>
      <c r="D22" s="75">
        <f>I22+M22+Q22+U22+Y22</f>
        <v>57</v>
      </c>
      <c r="E22" s="75">
        <f>J22+N22+R22+V22+Z22</f>
        <v>45</v>
      </c>
      <c r="F22" s="79">
        <f t="shared" si="0"/>
        <v>0.78947368421052633</v>
      </c>
      <c r="G22" s="79">
        <f t="shared" si="1"/>
        <v>1.5789473684210527E-2</v>
      </c>
      <c r="H22" s="79">
        <v>0.02</v>
      </c>
      <c r="I22" s="75">
        <v>9</v>
      </c>
      <c r="J22" s="75">
        <v>9</v>
      </c>
      <c r="K22" s="79">
        <f t="shared" si="2"/>
        <v>1</v>
      </c>
      <c r="L22" s="79">
        <f t="shared" si="3"/>
        <v>0.02</v>
      </c>
      <c r="M22" s="75">
        <v>5</v>
      </c>
      <c r="N22" s="75">
        <v>5</v>
      </c>
      <c r="O22" s="79">
        <f t="shared" si="4"/>
        <v>1</v>
      </c>
      <c r="P22" s="79">
        <f t="shared" si="5"/>
        <v>0.02</v>
      </c>
      <c r="Q22" s="75">
        <v>20</v>
      </c>
      <c r="R22" s="75">
        <v>20</v>
      </c>
      <c r="S22" s="79">
        <f t="shared" si="6"/>
        <v>1</v>
      </c>
      <c r="T22" s="79">
        <f t="shared" si="7"/>
        <v>0.02</v>
      </c>
      <c r="U22" s="75">
        <v>11</v>
      </c>
      <c r="V22" s="75">
        <v>11</v>
      </c>
      <c r="W22" s="79">
        <f t="shared" si="8"/>
        <v>1</v>
      </c>
      <c r="X22" s="79">
        <f t="shared" si="9"/>
        <v>0.02</v>
      </c>
      <c r="Y22" s="75">
        <v>12</v>
      </c>
      <c r="Z22" s="75">
        <v>0</v>
      </c>
      <c r="AA22" s="79">
        <f t="shared" si="10"/>
        <v>0</v>
      </c>
      <c r="AB22" s="79">
        <f t="shared" si="11"/>
        <v>0</v>
      </c>
    </row>
    <row r="23" spans="1:28" x14ac:dyDescent="0.25">
      <c r="B23" s="80"/>
      <c r="C23" s="80"/>
      <c r="D23" s="80"/>
      <c r="E23" s="80"/>
      <c r="F23" s="80"/>
      <c r="G23" s="80"/>
      <c r="H23" s="80"/>
      <c r="I23" s="80"/>
      <c r="J23" s="80"/>
      <c r="K23" s="80"/>
      <c r="L23" s="80"/>
      <c r="M23" s="80"/>
    </row>
    <row r="24" spans="1:28" x14ac:dyDescent="0.25">
      <c r="B24" s="80"/>
      <c r="C24" s="80"/>
      <c r="D24" s="80"/>
      <c r="E24" s="80"/>
      <c r="F24" s="80"/>
      <c r="G24" s="80"/>
      <c r="H24" s="80"/>
      <c r="I24" s="80"/>
      <c r="J24" s="80"/>
      <c r="K24" s="80"/>
      <c r="L24" s="80"/>
      <c r="M24" s="80"/>
    </row>
  </sheetData>
  <mergeCells count="41">
    <mergeCell ref="A1:F1"/>
    <mergeCell ref="I5:W5"/>
    <mergeCell ref="A4:F5"/>
    <mergeCell ref="A8:C8"/>
    <mergeCell ref="A7:B7"/>
    <mergeCell ref="A6:B6"/>
    <mergeCell ref="AB3:AB8"/>
    <mergeCell ref="I4:K4"/>
    <mergeCell ref="M4:O4"/>
    <mergeCell ref="Q4:S4"/>
    <mergeCell ref="U4:W4"/>
    <mergeCell ref="Y4:AA5"/>
    <mergeCell ref="Y8:AA8"/>
    <mergeCell ref="D8:F8"/>
    <mergeCell ref="I8:K8"/>
    <mergeCell ref="M8:O8"/>
    <mergeCell ref="Q8:S8"/>
    <mergeCell ref="U8:W8"/>
    <mergeCell ref="X3:X8"/>
    <mergeCell ref="C6:C7"/>
    <mergeCell ref="Y7:AA7"/>
    <mergeCell ref="U7:W7"/>
    <mergeCell ref="Q7:S7"/>
    <mergeCell ref="M7:O7"/>
    <mergeCell ref="I7:K7"/>
    <mergeCell ref="D7:F7"/>
    <mergeCell ref="Q2:S2"/>
    <mergeCell ref="U2:W2"/>
    <mergeCell ref="Y2:AA2"/>
    <mergeCell ref="D6:F6"/>
    <mergeCell ref="I6:K6"/>
    <mergeCell ref="M6:O6"/>
    <mergeCell ref="Q6:S6"/>
    <mergeCell ref="U6:W6"/>
    <mergeCell ref="Y6:AA6"/>
    <mergeCell ref="A2:A3"/>
    <mergeCell ref="B2:B3"/>
    <mergeCell ref="C2:C3"/>
    <mergeCell ref="D2:F2"/>
    <mergeCell ref="I2:K2"/>
    <mergeCell ref="M2:O2"/>
  </mergeCells>
  <conditionalFormatting sqref="F9:H22">
    <cfRule type="dataBar" priority="21">
      <dataBar>
        <cfvo type="min"/>
        <cfvo type="num" val="1"/>
        <color theme="4" tint="0.79998168889431442"/>
      </dataBar>
      <extLst>
        <ext xmlns:x14="http://schemas.microsoft.com/office/spreadsheetml/2009/9/main" uri="{B025F937-C7B1-47D3-B67F-A62EFF666E3E}">
          <x14:id>{14F3239D-36D1-4424-A04E-3CEBEB75E93B}</x14:id>
        </ext>
      </extLst>
    </cfRule>
  </conditionalFormatting>
  <conditionalFormatting sqref="K9:K22">
    <cfRule type="dataBar" priority="16">
      <dataBar>
        <cfvo type="min"/>
        <cfvo type="num" val="1"/>
        <color theme="4" tint="0.79998168889431442"/>
      </dataBar>
      <extLst>
        <ext xmlns:x14="http://schemas.microsoft.com/office/spreadsheetml/2009/9/main" uri="{B025F937-C7B1-47D3-B67F-A62EFF666E3E}">
          <x14:id>{FD19192C-5F54-4E70-BE54-D7AC7F2B2982}</x14:id>
        </ext>
      </extLst>
    </cfRule>
  </conditionalFormatting>
  <conditionalFormatting sqref="O9:O22">
    <cfRule type="dataBar" priority="15">
      <dataBar>
        <cfvo type="min"/>
        <cfvo type="num" val="1"/>
        <color theme="4" tint="0.79998168889431442"/>
      </dataBar>
      <extLst>
        <ext xmlns:x14="http://schemas.microsoft.com/office/spreadsheetml/2009/9/main" uri="{B025F937-C7B1-47D3-B67F-A62EFF666E3E}">
          <x14:id>{BD7AF9B4-A604-4C55-8C0D-45FD113D9316}</x14:id>
        </ext>
      </extLst>
    </cfRule>
  </conditionalFormatting>
  <conditionalFormatting sqref="S9:S22">
    <cfRule type="dataBar" priority="14">
      <dataBar>
        <cfvo type="min"/>
        <cfvo type="num" val="1"/>
        <color theme="4" tint="0.79998168889431442"/>
      </dataBar>
      <extLst>
        <ext xmlns:x14="http://schemas.microsoft.com/office/spreadsheetml/2009/9/main" uri="{B025F937-C7B1-47D3-B67F-A62EFF666E3E}">
          <x14:id>{B637140F-ADCA-44F2-9B20-41F3317A7016}</x14:id>
        </ext>
      </extLst>
    </cfRule>
  </conditionalFormatting>
  <conditionalFormatting sqref="W9:W22">
    <cfRule type="dataBar" priority="13">
      <dataBar>
        <cfvo type="min"/>
        <cfvo type="num" val="1"/>
        <color theme="4" tint="0.79998168889431442"/>
      </dataBar>
      <extLst>
        <ext xmlns:x14="http://schemas.microsoft.com/office/spreadsheetml/2009/9/main" uri="{B025F937-C7B1-47D3-B67F-A62EFF666E3E}">
          <x14:id>{79824B97-4E56-4617-92C0-CF537CCB48A8}</x14:id>
        </ext>
      </extLst>
    </cfRule>
  </conditionalFormatting>
  <conditionalFormatting sqref="AA9:AA22">
    <cfRule type="dataBar" priority="12">
      <dataBar>
        <cfvo type="min"/>
        <cfvo type="num" val="1"/>
        <color theme="4" tint="0.79998168889431442"/>
      </dataBar>
      <extLst>
        <ext xmlns:x14="http://schemas.microsoft.com/office/spreadsheetml/2009/9/main" uri="{B025F937-C7B1-47D3-B67F-A62EFF666E3E}">
          <x14:id>{82156E83-E314-4133-8F74-D3C139C87B93}</x14:id>
        </ext>
      </extLst>
    </cfRule>
  </conditionalFormatting>
  <conditionalFormatting sqref="D8">
    <cfRule type="dataBar" priority="11">
      <dataBar>
        <cfvo type="min"/>
        <cfvo type="num" val="1"/>
        <color theme="4" tint="0.79998168889431442"/>
      </dataBar>
      <extLst>
        <ext xmlns:x14="http://schemas.microsoft.com/office/spreadsheetml/2009/9/main" uri="{B025F937-C7B1-47D3-B67F-A62EFF666E3E}">
          <x14:id>{140A74A0-1740-4304-9195-011FA6A1E4B8}</x14:id>
        </ext>
      </extLst>
    </cfRule>
  </conditionalFormatting>
  <conditionalFormatting sqref="I8">
    <cfRule type="dataBar" priority="10">
      <dataBar>
        <cfvo type="min"/>
        <cfvo type="num" val="1"/>
        <color theme="4" tint="0.79998168889431442"/>
      </dataBar>
      <extLst>
        <ext xmlns:x14="http://schemas.microsoft.com/office/spreadsheetml/2009/9/main" uri="{B025F937-C7B1-47D3-B67F-A62EFF666E3E}">
          <x14:id>{F3F66F27-32E4-4841-8DA0-789670D95628}</x14:id>
        </ext>
      </extLst>
    </cfRule>
  </conditionalFormatting>
  <conditionalFormatting sqref="M8">
    <cfRule type="dataBar" priority="9">
      <dataBar>
        <cfvo type="min"/>
        <cfvo type="num" val="1"/>
        <color theme="4" tint="0.79998168889431442"/>
      </dataBar>
      <extLst>
        <ext xmlns:x14="http://schemas.microsoft.com/office/spreadsheetml/2009/9/main" uri="{B025F937-C7B1-47D3-B67F-A62EFF666E3E}">
          <x14:id>{577C6BF6-8F71-4068-B151-6021307A993E}</x14:id>
        </ext>
      </extLst>
    </cfRule>
  </conditionalFormatting>
  <conditionalFormatting sqref="Q8">
    <cfRule type="dataBar" priority="8">
      <dataBar>
        <cfvo type="min"/>
        <cfvo type="num" val="1"/>
        <color theme="4" tint="0.79998168889431442"/>
      </dataBar>
      <extLst>
        <ext xmlns:x14="http://schemas.microsoft.com/office/spreadsheetml/2009/9/main" uri="{B025F937-C7B1-47D3-B67F-A62EFF666E3E}">
          <x14:id>{152EA0A1-85B1-4FEF-9A11-51B09AAC585E}</x14:id>
        </ext>
      </extLst>
    </cfRule>
  </conditionalFormatting>
  <conditionalFormatting sqref="U8">
    <cfRule type="dataBar" priority="7">
      <dataBar>
        <cfvo type="min"/>
        <cfvo type="num" val="1"/>
        <color theme="4" tint="0.79998168889431442"/>
      </dataBar>
      <extLst>
        <ext xmlns:x14="http://schemas.microsoft.com/office/spreadsheetml/2009/9/main" uri="{B025F937-C7B1-47D3-B67F-A62EFF666E3E}">
          <x14:id>{6DCEB23A-9FD7-4407-AFEC-004927CAEA7E}</x14:id>
        </ext>
      </extLst>
    </cfRule>
  </conditionalFormatting>
  <conditionalFormatting sqref="Y8">
    <cfRule type="dataBar" priority="6">
      <dataBar>
        <cfvo type="min"/>
        <cfvo type="num" val="1"/>
        <color theme="4" tint="0.79998168889431442"/>
      </dataBar>
      <extLst>
        <ext xmlns:x14="http://schemas.microsoft.com/office/spreadsheetml/2009/9/main" uri="{B025F937-C7B1-47D3-B67F-A62EFF666E3E}">
          <x14:id>{77757A55-7638-4F0E-BE2D-02847FA455F7}</x14:id>
        </ext>
      </extLst>
    </cfRule>
  </conditionalFormatting>
  <conditionalFormatting sqref="L9:L22">
    <cfRule type="dataBar" priority="5">
      <dataBar>
        <cfvo type="min"/>
        <cfvo type="num" val="1"/>
        <color theme="4" tint="0.79998168889431442"/>
      </dataBar>
      <extLst>
        <ext xmlns:x14="http://schemas.microsoft.com/office/spreadsheetml/2009/9/main" uri="{B025F937-C7B1-47D3-B67F-A62EFF666E3E}">
          <x14:id>{655E0B04-DE88-44B6-9861-7A8B8F393754}</x14:id>
        </ext>
      </extLst>
    </cfRule>
  </conditionalFormatting>
  <conditionalFormatting sqref="P9:P22">
    <cfRule type="dataBar" priority="4">
      <dataBar>
        <cfvo type="min"/>
        <cfvo type="num" val="1"/>
        <color theme="4" tint="0.79998168889431442"/>
      </dataBar>
      <extLst>
        <ext xmlns:x14="http://schemas.microsoft.com/office/spreadsheetml/2009/9/main" uri="{B025F937-C7B1-47D3-B67F-A62EFF666E3E}">
          <x14:id>{22B29E8B-4D81-41D8-B86A-0EC86823C654}</x14:id>
        </ext>
      </extLst>
    </cfRule>
  </conditionalFormatting>
  <conditionalFormatting sqref="T9:T22">
    <cfRule type="dataBar" priority="3">
      <dataBar>
        <cfvo type="min"/>
        <cfvo type="num" val="1"/>
        <color theme="4" tint="0.79998168889431442"/>
      </dataBar>
      <extLst>
        <ext xmlns:x14="http://schemas.microsoft.com/office/spreadsheetml/2009/9/main" uri="{B025F937-C7B1-47D3-B67F-A62EFF666E3E}">
          <x14:id>{5EF5268F-9981-4619-AC2C-C52DA9FE53CC}</x14:id>
        </ext>
      </extLst>
    </cfRule>
  </conditionalFormatting>
  <conditionalFormatting sqref="X9:X22">
    <cfRule type="dataBar" priority="2">
      <dataBar>
        <cfvo type="min"/>
        <cfvo type="num" val="1"/>
        <color theme="4" tint="0.79998168889431442"/>
      </dataBar>
      <extLst>
        <ext xmlns:x14="http://schemas.microsoft.com/office/spreadsheetml/2009/9/main" uri="{B025F937-C7B1-47D3-B67F-A62EFF666E3E}">
          <x14:id>{1F561CD2-0137-469C-A055-D8AA5A00353F}</x14:id>
        </ext>
      </extLst>
    </cfRule>
  </conditionalFormatting>
  <conditionalFormatting sqref="AB9:AB22">
    <cfRule type="dataBar" priority="1">
      <dataBar>
        <cfvo type="min"/>
        <cfvo type="num" val="1"/>
        <color theme="4" tint="0.79998168889431442"/>
      </dataBar>
      <extLst>
        <ext xmlns:x14="http://schemas.microsoft.com/office/spreadsheetml/2009/9/main" uri="{B025F937-C7B1-47D3-B67F-A62EFF666E3E}">
          <x14:id>{63BEB714-677D-4DF2-BE05-C1E1E8780606}</x14:id>
        </ext>
      </extLst>
    </cfRule>
  </conditionalFormatting>
  <pageMargins left="0.7" right="0.7" top="0.75" bottom="0.75" header="0.3" footer="0.3"/>
  <pageSetup paperSize="8" scale="75" fitToHeight="0" orientation="landscape" r:id="rId1"/>
  <extLst>
    <ext xmlns:x14="http://schemas.microsoft.com/office/spreadsheetml/2009/9/main" uri="{78C0D931-6437-407d-A8EE-F0AAD7539E65}">
      <x14:conditionalFormattings>
        <x14:conditionalFormatting xmlns:xm="http://schemas.microsoft.com/office/excel/2006/main">
          <x14:cfRule type="dataBar" id="{14F3239D-36D1-4424-A04E-3CEBEB75E93B}">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F9:H22</xm:sqref>
        </x14:conditionalFormatting>
        <x14:conditionalFormatting xmlns:xm="http://schemas.microsoft.com/office/excel/2006/main">
          <x14:cfRule type="dataBar" id="{FD19192C-5F54-4E70-BE54-D7AC7F2B2982}">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K9:K22</xm:sqref>
        </x14:conditionalFormatting>
        <x14:conditionalFormatting xmlns:xm="http://schemas.microsoft.com/office/excel/2006/main">
          <x14:cfRule type="dataBar" id="{BD7AF9B4-A604-4C55-8C0D-45FD113D9316}">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O9:O22</xm:sqref>
        </x14:conditionalFormatting>
        <x14:conditionalFormatting xmlns:xm="http://schemas.microsoft.com/office/excel/2006/main">
          <x14:cfRule type="dataBar" id="{B637140F-ADCA-44F2-9B20-41F3317A7016}">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S9:S22</xm:sqref>
        </x14:conditionalFormatting>
        <x14:conditionalFormatting xmlns:xm="http://schemas.microsoft.com/office/excel/2006/main">
          <x14:cfRule type="dataBar" id="{79824B97-4E56-4617-92C0-CF537CCB48A8}">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W9:W22</xm:sqref>
        </x14:conditionalFormatting>
        <x14:conditionalFormatting xmlns:xm="http://schemas.microsoft.com/office/excel/2006/main">
          <x14:cfRule type="dataBar" id="{82156E83-E314-4133-8F74-D3C139C87B93}">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AA9:AA22</xm:sqref>
        </x14:conditionalFormatting>
        <x14:conditionalFormatting xmlns:xm="http://schemas.microsoft.com/office/excel/2006/main">
          <x14:cfRule type="dataBar" id="{140A74A0-1740-4304-9195-011FA6A1E4B8}">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D8</xm:sqref>
        </x14:conditionalFormatting>
        <x14:conditionalFormatting xmlns:xm="http://schemas.microsoft.com/office/excel/2006/main">
          <x14:cfRule type="dataBar" id="{F3F66F27-32E4-4841-8DA0-789670D95628}">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I8</xm:sqref>
        </x14:conditionalFormatting>
        <x14:conditionalFormatting xmlns:xm="http://schemas.microsoft.com/office/excel/2006/main">
          <x14:cfRule type="dataBar" id="{577C6BF6-8F71-4068-B151-6021307A993E}">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M8</xm:sqref>
        </x14:conditionalFormatting>
        <x14:conditionalFormatting xmlns:xm="http://schemas.microsoft.com/office/excel/2006/main">
          <x14:cfRule type="dataBar" id="{152EA0A1-85B1-4FEF-9A11-51B09AAC585E}">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Q8</xm:sqref>
        </x14:conditionalFormatting>
        <x14:conditionalFormatting xmlns:xm="http://schemas.microsoft.com/office/excel/2006/main">
          <x14:cfRule type="dataBar" id="{6DCEB23A-9FD7-4407-AFEC-004927CAEA7E}">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U8</xm:sqref>
        </x14:conditionalFormatting>
        <x14:conditionalFormatting xmlns:xm="http://schemas.microsoft.com/office/excel/2006/main">
          <x14:cfRule type="dataBar" id="{77757A55-7638-4F0E-BE2D-02847FA455F7}">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Y8</xm:sqref>
        </x14:conditionalFormatting>
        <x14:conditionalFormatting xmlns:xm="http://schemas.microsoft.com/office/excel/2006/main">
          <x14:cfRule type="dataBar" id="{655E0B04-DE88-44B6-9861-7A8B8F393754}">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L9:L22</xm:sqref>
        </x14:conditionalFormatting>
        <x14:conditionalFormatting xmlns:xm="http://schemas.microsoft.com/office/excel/2006/main">
          <x14:cfRule type="dataBar" id="{22B29E8B-4D81-41D8-B86A-0EC86823C654}">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P9:P22</xm:sqref>
        </x14:conditionalFormatting>
        <x14:conditionalFormatting xmlns:xm="http://schemas.microsoft.com/office/excel/2006/main">
          <x14:cfRule type="dataBar" id="{5EF5268F-9981-4619-AC2C-C52DA9FE53CC}">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T9:T22</xm:sqref>
        </x14:conditionalFormatting>
        <x14:conditionalFormatting xmlns:xm="http://schemas.microsoft.com/office/excel/2006/main">
          <x14:cfRule type="dataBar" id="{1F561CD2-0137-469C-A055-D8AA5A00353F}">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X9:X22</xm:sqref>
        </x14:conditionalFormatting>
        <x14:conditionalFormatting xmlns:xm="http://schemas.microsoft.com/office/excel/2006/main">
          <x14:cfRule type="dataBar" id="{63BEB714-677D-4DF2-BE05-C1E1E8780606}">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AB9:AB22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73E52-5F0C-439C-9B0E-959B5F5D8803}">
  <sheetPr>
    <pageSetUpPr fitToPage="1"/>
  </sheetPr>
  <dimension ref="A1:AB23"/>
  <sheetViews>
    <sheetView view="pageBreakPreview" zoomScale="60" zoomScaleNormal="70" workbookViewId="0">
      <selection activeCell="R12" sqref="R12"/>
    </sheetView>
  </sheetViews>
  <sheetFormatPr defaultRowHeight="13.8" x14ac:dyDescent="0.25"/>
  <cols>
    <col min="1" max="1" width="8.88671875" style="76"/>
    <col min="2" max="2" width="29" style="76" customWidth="1"/>
    <col min="3" max="3" width="15.33203125" style="76" customWidth="1"/>
    <col min="4" max="4" width="8.88671875" style="76"/>
    <col min="5" max="5" width="8.109375" style="76" customWidth="1"/>
    <col min="6" max="6" width="8.5546875" style="76" bestFit="1" customWidth="1"/>
    <col min="7" max="7" width="8.77734375" style="76" hidden="1" customWidth="1"/>
    <col min="8" max="8" width="7.33203125" style="76" hidden="1" customWidth="1"/>
    <col min="9" max="11" width="14.6640625" style="76" customWidth="1"/>
    <col min="12" max="12" width="10.5546875" style="76" hidden="1" customWidth="1"/>
    <col min="13" max="13" width="12.6640625" style="76" customWidth="1"/>
    <col min="14" max="14" width="10" style="76" customWidth="1"/>
    <col min="15" max="15" width="12.6640625" style="76" customWidth="1"/>
    <col min="16" max="16" width="12.6640625" style="76" hidden="1" customWidth="1"/>
    <col min="17" max="17" width="12.6640625" style="76" customWidth="1"/>
    <col min="18" max="18" width="10.44140625" style="76" customWidth="1"/>
    <col min="19" max="19" width="11" style="76" customWidth="1"/>
    <col min="20" max="20" width="10.77734375" style="76" hidden="1" customWidth="1"/>
    <col min="21" max="21" width="12.6640625" style="76" customWidth="1"/>
    <col min="22" max="22" width="10.5546875" style="76" customWidth="1"/>
    <col min="23" max="23" width="9.5546875" style="76" customWidth="1"/>
    <col min="24" max="24" width="8.77734375" style="76" hidden="1" customWidth="1"/>
    <col min="25" max="16384" width="8.88671875" style="76"/>
  </cols>
  <sheetData>
    <row r="1" spans="1:24" ht="39.6" customHeight="1" x14ac:dyDescent="0.25">
      <c r="A1" s="206" t="s">
        <v>149</v>
      </c>
      <c r="B1" s="206"/>
      <c r="C1" s="206"/>
      <c r="D1" s="206"/>
      <c r="E1" s="206"/>
      <c r="F1" s="206"/>
    </row>
    <row r="2" spans="1:24" s="68" customFormat="1" x14ac:dyDescent="0.25">
      <c r="A2" s="66" t="s">
        <v>107</v>
      </c>
      <c r="B2" s="66" t="s">
        <v>108</v>
      </c>
      <c r="C2" s="66" t="s">
        <v>109</v>
      </c>
      <c r="D2" s="84" t="s">
        <v>110</v>
      </c>
      <c r="E2" s="85"/>
      <c r="F2" s="85"/>
      <c r="G2" s="85"/>
      <c r="H2" s="86"/>
      <c r="I2" s="67" t="s">
        <v>111</v>
      </c>
      <c r="J2" s="67"/>
      <c r="K2" s="67"/>
      <c r="L2" s="91"/>
      <c r="M2" s="67" t="s">
        <v>112</v>
      </c>
      <c r="N2" s="67"/>
      <c r="O2" s="67"/>
      <c r="P2" s="93"/>
      <c r="Q2" s="87" t="s">
        <v>113</v>
      </c>
      <c r="R2" s="87"/>
      <c r="S2" s="87"/>
      <c r="T2" s="93"/>
      <c r="U2" s="87" t="s">
        <v>114</v>
      </c>
      <c r="V2" s="87"/>
      <c r="W2" s="87"/>
      <c r="X2" s="93"/>
    </row>
    <row r="3" spans="1:24" s="68" customFormat="1" ht="42.6" customHeight="1" x14ac:dyDescent="0.25">
      <c r="A3" s="66"/>
      <c r="B3" s="66"/>
      <c r="C3" s="66"/>
      <c r="D3" s="70" t="s">
        <v>110</v>
      </c>
      <c r="E3" s="70" t="s">
        <v>137</v>
      </c>
      <c r="F3" s="70" t="s">
        <v>116</v>
      </c>
      <c r="G3" s="88" t="s">
        <v>139</v>
      </c>
      <c r="H3" s="98" t="s">
        <v>140</v>
      </c>
      <c r="I3" s="70" t="s">
        <v>110</v>
      </c>
      <c r="J3" s="70" t="s">
        <v>137</v>
      </c>
      <c r="K3" s="70" t="s">
        <v>116</v>
      </c>
      <c r="L3" s="89" t="s">
        <v>141</v>
      </c>
      <c r="M3" s="70" t="s">
        <v>110</v>
      </c>
      <c r="N3" s="70" t="s">
        <v>137</v>
      </c>
      <c r="O3" s="70" t="s">
        <v>116</v>
      </c>
      <c r="P3" s="89" t="s">
        <v>141</v>
      </c>
      <c r="Q3" s="70" t="s">
        <v>110</v>
      </c>
      <c r="R3" s="70" t="s">
        <v>137</v>
      </c>
      <c r="S3" s="70" t="s">
        <v>116</v>
      </c>
      <c r="T3" s="89" t="s">
        <v>141</v>
      </c>
      <c r="U3" s="70" t="s">
        <v>110</v>
      </c>
      <c r="V3" s="70" t="s">
        <v>137</v>
      </c>
      <c r="W3" s="70" t="s">
        <v>116</v>
      </c>
      <c r="X3" s="89" t="s">
        <v>141</v>
      </c>
    </row>
    <row r="4" spans="1:24" s="68" customFormat="1" ht="73.8" customHeight="1" x14ac:dyDescent="0.25">
      <c r="A4" s="84" t="s">
        <v>142</v>
      </c>
      <c r="B4" s="85"/>
      <c r="C4" s="85"/>
      <c r="D4" s="85"/>
      <c r="E4" s="85"/>
      <c r="F4" s="86"/>
      <c r="G4" s="88"/>
      <c r="H4" s="99"/>
      <c r="I4" s="103" t="str">
        <f>Пермь!I6</f>
        <v>Получено положительное заключение 
№ 59-1-1-3-081562-2023 от 26.12.2023</v>
      </c>
      <c r="J4" s="104"/>
      <c r="K4" s="105"/>
      <c r="L4" s="92"/>
      <c r="M4" s="103" t="str">
        <f>Пермь!I7</f>
        <v>Получено положительное заключение 
№ 59-1-1-3-052681-2024 от 09.09.2024</v>
      </c>
      <c r="N4" s="104"/>
      <c r="O4" s="105"/>
      <c r="P4" s="92"/>
      <c r="Q4" s="106" t="s">
        <v>143</v>
      </c>
      <c r="R4" s="107"/>
      <c r="S4" s="108"/>
      <c r="T4" s="92"/>
      <c r="U4" s="103" t="str">
        <f>Пермь!I9</f>
        <v>Получено положительное заключение 
№ 59-1-1-3-052676-2024 от 09.09.2024</v>
      </c>
      <c r="V4" s="104"/>
      <c r="W4" s="105"/>
      <c r="X4" s="92"/>
    </row>
    <row r="5" spans="1:24" s="135" customFormat="1" ht="24.6" customHeight="1" x14ac:dyDescent="0.35">
      <c r="A5" s="140" t="s">
        <v>117</v>
      </c>
      <c r="B5" s="141"/>
      <c r="C5" s="126" t="s">
        <v>118</v>
      </c>
      <c r="D5" s="127">
        <f>SUM(I5:X5)</f>
        <v>4947834.8</v>
      </c>
      <c r="E5" s="128"/>
      <c r="F5" s="129"/>
      <c r="G5" s="88"/>
      <c r="H5" s="99"/>
      <c r="I5" s="127">
        <f>Пермь!J6</f>
        <v>322622</v>
      </c>
      <c r="J5" s="142"/>
      <c r="K5" s="143"/>
      <c r="L5" s="92"/>
      <c r="M5" s="127">
        <f>Пермь!J7</f>
        <v>898210</v>
      </c>
      <c r="N5" s="142"/>
      <c r="O5" s="143"/>
      <c r="P5" s="92"/>
      <c r="Q5" s="159">
        <f>Пермь!K8</f>
        <v>3301993.8</v>
      </c>
      <c r="R5" s="160"/>
      <c r="S5" s="161"/>
      <c r="T5" s="92"/>
      <c r="U5" s="127">
        <f>Пермь!J9</f>
        <v>425009</v>
      </c>
      <c r="V5" s="142"/>
      <c r="W5" s="143"/>
      <c r="X5" s="92"/>
    </row>
    <row r="6" spans="1:24" s="135" customFormat="1" ht="24.6" customHeight="1" x14ac:dyDescent="0.35">
      <c r="A6" s="140" t="s">
        <v>138</v>
      </c>
      <c r="B6" s="141"/>
      <c r="C6" s="136"/>
      <c r="D6" s="127">
        <f>SUM(I6:X6)</f>
        <v>134131</v>
      </c>
      <c r="E6" s="128"/>
      <c r="F6" s="129"/>
      <c r="G6" s="88"/>
      <c r="H6" s="100"/>
      <c r="I6" s="137">
        <f>Пермь!L6</f>
        <v>134131</v>
      </c>
      <c r="J6" s="138"/>
      <c r="K6" s="139"/>
      <c r="L6" s="92"/>
      <c r="M6" s="137">
        <f>Пермь!L7</f>
        <v>0</v>
      </c>
      <c r="N6" s="138"/>
      <c r="O6" s="139"/>
      <c r="P6" s="92"/>
      <c r="Q6" s="137">
        <f>Пермь!L8</f>
        <v>0</v>
      </c>
      <c r="R6" s="138"/>
      <c r="S6" s="139"/>
      <c r="T6" s="92"/>
      <c r="U6" s="137">
        <f>Пермь!L9</f>
        <v>0</v>
      </c>
      <c r="V6" s="138"/>
      <c r="W6" s="139"/>
      <c r="X6" s="92"/>
    </row>
    <row r="7" spans="1:24" s="156" customFormat="1" ht="24.6" customHeight="1" x14ac:dyDescent="0.35">
      <c r="A7" s="148" t="s">
        <v>147</v>
      </c>
      <c r="B7" s="149"/>
      <c r="C7" s="150"/>
      <c r="D7" s="151">
        <f>SUM(G8:G21)</f>
        <v>0.65942810176278832</v>
      </c>
      <c r="E7" s="152"/>
      <c r="F7" s="153"/>
      <c r="G7" s="88"/>
      <c r="H7" s="154">
        <f>SUM(H8:H21)</f>
        <v>1</v>
      </c>
      <c r="I7" s="151">
        <f>SUM(L8:L21)</f>
        <v>0.99241653945709174</v>
      </c>
      <c r="J7" s="152"/>
      <c r="K7" s="153"/>
      <c r="L7" s="90"/>
      <c r="M7" s="151">
        <f>SUM(P8:P21)</f>
        <v>0.81319461189667464</v>
      </c>
      <c r="N7" s="152"/>
      <c r="O7" s="153"/>
      <c r="P7" s="90"/>
      <c r="Q7" s="151">
        <f>SUM(T8:T21)</f>
        <v>0.52058826677614667</v>
      </c>
      <c r="R7" s="152"/>
      <c r="S7" s="153"/>
      <c r="T7" s="90"/>
      <c r="U7" s="151">
        <f>SUM(X8:X21)</f>
        <v>0.9538506460392624</v>
      </c>
      <c r="V7" s="152"/>
      <c r="W7" s="153"/>
      <c r="X7" s="90"/>
    </row>
    <row r="8" spans="1:24" ht="30.6" customHeight="1" x14ac:dyDescent="0.25">
      <c r="A8" s="74">
        <v>1</v>
      </c>
      <c r="B8" s="81" t="s">
        <v>119</v>
      </c>
      <c r="C8" s="75" t="s">
        <v>120</v>
      </c>
      <c r="D8" s="75">
        <f>I8+M8+Q8+U8</f>
        <v>16.86</v>
      </c>
      <c r="E8" s="75">
        <f>J8+N8+R8+V8</f>
        <v>15.530000000000001</v>
      </c>
      <c r="F8" s="79">
        <f>E8/D8</f>
        <v>0.92111506524317921</v>
      </c>
      <c r="G8" s="79">
        <f>E8*H8/D8</f>
        <v>4.6055753262158959E-2</v>
      </c>
      <c r="H8" s="79">
        <v>0.05</v>
      </c>
      <c r="I8" s="75">
        <v>2.2200000000000002</v>
      </c>
      <c r="J8" s="75">
        <v>2.2200000000000002</v>
      </c>
      <c r="K8" s="79">
        <f>J8/I8</f>
        <v>1</v>
      </c>
      <c r="L8" s="79">
        <f>J8*H8/I8</f>
        <v>0.05</v>
      </c>
      <c r="M8" s="75">
        <v>3.5</v>
      </c>
      <c r="N8" s="75">
        <v>3.5</v>
      </c>
      <c r="O8" s="79">
        <f>N8/M8</f>
        <v>1</v>
      </c>
      <c r="P8" s="79">
        <f>N8*$H8/M8</f>
        <v>0.05</v>
      </c>
      <c r="Q8" s="75">
        <v>9.66</v>
      </c>
      <c r="R8" s="75">
        <v>8.33</v>
      </c>
      <c r="S8" s="79">
        <f>R8/Q8</f>
        <v>0.86231884057971009</v>
      </c>
      <c r="T8" s="79">
        <f>R8*$H8/Q8</f>
        <v>4.3115942028985513E-2</v>
      </c>
      <c r="U8" s="75">
        <v>1.48</v>
      </c>
      <c r="V8" s="75">
        <v>1.48</v>
      </c>
      <c r="W8" s="79">
        <f>V8/U8</f>
        <v>1</v>
      </c>
      <c r="X8" s="79">
        <f>V8*$H8/U8</f>
        <v>4.9999999999999996E-2</v>
      </c>
    </row>
    <row r="9" spans="1:24" ht="30.6" customHeight="1" x14ac:dyDescent="0.25">
      <c r="A9" s="74">
        <v>2</v>
      </c>
      <c r="B9" s="81" t="s">
        <v>121</v>
      </c>
      <c r="C9" s="75" t="s">
        <v>120</v>
      </c>
      <c r="D9" s="75">
        <f t="shared" ref="D9:D21" si="0">I9+M9+Q9+U9</f>
        <v>16.86</v>
      </c>
      <c r="E9" s="75">
        <f t="shared" ref="E9:E21" si="1">J9+N9+R9+V9</f>
        <v>15.530000000000001</v>
      </c>
      <c r="F9" s="79">
        <f t="shared" ref="F9:F21" si="2">E9/D9</f>
        <v>0.92111506524317921</v>
      </c>
      <c r="G9" s="79">
        <f t="shared" ref="G9:G21" si="3">E9*H9/D9</f>
        <v>4.6055753262158959E-2</v>
      </c>
      <c r="H9" s="79">
        <v>0.05</v>
      </c>
      <c r="I9" s="75">
        <v>2.2200000000000002</v>
      </c>
      <c r="J9" s="75">
        <v>2.2200000000000002</v>
      </c>
      <c r="K9" s="79">
        <f t="shared" ref="K9:K21" si="4">J9/I9</f>
        <v>1</v>
      </c>
      <c r="L9" s="79">
        <f t="shared" ref="L9:L21" si="5">J9*H9/I9</f>
        <v>0.05</v>
      </c>
      <c r="M9" s="75">
        <v>3.5</v>
      </c>
      <c r="N9" s="75">
        <v>3.5</v>
      </c>
      <c r="O9" s="79">
        <f t="shared" ref="O9:O21" si="6">N9/M9</f>
        <v>1</v>
      </c>
      <c r="P9" s="79">
        <f t="shared" ref="P9:P21" si="7">N9*$H9/M9</f>
        <v>0.05</v>
      </c>
      <c r="Q9" s="75">
        <v>9.66</v>
      </c>
      <c r="R9" s="75">
        <v>8.33</v>
      </c>
      <c r="S9" s="79">
        <f t="shared" ref="S9:S21" si="8">R9/Q9</f>
        <v>0.86231884057971009</v>
      </c>
      <c r="T9" s="79">
        <f t="shared" ref="T9:T21" si="9">R9*$H9/Q9</f>
        <v>4.3115942028985513E-2</v>
      </c>
      <c r="U9" s="75">
        <v>1.48</v>
      </c>
      <c r="V9" s="75">
        <v>1.48</v>
      </c>
      <c r="W9" s="79">
        <f t="shared" ref="W9:W21" si="10">V9/U9</f>
        <v>1</v>
      </c>
      <c r="X9" s="79">
        <f t="shared" ref="X9:X21" si="11">V9*$H9/U9</f>
        <v>4.9999999999999996E-2</v>
      </c>
    </row>
    <row r="10" spans="1:24" ht="30.6" customHeight="1" x14ac:dyDescent="0.25">
      <c r="A10" s="74">
        <v>3</v>
      </c>
      <c r="B10" s="81" t="s">
        <v>122</v>
      </c>
      <c r="C10" s="75" t="s">
        <v>120</v>
      </c>
      <c r="D10" s="75">
        <f t="shared" si="0"/>
        <v>16.86</v>
      </c>
      <c r="E10" s="75">
        <f t="shared" si="1"/>
        <v>15.530000000000001</v>
      </c>
      <c r="F10" s="79">
        <f t="shared" si="2"/>
        <v>0.92111506524317921</v>
      </c>
      <c r="G10" s="79">
        <f t="shared" si="3"/>
        <v>4.6055753262158959E-2</v>
      </c>
      <c r="H10" s="79">
        <v>0.05</v>
      </c>
      <c r="I10" s="75">
        <v>2.2200000000000002</v>
      </c>
      <c r="J10" s="75">
        <v>2.2200000000000002</v>
      </c>
      <c r="K10" s="79">
        <f t="shared" si="4"/>
        <v>1</v>
      </c>
      <c r="L10" s="79">
        <f t="shared" si="5"/>
        <v>0.05</v>
      </c>
      <c r="M10" s="75">
        <v>3.5</v>
      </c>
      <c r="N10" s="75">
        <v>3.5</v>
      </c>
      <c r="O10" s="79">
        <f t="shared" si="6"/>
        <v>1</v>
      </c>
      <c r="P10" s="79">
        <f t="shared" si="7"/>
        <v>0.05</v>
      </c>
      <c r="Q10" s="75">
        <v>9.66</v>
      </c>
      <c r="R10" s="75">
        <v>8.33</v>
      </c>
      <c r="S10" s="79">
        <f t="shared" si="8"/>
        <v>0.86231884057971009</v>
      </c>
      <c r="T10" s="79">
        <f t="shared" si="9"/>
        <v>4.3115942028985513E-2</v>
      </c>
      <c r="U10" s="75">
        <v>1.48</v>
      </c>
      <c r="V10" s="75">
        <v>1.48</v>
      </c>
      <c r="W10" s="79">
        <f t="shared" si="10"/>
        <v>1</v>
      </c>
      <c r="X10" s="79">
        <f t="shared" si="11"/>
        <v>4.9999999999999996E-2</v>
      </c>
    </row>
    <row r="11" spans="1:24" ht="30.6" customHeight="1" x14ac:dyDescent="0.25">
      <c r="A11" s="74">
        <v>4</v>
      </c>
      <c r="B11" s="81" t="s">
        <v>123</v>
      </c>
      <c r="C11" s="75" t="s">
        <v>120</v>
      </c>
      <c r="D11" s="75">
        <f t="shared" si="0"/>
        <v>16.86</v>
      </c>
      <c r="E11" s="75">
        <f t="shared" si="1"/>
        <v>15.510000000000002</v>
      </c>
      <c r="F11" s="79">
        <f t="shared" si="2"/>
        <v>0.91992882562277589</v>
      </c>
      <c r="G11" s="79">
        <f t="shared" si="3"/>
        <v>4.5996441281138799E-2</v>
      </c>
      <c r="H11" s="79">
        <v>0.05</v>
      </c>
      <c r="I11" s="75">
        <v>2.2200000000000002</v>
      </c>
      <c r="J11" s="75">
        <v>2.2200000000000002</v>
      </c>
      <c r="K11" s="79">
        <f t="shared" si="4"/>
        <v>1</v>
      </c>
      <c r="L11" s="79">
        <f t="shared" si="5"/>
        <v>0.05</v>
      </c>
      <c r="M11" s="75">
        <v>3.5</v>
      </c>
      <c r="N11" s="75">
        <v>3.5</v>
      </c>
      <c r="O11" s="79">
        <f t="shared" si="6"/>
        <v>1</v>
      </c>
      <c r="P11" s="79">
        <f t="shared" si="7"/>
        <v>0.05</v>
      </c>
      <c r="Q11" s="75">
        <v>9.66</v>
      </c>
      <c r="R11" s="75">
        <v>8.33</v>
      </c>
      <c r="S11" s="79">
        <f t="shared" si="8"/>
        <v>0.86231884057971009</v>
      </c>
      <c r="T11" s="79">
        <f t="shared" si="9"/>
        <v>4.3115942028985513E-2</v>
      </c>
      <c r="U11" s="75">
        <v>1.48</v>
      </c>
      <c r="V11" s="75">
        <v>1.46</v>
      </c>
      <c r="W11" s="79">
        <f t="shared" si="10"/>
        <v>0.98648648648648651</v>
      </c>
      <c r="X11" s="79">
        <f t="shared" si="11"/>
        <v>4.932432432432432E-2</v>
      </c>
    </row>
    <row r="12" spans="1:24" ht="30.6" customHeight="1" x14ac:dyDescent="0.25">
      <c r="A12" s="74">
        <v>5</v>
      </c>
      <c r="B12" s="81" t="s">
        <v>124</v>
      </c>
      <c r="C12" s="75" t="s">
        <v>120</v>
      </c>
      <c r="D12" s="75">
        <f t="shared" si="0"/>
        <v>16.86</v>
      </c>
      <c r="E12" s="75">
        <f t="shared" si="1"/>
        <v>15.590000000000002</v>
      </c>
      <c r="F12" s="79">
        <f t="shared" si="2"/>
        <v>0.92467378410438916</v>
      </c>
      <c r="G12" s="79">
        <f t="shared" si="3"/>
        <v>0.32363582443653621</v>
      </c>
      <c r="H12" s="79">
        <v>0.35</v>
      </c>
      <c r="I12" s="75">
        <v>2.2200000000000002</v>
      </c>
      <c r="J12" s="75">
        <v>2.2200000000000002</v>
      </c>
      <c r="K12" s="79">
        <f t="shared" si="4"/>
        <v>1</v>
      </c>
      <c r="L12" s="79">
        <f t="shared" si="5"/>
        <v>0.35</v>
      </c>
      <c r="M12" s="75">
        <v>3.5</v>
      </c>
      <c r="N12" s="75">
        <v>3.5</v>
      </c>
      <c r="O12" s="79">
        <f t="shared" si="6"/>
        <v>1</v>
      </c>
      <c r="P12" s="79">
        <f t="shared" si="7"/>
        <v>0.35</v>
      </c>
      <c r="Q12" s="75">
        <v>9.66</v>
      </c>
      <c r="R12" s="75">
        <v>8.39</v>
      </c>
      <c r="S12" s="79">
        <f t="shared" si="8"/>
        <v>0.86853002070393381</v>
      </c>
      <c r="T12" s="79">
        <f t="shared" si="9"/>
        <v>0.3039855072463768</v>
      </c>
      <c r="U12" s="75">
        <v>1.48</v>
      </c>
      <c r="V12" s="75">
        <v>1.48</v>
      </c>
      <c r="W12" s="79">
        <f t="shared" si="10"/>
        <v>1</v>
      </c>
      <c r="X12" s="79">
        <f t="shared" si="11"/>
        <v>0.35000000000000003</v>
      </c>
    </row>
    <row r="13" spans="1:24" ht="30.6" customHeight="1" x14ac:dyDescent="0.25">
      <c r="A13" s="77">
        <v>6</v>
      </c>
      <c r="B13" s="82" t="s">
        <v>125</v>
      </c>
      <c r="C13" s="78" t="s">
        <v>120</v>
      </c>
      <c r="D13" s="75">
        <f t="shared" si="0"/>
        <v>16.86</v>
      </c>
      <c r="E13" s="75">
        <f t="shared" si="1"/>
        <v>15.3</v>
      </c>
      <c r="F13" s="79">
        <f t="shared" si="2"/>
        <v>0.907473309608541</v>
      </c>
      <c r="G13" s="79">
        <f t="shared" si="3"/>
        <v>2.7224199288256229E-2</v>
      </c>
      <c r="H13" s="79">
        <v>0.03</v>
      </c>
      <c r="I13" s="75">
        <v>2.2200000000000002</v>
      </c>
      <c r="J13" s="75">
        <v>2.2200000000000002</v>
      </c>
      <c r="K13" s="79">
        <f t="shared" si="4"/>
        <v>1</v>
      </c>
      <c r="L13" s="79">
        <f t="shared" si="5"/>
        <v>0.03</v>
      </c>
      <c r="M13" s="75">
        <v>3.5</v>
      </c>
      <c r="N13" s="75">
        <v>3.5</v>
      </c>
      <c r="O13" s="79">
        <f t="shared" si="6"/>
        <v>1</v>
      </c>
      <c r="P13" s="79">
        <f t="shared" si="7"/>
        <v>0.03</v>
      </c>
      <c r="Q13" s="75">
        <v>9.66</v>
      </c>
      <c r="R13" s="75">
        <v>8.1</v>
      </c>
      <c r="S13" s="79">
        <f t="shared" si="8"/>
        <v>0.83850931677018625</v>
      </c>
      <c r="T13" s="79">
        <f t="shared" si="9"/>
        <v>2.5155279503105588E-2</v>
      </c>
      <c r="U13" s="75">
        <v>1.48</v>
      </c>
      <c r="V13" s="75">
        <v>1.48</v>
      </c>
      <c r="W13" s="79">
        <f t="shared" si="10"/>
        <v>1</v>
      </c>
      <c r="X13" s="79">
        <f t="shared" si="11"/>
        <v>2.9999999999999995E-2</v>
      </c>
    </row>
    <row r="14" spans="1:24" ht="30.6" customHeight="1" x14ac:dyDescent="0.25">
      <c r="A14" s="74">
        <v>7</v>
      </c>
      <c r="B14" s="83" t="s">
        <v>126</v>
      </c>
      <c r="C14" s="75" t="s">
        <v>127</v>
      </c>
      <c r="D14" s="75">
        <f t="shared" si="0"/>
        <v>11543</v>
      </c>
      <c r="E14" s="75">
        <f t="shared" si="1"/>
        <v>5310</v>
      </c>
      <c r="F14" s="79">
        <f>E14/D14</f>
        <v>0.46001905917005975</v>
      </c>
      <c r="G14" s="79">
        <f t="shared" si="3"/>
        <v>9.2003811834011958E-3</v>
      </c>
      <c r="H14" s="79">
        <v>0.02</v>
      </c>
      <c r="I14" s="75">
        <v>1830</v>
      </c>
      <c r="J14" s="75">
        <v>1735</v>
      </c>
      <c r="K14" s="79">
        <f t="shared" si="4"/>
        <v>0.94808743169398912</v>
      </c>
      <c r="L14" s="79">
        <f t="shared" si="5"/>
        <v>1.8961748633879782E-2</v>
      </c>
      <c r="M14" s="75">
        <v>1597</v>
      </c>
      <c r="N14" s="75">
        <v>1597</v>
      </c>
      <c r="O14" s="79">
        <f t="shared" si="6"/>
        <v>1</v>
      </c>
      <c r="P14" s="79">
        <f t="shared" si="7"/>
        <v>0.02</v>
      </c>
      <c r="Q14" s="75">
        <v>7498</v>
      </c>
      <c r="R14" s="75">
        <v>1366</v>
      </c>
      <c r="S14" s="79">
        <f t="shared" si="8"/>
        <v>0.18218191517738064</v>
      </c>
      <c r="T14" s="79">
        <f t="shared" si="9"/>
        <v>3.6436383035476127E-3</v>
      </c>
      <c r="U14" s="75">
        <v>618</v>
      </c>
      <c r="V14" s="75">
        <v>612</v>
      </c>
      <c r="W14" s="79">
        <f t="shared" si="10"/>
        <v>0.99029126213592233</v>
      </c>
      <c r="X14" s="79">
        <f t="shared" si="11"/>
        <v>1.9805825242718449E-2</v>
      </c>
    </row>
    <row r="15" spans="1:24" ht="30.6" customHeight="1" x14ac:dyDescent="0.25">
      <c r="A15" s="74">
        <v>8</v>
      </c>
      <c r="B15" s="81" t="s">
        <v>128</v>
      </c>
      <c r="C15" s="75" t="s">
        <v>127</v>
      </c>
      <c r="D15" s="75">
        <f t="shared" si="0"/>
        <v>49653</v>
      </c>
      <c r="E15" s="75">
        <f t="shared" si="1"/>
        <v>25807</v>
      </c>
      <c r="F15" s="79">
        <f t="shared" si="2"/>
        <v>0.51974704448875197</v>
      </c>
      <c r="G15" s="79">
        <f t="shared" si="3"/>
        <v>1.5592411334662557E-2</v>
      </c>
      <c r="H15" s="79">
        <v>0.03</v>
      </c>
      <c r="I15" s="75">
        <v>2223</v>
      </c>
      <c r="J15" s="75">
        <v>1738</v>
      </c>
      <c r="K15" s="79">
        <f t="shared" si="4"/>
        <v>0.78182636077372925</v>
      </c>
      <c r="L15" s="79">
        <f t="shared" si="5"/>
        <v>2.3454790823211877E-2</v>
      </c>
      <c r="M15" s="75">
        <v>10868</v>
      </c>
      <c r="N15" s="75">
        <v>9330</v>
      </c>
      <c r="O15" s="79">
        <f t="shared" si="6"/>
        <v>0.85848362164151637</v>
      </c>
      <c r="P15" s="79">
        <f t="shared" si="7"/>
        <v>2.575450864924549E-2</v>
      </c>
      <c r="Q15" s="75">
        <v>32235</v>
      </c>
      <c r="R15" s="75">
        <v>10622</v>
      </c>
      <c r="S15" s="79">
        <f t="shared" si="8"/>
        <v>0.32951760508763767</v>
      </c>
      <c r="T15" s="79">
        <f t="shared" si="9"/>
        <v>9.8855281526291292E-3</v>
      </c>
      <c r="U15" s="75">
        <v>4327</v>
      </c>
      <c r="V15" s="75">
        <v>4117</v>
      </c>
      <c r="W15" s="79">
        <f t="shared" si="10"/>
        <v>0.95146752946614277</v>
      </c>
      <c r="X15" s="79">
        <f t="shared" si="11"/>
        <v>2.8544025883984282E-2</v>
      </c>
    </row>
    <row r="16" spans="1:24" ht="30.6" customHeight="1" x14ac:dyDescent="0.25">
      <c r="A16" s="74">
        <v>9</v>
      </c>
      <c r="B16" s="81" t="s">
        <v>129</v>
      </c>
      <c r="C16" s="75" t="s">
        <v>130</v>
      </c>
      <c r="D16" s="75">
        <f t="shared" si="0"/>
        <v>11276</v>
      </c>
      <c r="E16" s="75">
        <f t="shared" si="1"/>
        <v>1461</v>
      </c>
      <c r="F16" s="79">
        <f t="shared" si="2"/>
        <v>0.12956722241929763</v>
      </c>
      <c r="G16" s="79">
        <f t="shared" si="3"/>
        <v>3.8870166725789284E-3</v>
      </c>
      <c r="H16" s="79">
        <v>0.03</v>
      </c>
      <c r="I16" s="75">
        <v>149</v>
      </c>
      <c r="J16" s="75">
        <v>149</v>
      </c>
      <c r="K16" s="79">
        <f t="shared" si="4"/>
        <v>1</v>
      </c>
      <c r="L16" s="79">
        <f t="shared" si="5"/>
        <v>0.03</v>
      </c>
      <c r="M16" s="75">
        <v>2363</v>
      </c>
      <c r="N16" s="75">
        <v>174</v>
      </c>
      <c r="O16" s="79">
        <f t="shared" si="6"/>
        <v>7.3635209479475244E-2</v>
      </c>
      <c r="P16" s="79">
        <f t="shared" si="7"/>
        <v>2.2090562843842571E-3</v>
      </c>
      <c r="Q16" s="75">
        <v>7626</v>
      </c>
      <c r="R16" s="75">
        <v>0</v>
      </c>
      <c r="S16" s="79">
        <f t="shared" si="8"/>
        <v>0</v>
      </c>
      <c r="T16" s="79">
        <f t="shared" si="9"/>
        <v>0</v>
      </c>
      <c r="U16" s="75">
        <v>1138</v>
      </c>
      <c r="V16" s="75">
        <v>1138</v>
      </c>
      <c r="W16" s="79">
        <f t="shared" si="10"/>
        <v>1</v>
      </c>
      <c r="X16" s="79">
        <f t="shared" si="11"/>
        <v>0.03</v>
      </c>
    </row>
    <row r="17" spans="1:24" ht="46.2" customHeight="1" x14ac:dyDescent="0.25">
      <c r="A17" s="74">
        <v>10</v>
      </c>
      <c r="B17" s="83" t="s">
        <v>131</v>
      </c>
      <c r="C17" s="75" t="s">
        <v>127</v>
      </c>
      <c r="D17" s="75">
        <f t="shared" si="0"/>
        <v>432</v>
      </c>
      <c r="E17" s="75">
        <f t="shared" si="1"/>
        <v>160</v>
      </c>
      <c r="F17" s="79">
        <f t="shared" si="2"/>
        <v>0.37037037037037035</v>
      </c>
      <c r="G17" s="79">
        <f t="shared" si="3"/>
        <v>3.7037037037037035E-2</v>
      </c>
      <c r="H17" s="79">
        <v>0.1</v>
      </c>
      <c r="I17" s="75">
        <v>30</v>
      </c>
      <c r="J17" s="75">
        <v>30</v>
      </c>
      <c r="K17" s="79">
        <f t="shared" si="4"/>
        <v>1</v>
      </c>
      <c r="L17" s="79">
        <f t="shared" si="5"/>
        <v>0.1</v>
      </c>
      <c r="M17" s="75">
        <v>93</v>
      </c>
      <c r="N17" s="75">
        <v>82</v>
      </c>
      <c r="O17" s="79">
        <f t="shared" si="6"/>
        <v>0.88172043010752688</v>
      </c>
      <c r="P17" s="79">
        <f t="shared" si="7"/>
        <v>8.8172043010752696E-2</v>
      </c>
      <c r="Q17" s="75">
        <v>275</v>
      </c>
      <c r="R17" s="75">
        <v>15</v>
      </c>
      <c r="S17" s="79">
        <f t="shared" si="8"/>
        <v>5.4545454545454543E-2</v>
      </c>
      <c r="T17" s="79">
        <f t="shared" si="9"/>
        <v>5.454545454545455E-3</v>
      </c>
      <c r="U17" s="75">
        <v>34</v>
      </c>
      <c r="V17" s="75">
        <v>33</v>
      </c>
      <c r="W17" s="79">
        <f t="shared" si="10"/>
        <v>0.97058823529411764</v>
      </c>
      <c r="X17" s="79">
        <f t="shared" si="11"/>
        <v>9.7058823529411767E-2</v>
      </c>
    </row>
    <row r="18" spans="1:24" ht="30.6" customHeight="1" x14ac:dyDescent="0.25">
      <c r="A18" s="74">
        <v>11</v>
      </c>
      <c r="B18" s="81" t="s">
        <v>132</v>
      </c>
      <c r="C18" s="75" t="s">
        <v>127</v>
      </c>
      <c r="D18" s="75">
        <f t="shared" si="0"/>
        <v>432</v>
      </c>
      <c r="E18" s="75">
        <f t="shared" si="1"/>
        <v>128</v>
      </c>
      <c r="F18" s="79">
        <f t="shared" si="2"/>
        <v>0.29629629629629628</v>
      </c>
      <c r="G18" s="79">
        <f t="shared" si="3"/>
        <v>2.9629629629629631E-2</v>
      </c>
      <c r="H18" s="79">
        <v>0.1</v>
      </c>
      <c r="I18" s="75">
        <v>30</v>
      </c>
      <c r="J18" s="75">
        <v>30</v>
      </c>
      <c r="K18" s="79">
        <f t="shared" si="4"/>
        <v>1</v>
      </c>
      <c r="L18" s="79">
        <f t="shared" si="5"/>
        <v>0.1</v>
      </c>
      <c r="M18" s="75">
        <v>93</v>
      </c>
      <c r="N18" s="75">
        <v>65</v>
      </c>
      <c r="O18" s="79">
        <f t="shared" si="6"/>
        <v>0.69892473118279574</v>
      </c>
      <c r="P18" s="79">
        <f t="shared" si="7"/>
        <v>6.9892473118279563E-2</v>
      </c>
      <c r="Q18" s="75">
        <v>275</v>
      </c>
      <c r="R18" s="75">
        <v>0</v>
      </c>
      <c r="S18" s="79">
        <f t="shared" si="8"/>
        <v>0</v>
      </c>
      <c r="T18" s="79">
        <f t="shared" si="9"/>
        <v>0</v>
      </c>
      <c r="U18" s="75">
        <v>34</v>
      </c>
      <c r="V18" s="75">
        <v>33</v>
      </c>
      <c r="W18" s="79">
        <f t="shared" si="10"/>
        <v>0.97058823529411764</v>
      </c>
      <c r="X18" s="79">
        <f t="shared" si="11"/>
        <v>9.7058823529411767E-2</v>
      </c>
    </row>
    <row r="19" spans="1:24" ht="30.6" customHeight="1" x14ac:dyDescent="0.25">
      <c r="A19" s="74">
        <v>12</v>
      </c>
      <c r="B19" s="81" t="s">
        <v>133</v>
      </c>
      <c r="C19" s="75" t="s">
        <v>134</v>
      </c>
      <c r="D19" s="75">
        <f t="shared" si="0"/>
        <v>18111</v>
      </c>
      <c r="E19" s="75">
        <f t="shared" si="1"/>
        <v>4730</v>
      </c>
      <c r="F19" s="79">
        <f t="shared" si="2"/>
        <v>0.26116724642482469</v>
      </c>
      <c r="G19" s="79">
        <f t="shared" si="3"/>
        <v>2.6116724642482471E-2</v>
      </c>
      <c r="H19" s="79">
        <v>0.1</v>
      </c>
      <c r="I19" s="75">
        <v>2410</v>
      </c>
      <c r="J19" s="75">
        <v>2410</v>
      </c>
      <c r="K19" s="79">
        <f t="shared" si="4"/>
        <v>1</v>
      </c>
      <c r="L19" s="79">
        <f t="shared" si="5"/>
        <v>0.1</v>
      </c>
      <c r="M19" s="75">
        <v>3681</v>
      </c>
      <c r="N19" s="75">
        <v>1000</v>
      </c>
      <c r="O19" s="79">
        <f t="shared" si="6"/>
        <v>0.27166530834012498</v>
      </c>
      <c r="P19" s="79">
        <f t="shared" si="7"/>
        <v>2.7166530834012496E-2</v>
      </c>
      <c r="Q19" s="75">
        <v>10660</v>
      </c>
      <c r="R19" s="75">
        <v>0</v>
      </c>
      <c r="S19" s="79">
        <f t="shared" si="8"/>
        <v>0</v>
      </c>
      <c r="T19" s="79">
        <f t="shared" si="9"/>
        <v>0</v>
      </c>
      <c r="U19" s="75">
        <v>1360</v>
      </c>
      <c r="V19" s="75">
        <v>1320</v>
      </c>
      <c r="W19" s="79">
        <f t="shared" si="10"/>
        <v>0.97058823529411764</v>
      </c>
      <c r="X19" s="79">
        <f t="shared" si="11"/>
        <v>9.7058823529411767E-2</v>
      </c>
    </row>
    <row r="20" spans="1:24" ht="48" customHeight="1" x14ac:dyDescent="0.25">
      <c r="A20" s="74">
        <v>13</v>
      </c>
      <c r="B20" s="83" t="s">
        <v>135</v>
      </c>
      <c r="C20" s="75" t="s">
        <v>127</v>
      </c>
      <c r="D20" s="75">
        <f t="shared" si="0"/>
        <v>34</v>
      </c>
      <c r="E20" s="75">
        <f t="shared" si="1"/>
        <v>2</v>
      </c>
      <c r="F20" s="79">
        <f>E20/D20</f>
        <v>5.8823529411764705E-2</v>
      </c>
      <c r="G20" s="79">
        <f t="shared" si="3"/>
        <v>1.1764705882352942E-3</v>
      </c>
      <c r="H20" s="79">
        <v>0.02</v>
      </c>
      <c r="I20" s="75">
        <v>2</v>
      </c>
      <c r="J20" s="75">
        <v>2</v>
      </c>
      <c r="K20" s="79">
        <f t="shared" si="4"/>
        <v>1</v>
      </c>
      <c r="L20" s="79">
        <f t="shared" si="5"/>
        <v>0.02</v>
      </c>
      <c r="M20" s="75">
        <v>8</v>
      </c>
      <c r="N20" s="75">
        <v>0</v>
      </c>
      <c r="O20" s="79">
        <f t="shared" si="6"/>
        <v>0</v>
      </c>
      <c r="P20" s="79">
        <f t="shared" si="7"/>
        <v>0</v>
      </c>
      <c r="Q20" s="75">
        <v>20</v>
      </c>
      <c r="R20" s="75">
        <v>0</v>
      </c>
      <c r="S20" s="79">
        <f t="shared" si="8"/>
        <v>0</v>
      </c>
      <c r="T20" s="79">
        <f t="shared" si="9"/>
        <v>0</v>
      </c>
      <c r="U20" s="75">
        <v>4</v>
      </c>
      <c r="V20" s="75">
        <v>0</v>
      </c>
      <c r="W20" s="79">
        <f t="shared" si="10"/>
        <v>0</v>
      </c>
      <c r="X20" s="79">
        <f t="shared" si="11"/>
        <v>0</v>
      </c>
    </row>
    <row r="21" spans="1:24" ht="30.6" customHeight="1" x14ac:dyDescent="0.25">
      <c r="A21" s="74">
        <v>14</v>
      </c>
      <c r="B21" s="83" t="s">
        <v>136</v>
      </c>
      <c r="C21" s="75" t="s">
        <v>127</v>
      </c>
      <c r="D21" s="75">
        <f t="shared" si="0"/>
        <v>34</v>
      </c>
      <c r="E21" s="75">
        <f t="shared" si="1"/>
        <v>3</v>
      </c>
      <c r="F21" s="79">
        <f t="shared" si="2"/>
        <v>8.8235294117647065E-2</v>
      </c>
      <c r="G21" s="79">
        <f t="shared" si="3"/>
        <v>1.764705882352941E-3</v>
      </c>
      <c r="H21" s="79">
        <v>0.02</v>
      </c>
      <c r="I21" s="75">
        <v>2</v>
      </c>
      <c r="J21" s="75">
        <v>2</v>
      </c>
      <c r="K21" s="79">
        <f t="shared" si="4"/>
        <v>1</v>
      </c>
      <c r="L21" s="79">
        <f t="shared" si="5"/>
        <v>0.02</v>
      </c>
      <c r="M21" s="75">
        <v>8</v>
      </c>
      <c r="N21" s="75">
        <v>0</v>
      </c>
      <c r="O21" s="79">
        <f t="shared" si="6"/>
        <v>0</v>
      </c>
      <c r="P21" s="79">
        <f t="shared" si="7"/>
        <v>0</v>
      </c>
      <c r="Q21" s="75">
        <v>20</v>
      </c>
      <c r="R21" s="75">
        <v>0</v>
      </c>
      <c r="S21" s="79">
        <f t="shared" si="8"/>
        <v>0</v>
      </c>
      <c r="T21" s="79">
        <f t="shared" si="9"/>
        <v>0</v>
      </c>
      <c r="U21" s="75">
        <v>4</v>
      </c>
      <c r="V21" s="75">
        <v>1</v>
      </c>
      <c r="W21" s="79">
        <f t="shared" si="10"/>
        <v>0.25</v>
      </c>
      <c r="X21" s="79">
        <f t="shared" si="11"/>
        <v>5.0000000000000001E-3</v>
      </c>
    </row>
    <row r="22" spans="1:24" x14ac:dyDescent="0.25">
      <c r="B22" s="80"/>
      <c r="C22" s="80"/>
      <c r="D22" s="80"/>
      <c r="E22" s="80"/>
      <c r="F22" s="80"/>
      <c r="G22" s="80"/>
      <c r="H22" s="80"/>
      <c r="I22" s="80"/>
      <c r="J22" s="80"/>
      <c r="K22" s="80"/>
      <c r="L22" s="80"/>
      <c r="M22" s="80"/>
    </row>
    <row r="23" spans="1:24" x14ac:dyDescent="0.25">
      <c r="B23" s="80"/>
      <c r="C23" s="80"/>
      <c r="D23" s="80"/>
      <c r="E23" s="80"/>
      <c r="F23" s="80"/>
      <c r="G23" s="80"/>
      <c r="H23" s="80"/>
      <c r="I23" s="80"/>
      <c r="J23" s="80"/>
      <c r="K23" s="80"/>
      <c r="L23" s="80"/>
      <c r="M23" s="80"/>
    </row>
  </sheetData>
  <mergeCells count="39">
    <mergeCell ref="U4:W4"/>
    <mergeCell ref="A1:F1"/>
    <mergeCell ref="I4:K4"/>
    <mergeCell ref="M4:O4"/>
    <mergeCell ref="Q4:S4"/>
    <mergeCell ref="A4:F4"/>
    <mergeCell ref="A7:C7"/>
    <mergeCell ref="A6:B6"/>
    <mergeCell ref="A5:B5"/>
    <mergeCell ref="D7:F7"/>
    <mergeCell ref="I7:K7"/>
    <mergeCell ref="M7:O7"/>
    <mergeCell ref="Q7:S7"/>
    <mergeCell ref="U7:W7"/>
    <mergeCell ref="G3:G7"/>
    <mergeCell ref="H3:H6"/>
    <mergeCell ref="C5:C6"/>
    <mergeCell ref="D5:F5"/>
    <mergeCell ref="I5:K5"/>
    <mergeCell ref="M5:O5"/>
    <mergeCell ref="Q5:S5"/>
    <mergeCell ref="U5:W5"/>
    <mergeCell ref="D6:F6"/>
    <mergeCell ref="I6:K6"/>
    <mergeCell ref="Q2:S2"/>
    <mergeCell ref="U2:W2"/>
    <mergeCell ref="L3:L7"/>
    <mergeCell ref="P3:P7"/>
    <mergeCell ref="T3:T7"/>
    <mergeCell ref="X3:X7"/>
    <mergeCell ref="M6:O6"/>
    <mergeCell ref="Q6:S6"/>
    <mergeCell ref="U6:W6"/>
    <mergeCell ref="A2:A3"/>
    <mergeCell ref="B2:B3"/>
    <mergeCell ref="C2:C3"/>
    <mergeCell ref="I2:K2"/>
    <mergeCell ref="M2:O2"/>
    <mergeCell ref="D2:H2"/>
  </mergeCells>
  <conditionalFormatting sqref="F8:H21">
    <cfRule type="dataBar" priority="17">
      <dataBar>
        <cfvo type="min"/>
        <cfvo type="num" val="1"/>
        <color theme="4" tint="0.79998168889431442"/>
      </dataBar>
      <extLst>
        <ext xmlns:x14="http://schemas.microsoft.com/office/spreadsheetml/2009/9/main" uri="{B025F937-C7B1-47D3-B67F-A62EFF666E3E}">
          <x14:id>{E0A40435-6F54-404E-87B6-B4501132AA58}</x14:id>
        </ext>
      </extLst>
    </cfRule>
  </conditionalFormatting>
  <conditionalFormatting sqref="K8:K21">
    <cfRule type="dataBar" priority="16">
      <dataBar>
        <cfvo type="min"/>
        <cfvo type="num" val="1"/>
        <color theme="4" tint="0.79998168889431442"/>
      </dataBar>
      <extLst>
        <ext xmlns:x14="http://schemas.microsoft.com/office/spreadsheetml/2009/9/main" uri="{B025F937-C7B1-47D3-B67F-A62EFF666E3E}">
          <x14:id>{80E6A6A0-FE98-42DF-8BD6-7324E6A8D271}</x14:id>
        </ext>
      </extLst>
    </cfRule>
  </conditionalFormatting>
  <conditionalFormatting sqref="O8:O21">
    <cfRule type="dataBar" priority="15">
      <dataBar>
        <cfvo type="min"/>
        <cfvo type="num" val="1"/>
        <color theme="4" tint="0.79998168889431442"/>
      </dataBar>
      <extLst>
        <ext xmlns:x14="http://schemas.microsoft.com/office/spreadsheetml/2009/9/main" uri="{B025F937-C7B1-47D3-B67F-A62EFF666E3E}">
          <x14:id>{3A5AED29-9D6F-4A9E-9DAE-D86119B2A1BD}</x14:id>
        </ext>
      </extLst>
    </cfRule>
  </conditionalFormatting>
  <conditionalFormatting sqref="S8:S21">
    <cfRule type="dataBar" priority="14">
      <dataBar>
        <cfvo type="min"/>
        <cfvo type="num" val="1"/>
        <color theme="4" tint="0.79998168889431442"/>
      </dataBar>
      <extLst>
        <ext xmlns:x14="http://schemas.microsoft.com/office/spreadsheetml/2009/9/main" uri="{B025F937-C7B1-47D3-B67F-A62EFF666E3E}">
          <x14:id>{BDF0F469-8259-4198-81BD-C0B6D8F1801A}</x14:id>
        </ext>
      </extLst>
    </cfRule>
  </conditionalFormatting>
  <conditionalFormatting sqref="W8:W21">
    <cfRule type="dataBar" priority="13">
      <dataBar>
        <cfvo type="min"/>
        <cfvo type="num" val="1"/>
        <color theme="4" tint="0.79998168889431442"/>
      </dataBar>
      <extLst>
        <ext xmlns:x14="http://schemas.microsoft.com/office/spreadsheetml/2009/9/main" uri="{B025F937-C7B1-47D3-B67F-A62EFF666E3E}">
          <x14:id>{3F7740AB-8E1E-4CAF-8B03-3B0A38DF775A}</x14:id>
        </ext>
      </extLst>
    </cfRule>
  </conditionalFormatting>
  <conditionalFormatting sqref="D7">
    <cfRule type="dataBar" priority="11">
      <dataBar>
        <cfvo type="min"/>
        <cfvo type="num" val="1"/>
        <color theme="4" tint="0.79998168889431442"/>
      </dataBar>
      <extLst>
        <ext xmlns:x14="http://schemas.microsoft.com/office/spreadsheetml/2009/9/main" uri="{B025F937-C7B1-47D3-B67F-A62EFF666E3E}">
          <x14:id>{5D1C1B86-B850-40DB-8F49-8BAC25ACBAEF}</x14:id>
        </ext>
      </extLst>
    </cfRule>
  </conditionalFormatting>
  <conditionalFormatting sqref="I7">
    <cfRule type="dataBar" priority="10">
      <dataBar>
        <cfvo type="min"/>
        <cfvo type="num" val="1"/>
        <color theme="4" tint="0.79998168889431442"/>
      </dataBar>
      <extLst>
        <ext xmlns:x14="http://schemas.microsoft.com/office/spreadsheetml/2009/9/main" uri="{B025F937-C7B1-47D3-B67F-A62EFF666E3E}">
          <x14:id>{53DD74EB-82AF-4FA7-976B-4A3D5750E141}</x14:id>
        </ext>
      </extLst>
    </cfRule>
  </conditionalFormatting>
  <conditionalFormatting sqref="M7">
    <cfRule type="dataBar" priority="9">
      <dataBar>
        <cfvo type="min"/>
        <cfvo type="num" val="1"/>
        <color theme="4" tint="0.79998168889431442"/>
      </dataBar>
      <extLst>
        <ext xmlns:x14="http://schemas.microsoft.com/office/spreadsheetml/2009/9/main" uri="{B025F937-C7B1-47D3-B67F-A62EFF666E3E}">
          <x14:id>{022F2AB2-2EF8-405D-B299-826545167AA4}</x14:id>
        </ext>
      </extLst>
    </cfRule>
  </conditionalFormatting>
  <conditionalFormatting sqref="Q7">
    <cfRule type="dataBar" priority="8">
      <dataBar>
        <cfvo type="min"/>
        <cfvo type="num" val="1"/>
        <color theme="4" tint="0.79998168889431442"/>
      </dataBar>
      <extLst>
        <ext xmlns:x14="http://schemas.microsoft.com/office/spreadsheetml/2009/9/main" uri="{B025F937-C7B1-47D3-B67F-A62EFF666E3E}">
          <x14:id>{064DD911-9A2E-42E5-97CB-FF85CCC3B8A2}</x14:id>
        </ext>
      </extLst>
    </cfRule>
  </conditionalFormatting>
  <conditionalFormatting sqref="U7">
    <cfRule type="dataBar" priority="7">
      <dataBar>
        <cfvo type="min"/>
        <cfvo type="num" val="1"/>
        <color theme="4" tint="0.79998168889431442"/>
      </dataBar>
      <extLst>
        <ext xmlns:x14="http://schemas.microsoft.com/office/spreadsheetml/2009/9/main" uri="{B025F937-C7B1-47D3-B67F-A62EFF666E3E}">
          <x14:id>{3656D3BA-3FC4-49AF-B937-CA3184C1AC89}</x14:id>
        </ext>
      </extLst>
    </cfRule>
  </conditionalFormatting>
  <conditionalFormatting sqref="L8:L21">
    <cfRule type="dataBar" priority="5">
      <dataBar>
        <cfvo type="min"/>
        <cfvo type="num" val="1"/>
        <color theme="4" tint="0.79998168889431442"/>
      </dataBar>
      <extLst>
        <ext xmlns:x14="http://schemas.microsoft.com/office/spreadsheetml/2009/9/main" uri="{B025F937-C7B1-47D3-B67F-A62EFF666E3E}">
          <x14:id>{EA3A572C-A2FF-4FBE-AA8C-92534E1CB17F}</x14:id>
        </ext>
      </extLst>
    </cfRule>
  </conditionalFormatting>
  <conditionalFormatting sqref="P8:P21">
    <cfRule type="dataBar" priority="4">
      <dataBar>
        <cfvo type="min"/>
        <cfvo type="num" val="1"/>
        <color theme="4" tint="0.79998168889431442"/>
      </dataBar>
      <extLst>
        <ext xmlns:x14="http://schemas.microsoft.com/office/spreadsheetml/2009/9/main" uri="{B025F937-C7B1-47D3-B67F-A62EFF666E3E}">
          <x14:id>{3AAFDDC9-EA8B-413E-AE36-3B4FE93BE176}</x14:id>
        </ext>
      </extLst>
    </cfRule>
  </conditionalFormatting>
  <conditionalFormatting sqref="T8:T21">
    <cfRule type="dataBar" priority="3">
      <dataBar>
        <cfvo type="min"/>
        <cfvo type="num" val="1"/>
        <color theme="4" tint="0.79998168889431442"/>
      </dataBar>
      <extLst>
        <ext xmlns:x14="http://schemas.microsoft.com/office/spreadsheetml/2009/9/main" uri="{B025F937-C7B1-47D3-B67F-A62EFF666E3E}">
          <x14:id>{9FE62B6B-212C-4A35-B84C-2D1F319E8C0E}</x14:id>
        </ext>
      </extLst>
    </cfRule>
  </conditionalFormatting>
  <conditionalFormatting sqref="X8:X21">
    <cfRule type="dataBar" priority="2">
      <dataBar>
        <cfvo type="min"/>
        <cfvo type="num" val="1"/>
        <color theme="4" tint="0.79998168889431442"/>
      </dataBar>
      <extLst>
        <ext xmlns:x14="http://schemas.microsoft.com/office/spreadsheetml/2009/9/main" uri="{B025F937-C7B1-47D3-B67F-A62EFF666E3E}">
          <x14:id>{591BD879-45C0-459A-9810-5775DF330EA1}</x14:id>
        </ext>
      </extLst>
    </cfRule>
  </conditionalFormatting>
  <pageMargins left="0.7" right="0.7" top="0.75" bottom="0.75" header="0.3" footer="0.3"/>
  <pageSetup paperSize="8" scale="85" fitToHeight="0" orientation="landscape" r:id="rId1"/>
  <extLst>
    <ext xmlns:x14="http://schemas.microsoft.com/office/spreadsheetml/2009/9/main" uri="{78C0D931-6437-407d-A8EE-F0AAD7539E65}">
      <x14:conditionalFormattings>
        <x14:conditionalFormatting xmlns:xm="http://schemas.microsoft.com/office/excel/2006/main">
          <x14:cfRule type="dataBar" id="{E0A40435-6F54-404E-87B6-B4501132AA58}">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F8:H21</xm:sqref>
        </x14:conditionalFormatting>
        <x14:conditionalFormatting xmlns:xm="http://schemas.microsoft.com/office/excel/2006/main">
          <x14:cfRule type="dataBar" id="{80E6A6A0-FE98-42DF-8BD6-7324E6A8D271}">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K8:K21</xm:sqref>
        </x14:conditionalFormatting>
        <x14:conditionalFormatting xmlns:xm="http://schemas.microsoft.com/office/excel/2006/main">
          <x14:cfRule type="dataBar" id="{3A5AED29-9D6F-4A9E-9DAE-D86119B2A1BD}">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O8:O21</xm:sqref>
        </x14:conditionalFormatting>
        <x14:conditionalFormatting xmlns:xm="http://schemas.microsoft.com/office/excel/2006/main">
          <x14:cfRule type="dataBar" id="{BDF0F469-8259-4198-81BD-C0B6D8F1801A}">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S8:S21</xm:sqref>
        </x14:conditionalFormatting>
        <x14:conditionalFormatting xmlns:xm="http://schemas.microsoft.com/office/excel/2006/main">
          <x14:cfRule type="dataBar" id="{3F7740AB-8E1E-4CAF-8B03-3B0A38DF775A}">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W8:W21</xm:sqref>
        </x14:conditionalFormatting>
        <x14:conditionalFormatting xmlns:xm="http://schemas.microsoft.com/office/excel/2006/main">
          <x14:cfRule type="dataBar" id="{5D1C1B86-B850-40DB-8F49-8BAC25ACBAEF}">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D7</xm:sqref>
        </x14:conditionalFormatting>
        <x14:conditionalFormatting xmlns:xm="http://schemas.microsoft.com/office/excel/2006/main">
          <x14:cfRule type="dataBar" id="{53DD74EB-82AF-4FA7-976B-4A3D5750E141}">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I7</xm:sqref>
        </x14:conditionalFormatting>
        <x14:conditionalFormatting xmlns:xm="http://schemas.microsoft.com/office/excel/2006/main">
          <x14:cfRule type="dataBar" id="{022F2AB2-2EF8-405D-B299-826545167AA4}">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M7</xm:sqref>
        </x14:conditionalFormatting>
        <x14:conditionalFormatting xmlns:xm="http://schemas.microsoft.com/office/excel/2006/main">
          <x14:cfRule type="dataBar" id="{064DD911-9A2E-42E5-97CB-FF85CCC3B8A2}">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Q7</xm:sqref>
        </x14:conditionalFormatting>
        <x14:conditionalFormatting xmlns:xm="http://schemas.microsoft.com/office/excel/2006/main">
          <x14:cfRule type="dataBar" id="{3656D3BA-3FC4-49AF-B937-CA3184C1AC89}">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U7</xm:sqref>
        </x14:conditionalFormatting>
        <x14:conditionalFormatting xmlns:xm="http://schemas.microsoft.com/office/excel/2006/main">
          <x14:cfRule type="dataBar" id="{EA3A572C-A2FF-4FBE-AA8C-92534E1CB17F}">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L8:L21</xm:sqref>
        </x14:conditionalFormatting>
        <x14:conditionalFormatting xmlns:xm="http://schemas.microsoft.com/office/excel/2006/main">
          <x14:cfRule type="dataBar" id="{3AAFDDC9-EA8B-413E-AE36-3B4FE93BE176}">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P8:P21</xm:sqref>
        </x14:conditionalFormatting>
        <x14:conditionalFormatting xmlns:xm="http://schemas.microsoft.com/office/excel/2006/main">
          <x14:cfRule type="dataBar" id="{9FE62B6B-212C-4A35-B84C-2D1F319E8C0E}">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T8:T21</xm:sqref>
        </x14:conditionalFormatting>
        <x14:conditionalFormatting xmlns:xm="http://schemas.microsoft.com/office/excel/2006/main">
          <x14:cfRule type="dataBar" id="{591BD879-45C0-459A-9810-5775DF330EA1}">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X8:X21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E9A01-5EF9-4703-B623-71D2F33E817E}">
  <sheetPr>
    <pageSetUpPr fitToPage="1"/>
  </sheetPr>
  <dimension ref="A1:AB24"/>
  <sheetViews>
    <sheetView view="pageBreakPreview" zoomScale="60" zoomScaleNormal="70" workbookViewId="0">
      <selection sqref="A1:XFD1"/>
    </sheetView>
  </sheetViews>
  <sheetFormatPr defaultRowHeight="13.8" x14ac:dyDescent="0.25"/>
  <cols>
    <col min="1" max="1" width="8.88671875" style="76"/>
    <col min="2" max="2" width="29" style="76" customWidth="1"/>
    <col min="3" max="3" width="15.33203125" style="76" customWidth="1"/>
    <col min="4" max="4" width="8.88671875" style="76"/>
    <col min="5" max="5" width="8.109375" style="76" customWidth="1"/>
    <col min="6" max="6" width="13.77734375" style="76" customWidth="1"/>
    <col min="7" max="7" width="13.77734375" style="76" hidden="1" customWidth="1"/>
    <col min="8" max="8" width="5.44140625" style="76" hidden="1" customWidth="1"/>
    <col min="9" max="11" width="14.6640625" style="76" customWidth="1"/>
    <col min="12" max="12" width="8.77734375" style="76" hidden="1" customWidth="1"/>
    <col min="13" max="13" width="12.6640625" style="76" customWidth="1"/>
    <col min="14" max="14" width="10" style="76" customWidth="1"/>
    <col min="15" max="15" width="12.6640625" style="76" customWidth="1"/>
    <col min="16" max="16" width="8.77734375" style="76" hidden="1" customWidth="1"/>
    <col min="17" max="17" width="12.6640625" style="76" customWidth="1"/>
    <col min="18" max="18" width="10.44140625" style="76" customWidth="1"/>
    <col min="19" max="19" width="10.77734375" style="76" customWidth="1"/>
    <col min="20" max="20" width="10.77734375" style="76" hidden="1" customWidth="1"/>
    <col min="21" max="21" width="12.6640625" style="76" customWidth="1"/>
    <col min="22" max="22" width="10.5546875" style="76" customWidth="1"/>
    <col min="23" max="23" width="9.5546875" style="76" customWidth="1"/>
    <col min="24" max="24" width="8.77734375" style="76" hidden="1" customWidth="1"/>
    <col min="25" max="25" width="12.6640625" style="76" customWidth="1"/>
    <col min="26" max="26" width="10.5546875" style="76" customWidth="1"/>
    <col min="27" max="27" width="9.5546875" style="76" customWidth="1"/>
    <col min="28" max="28" width="7.88671875" style="76" hidden="1" customWidth="1"/>
    <col min="29" max="16384" width="8.88671875" style="76"/>
  </cols>
  <sheetData>
    <row r="1" spans="1:28" ht="39.6" customHeight="1" x14ac:dyDescent="0.25">
      <c r="A1" s="206" t="s">
        <v>150</v>
      </c>
      <c r="B1" s="206"/>
      <c r="C1" s="206"/>
      <c r="D1" s="206"/>
      <c r="E1" s="206"/>
      <c r="F1" s="206"/>
    </row>
    <row r="2" spans="1:28" s="68" customFormat="1" x14ac:dyDescent="0.25">
      <c r="A2" s="66" t="s">
        <v>107</v>
      </c>
      <c r="B2" s="66" t="s">
        <v>108</v>
      </c>
      <c r="C2" s="66" t="s">
        <v>109</v>
      </c>
      <c r="D2" s="84" t="s">
        <v>110</v>
      </c>
      <c r="E2" s="85"/>
      <c r="F2" s="85"/>
      <c r="G2" s="85"/>
      <c r="H2" s="86"/>
      <c r="I2" s="67" t="s">
        <v>111</v>
      </c>
      <c r="J2" s="67"/>
      <c r="K2" s="67"/>
      <c r="L2" s="91"/>
      <c r="M2" s="67" t="s">
        <v>112</v>
      </c>
      <c r="N2" s="67"/>
      <c r="O2" s="67"/>
      <c r="P2" s="93"/>
      <c r="Q2" s="87" t="s">
        <v>113</v>
      </c>
      <c r="R2" s="87"/>
      <c r="S2" s="87"/>
      <c r="T2" s="93"/>
      <c r="U2" s="87" t="s">
        <v>114</v>
      </c>
      <c r="V2" s="87"/>
      <c r="W2" s="87"/>
      <c r="X2" s="93"/>
      <c r="Y2" s="87" t="s">
        <v>115</v>
      </c>
      <c r="Z2" s="87"/>
      <c r="AA2" s="87"/>
      <c r="AB2" s="93"/>
    </row>
    <row r="3" spans="1:28" s="68" customFormat="1" ht="42.6" customHeight="1" x14ac:dyDescent="0.25">
      <c r="A3" s="66"/>
      <c r="B3" s="66"/>
      <c r="C3" s="66"/>
      <c r="D3" s="70" t="s">
        <v>110</v>
      </c>
      <c r="E3" s="70" t="s">
        <v>137</v>
      </c>
      <c r="F3" s="70" t="s">
        <v>116</v>
      </c>
      <c r="G3" s="88" t="s">
        <v>139</v>
      </c>
      <c r="H3" s="98" t="s">
        <v>140</v>
      </c>
      <c r="I3" s="70" t="s">
        <v>110</v>
      </c>
      <c r="J3" s="70" t="s">
        <v>137</v>
      </c>
      <c r="K3" s="70" t="s">
        <v>116</v>
      </c>
      <c r="L3" s="116" t="s">
        <v>141</v>
      </c>
      <c r="M3" s="70" t="s">
        <v>110</v>
      </c>
      <c r="N3" s="70" t="s">
        <v>137</v>
      </c>
      <c r="O3" s="70" t="s">
        <v>116</v>
      </c>
      <c r="P3" s="116" t="s">
        <v>141</v>
      </c>
      <c r="Q3" s="70" t="s">
        <v>110</v>
      </c>
      <c r="R3" s="70" t="s">
        <v>137</v>
      </c>
      <c r="S3" s="70" t="s">
        <v>116</v>
      </c>
      <c r="T3" s="89" t="s">
        <v>141</v>
      </c>
      <c r="U3" s="70" t="s">
        <v>110</v>
      </c>
      <c r="V3" s="70" t="s">
        <v>137</v>
      </c>
      <c r="W3" s="70" t="s">
        <v>116</v>
      </c>
      <c r="X3" s="89" t="s">
        <v>141</v>
      </c>
      <c r="Y3" s="70" t="s">
        <v>110</v>
      </c>
      <c r="Z3" s="70" t="s">
        <v>137</v>
      </c>
      <c r="AA3" s="70" t="s">
        <v>116</v>
      </c>
      <c r="AB3" s="89" t="s">
        <v>141</v>
      </c>
    </row>
    <row r="4" spans="1:28" s="68" customFormat="1" ht="73.8" customHeight="1" x14ac:dyDescent="0.25">
      <c r="A4" s="71" t="s">
        <v>142</v>
      </c>
      <c r="B4" s="72"/>
      <c r="C4" s="72"/>
      <c r="D4" s="72"/>
      <c r="E4" s="72"/>
      <c r="F4" s="73"/>
      <c r="G4" s="88"/>
      <c r="H4" s="99"/>
      <c r="I4" s="115" t="str">
        <f>Липецк!I6</f>
        <v>Получено положительное заключение 
№ 48-1-1-3-066927-2023 от 05.11.2023</v>
      </c>
      <c r="J4" s="118"/>
      <c r="K4" s="119"/>
      <c r="L4" s="117"/>
      <c r="M4" s="115" t="str">
        <f>Липецк!I9</f>
        <v>Получено положительное заключение 
№ 48-1-1-3-081261-2023 от 26.12.2023</v>
      </c>
      <c r="N4" s="118"/>
      <c r="O4" s="119"/>
      <c r="P4" s="117"/>
      <c r="Q4" s="106" t="s">
        <v>26</v>
      </c>
      <c r="R4" s="107"/>
      <c r="S4" s="108"/>
      <c r="T4" s="92"/>
      <c r="U4" s="106" t="s">
        <v>26</v>
      </c>
      <c r="V4" s="107"/>
      <c r="W4" s="108"/>
      <c r="X4" s="92"/>
      <c r="Y4" s="106" t="s">
        <v>26</v>
      </c>
      <c r="Z4" s="107"/>
      <c r="AA4" s="108"/>
      <c r="AB4" s="92"/>
    </row>
    <row r="5" spans="1:28" s="68" customFormat="1" ht="35.4" customHeight="1" x14ac:dyDescent="0.25">
      <c r="A5" s="120"/>
      <c r="B5" s="121"/>
      <c r="C5" s="121"/>
      <c r="D5" s="121"/>
      <c r="E5" s="121"/>
      <c r="F5" s="122"/>
      <c r="G5" s="88"/>
      <c r="H5" s="99"/>
      <c r="I5" s="123" t="s">
        <v>144</v>
      </c>
      <c r="J5" s="123"/>
      <c r="K5" s="123"/>
      <c r="L5" s="123"/>
      <c r="M5" s="123"/>
      <c r="N5" s="123"/>
      <c r="O5" s="123"/>
      <c r="P5" s="117"/>
      <c r="Q5" s="145">
        <v>45649</v>
      </c>
      <c r="R5" s="146"/>
      <c r="S5" s="147"/>
      <c r="T5" s="92"/>
      <c r="U5" s="145">
        <v>45649</v>
      </c>
      <c r="V5" s="146"/>
      <c r="W5" s="147"/>
      <c r="X5" s="92"/>
      <c r="Y5" s="145">
        <v>45649</v>
      </c>
      <c r="Z5" s="146"/>
      <c r="AA5" s="147"/>
      <c r="AB5" s="92"/>
    </row>
    <row r="6" spans="1:28" s="135" customFormat="1" ht="24.6" customHeight="1" x14ac:dyDescent="0.35">
      <c r="A6" s="140" t="s">
        <v>117</v>
      </c>
      <c r="B6" s="141"/>
      <c r="C6" s="126" t="s">
        <v>118</v>
      </c>
      <c r="D6" s="127">
        <f>SUM(I6:AA6)</f>
        <v>9927242.1300000008</v>
      </c>
      <c r="E6" s="128"/>
      <c r="F6" s="129"/>
      <c r="G6" s="88"/>
      <c r="H6" s="99"/>
      <c r="I6" s="131">
        <f>Липецк!J6</f>
        <v>1049436</v>
      </c>
      <c r="J6" s="132"/>
      <c r="K6" s="133"/>
      <c r="L6" s="117"/>
      <c r="M6" s="131">
        <f>Липецк!J7+Липецк!J8+Липецк!J9</f>
        <v>1705632</v>
      </c>
      <c r="N6" s="132"/>
      <c r="O6" s="133"/>
      <c r="P6" s="117"/>
      <c r="Q6" s="162">
        <f>Липецк!K12</f>
        <v>3506978</v>
      </c>
      <c r="R6" s="163"/>
      <c r="S6" s="164"/>
      <c r="T6" s="92"/>
      <c r="U6" s="159">
        <f>Липецк!K11</f>
        <v>1761825.06</v>
      </c>
      <c r="V6" s="160"/>
      <c r="W6" s="161"/>
      <c r="X6" s="92"/>
      <c r="Y6" s="159">
        <f>Липецк!K10</f>
        <v>1903371.07</v>
      </c>
      <c r="Z6" s="160"/>
      <c r="AA6" s="161"/>
      <c r="AB6" s="92"/>
    </row>
    <row r="7" spans="1:28" s="135" customFormat="1" ht="24.6" customHeight="1" x14ac:dyDescent="0.35">
      <c r="A7" s="140" t="s">
        <v>138</v>
      </c>
      <c r="B7" s="141"/>
      <c r="C7" s="136"/>
      <c r="D7" s="127">
        <f>SUM(I7:AA7)</f>
        <v>865149</v>
      </c>
      <c r="E7" s="128"/>
      <c r="F7" s="129"/>
      <c r="G7" s="88"/>
      <c r="H7" s="100"/>
      <c r="I7" s="137">
        <f>Липецк!L6</f>
        <v>330300</v>
      </c>
      <c r="J7" s="138"/>
      <c r="K7" s="139"/>
      <c r="L7" s="117"/>
      <c r="M7" s="137">
        <f>Липецк!L7+Липецк!L8+Липецк!L9</f>
        <v>534849</v>
      </c>
      <c r="N7" s="138"/>
      <c r="O7" s="139"/>
      <c r="P7" s="117"/>
      <c r="Q7" s="137">
        <v>0</v>
      </c>
      <c r="R7" s="138"/>
      <c r="S7" s="139"/>
      <c r="T7" s="92"/>
      <c r="U7" s="137">
        <v>0</v>
      </c>
      <c r="V7" s="138"/>
      <c r="W7" s="139"/>
      <c r="X7" s="92"/>
      <c r="Y7" s="137">
        <v>0</v>
      </c>
      <c r="Z7" s="138"/>
      <c r="AA7" s="139"/>
      <c r="AB7" s="92"/>
    </row>
    <row r="8" spans="1:28" s="156" customFormat="1" ht="24.6" customHeight="1" x14ac:dyDescent="0.35">
      <c r="A8" s="148" t="s">
        <v>147</v>
      </c>
      <c r="B8" s="149"/>
      <c r="C8" s="150"/>
      <c r="D8" s="151">
        <f>SUM(G9:G22)</f>
        <v>0.37448259391710026</v>
      </c>
      <c r="E8" s="152"/>
      <c r="F8" s="153"/>
      <c r="G8" s="88"/>
      <c r="H8" s="154">
        <f>SUM(H9:H22)</f>
        <v>1</v>
      </c>
      <c r="I8" s="151">
        <f>SUM(L9:L22)</f>
        <v>0.66472757839840813</v>
      </c>
      <c r="J8" s="152"/>
      <c r="K8" s="153"/>
      <c r="L8" s="155"/>
      <c r="M8" s="151">
        <f>SUM(P9:P22)</f>
        <v>0.92184254355344142</v>
      </c>
      <c r="N8" s="152"/>
      <c r="O8" s="153"/>
      <c r="P8" s="155"/>
      <c r="Q8" s="151">
        <f>SUM(T9:T22)</f>
        <v>7.8750271719440643E-2</v>
      </c>
      <c r="R8" s="152"/>
      <c r="S8" s="153"/>
      <c r="T8" s="90"/>
      <c r="U8" s="151">
        <f>SUM(X9:X22)</f>
        <v>0.2670909013182855</v>
      </c>
      <c r="V8" s="152"/>
      <c r="W8" s="153"/>
      <c r="X8" s="90"/>
      <c r="Y8" s="151">
        <f>SUM(AB9:AB22)</f>
        <v>0.35080134596211371</v>
      </c>
      <c r="Z8" s="152"/>
      <c r="AA8" s="153"/>
      <c r="AB8" s="90"/>
    </row>
    <row r="9" spans="1:28" ht="30.6" customHeight="1" x14ac:dyDescent="0.25">
      <c r="A9" s="74">
        <v>1</v>
      </c>
      <c r="B9" s="81" t="s">
        <v>119</v>
      </c>
      <c r="C9" s="75" t="s">
        <v>120</v>
      </c>
      <c r="D9" s="75">
        <f>I9+M9+Q9+U9+Y9</f>
        <v>43.41</v>
      </c>
      <c r="E9" s="75">
        <f>J9+N9+R9+V9+Z9</f>
        <v>29.370000000000005</v>
      </c>
      <c r="F9" s="79">
        <f>E9/D9</f>
        <v>0.6765722183828613</v>
      </c>
      <c r="G9" s="79">
        <f>E9*H9/D9</f>
        <v>3.3828610919143062E-2</v>
      </c>
      <c r="H9" s="79">
        <v>0.05</v>
      </c>
      <c r="I9" s="75">
        <v>4.9400000000000004</v>
      </c>
      <c r="J9" s="75">
        <v>4.9400000000000004</v>
      </c>
      <c r="K9" s="79">
        <f>J9/I9</f>
        <v>1</v>
      </c>
      <c r="L9" s="79">
        <f>J9*H9/I9</f>
        <v>0.05</v>
      </c>
      <c r="M9" s="75">
        <f>2.68+3.55+2.98</f>
        <v>9.2100000000000009</v>
      </c>
      <c r="N9" s="75">
        <f>2.68+3.55+2.98</f>
        <v>9.2100000000000009</v>
      </c>
      <c r="O9" s="79">
        <f>N9/M9</f>
        <v>1</v>
      </c>
      <c r="P9" s="79">
        <f>N9*$H9/M9</f>
        <v>0.05</v>
      </c>
      <c r="Q9" s="75">
        <v>14.92</v>
      </c>
      <c r="R9" s="75">
        <v>4.9800000000000004</v>
      </c>
      <c r="S9" s="79">
        <f>R9/Q9</f>
        <v>0.3337801608579089</v>
      </c>
      <c r="T9" s="79">
        <f>R9*$H9/Q9</f>
        <v>1.6689008042895446E-2</v>
      </c>
      <c r="U9" s="75">
        <v>7.54</v>
      </c>
      <c r="V9" s="75">
        <v>4.75</v>
      </c>
      <c r="W9" s="79">
        <f>V9/U9</f>
        <v>0.62997347480106103</v>
      </c>
      <c r="X9" s="79">
        <f>V9*$H9/U9</f>
        <v>3.1498673740053051E-2</v>
      </c>
      <c r="Y9" s="75">
        <v>6.8</v>
      </c>
      <c r="Z9" s="75">
        <v>5.49</v>
      </c>
      <c r="AA9" s="79">
        <f>Z9/Y9</f>
        <v>0.80735294117647061</v>
      </c>
      <c r="AB9" s="79">
        <f>Z9*$H9/Y9</f>
        <v>4.0367647058823536E-2</v>
      </c>
    </row>
    <row r="10" spans="1:28" ht="30.6" customHeight="1" x14ac:dyDescent="0.25">
      <c r="A10" s="74">
        <v>2</v>
      </c>
      <c r="B10" s="81" t="s">
        <v>121</v>
      </c>
      <c r="C10" s="75" t="s">
        <v>120</v>
      </c>
      <c r="D10" s="75">
        <f t="shared" ref="D10:D22" si="0">I10+M10+Q10+U10+Y10</f>
        <v>43.41</v>
      </c>
      <c r="E10" s="75">
        <f t="shared" ref="E10:E22" si="1">J10+N10+R10+V10+Z10</f>
        <v>24.790000000000003</v>
      </c>
      <c r="F10" s="79">
        <f t="shared" ref="F10:F22" si="2">E10/D10</f>
        <v>0.5710665745219996</v>
      </c>
      <c r="G10" s="79">
        <f t="shared" ref="G10:G22" si="3">E10*H10/D10</f>
        <v>2.8553328726099985E-2</v>
      </c>
      <c r="H10" s="79">
        <v>0.05</v>
      </c>
      <c r="I10" s="75">
        <v>4.9400000000000004</v>
      </c>
      <c r="J10" s="75">
        <v>4.9400000000000004</v>
      </c>
      <c r="K10" s="79">
        <f t="shared" ref="K10:K20" si="4">J10/I10</f>
        <v>1</v>
      </c>
      <c r="L10" s="79">
        <f t="shared" ref="L10:L22" si="5">J10*H10/I10</f>
        <v>0.05</v>
      </c>
      <c r="M10" s="75">
        <f t="shared" ref="M10:N14" si="6">2.68+3.55+2.98</f>
        <v>9.2100000000000009</v>
      </c>
      <c r="N10" s="75">
        <f t="shared" si="6"/>
        <v>9.2100000000000009</v>
      </c>
      <c r="O10" s="79">
        <f t="shared" ref="O10:O22" si="7">N10/M10</f>
        <v>1</v>
      </c>
      <c r="P10" s="79">
        <f t="shared" ref="P10:P22" si="8">N10*$H10/M10</f>
        <v>0.05</v>
      </c>
      <c r="Q10" s="75">
        <v>14.92</v>
      </c>
      <c r="R10" s="75">
        <v>2.14</v>
      </c>
      <c r="S10" s="79">
        <f t="shared" ref="S10:S22" si="9">R10/Q10</f>
        <v>0.14343163538873996</v>
      </c>
      <c r="T10" s="79">
        <f t="shared" ref="T10:T22" si="10">R10*$H10/Q10</f>
        <v>7.1715817694369983E-3</v>
      </c>
      <c r="U10" s="75">
        <v>7.54</v>
      </c>
      <c r="V10" s="75">
        <v>4.75</v>
      </c>
      <c r="W10" s="79">
        <f t="shared" ref="W10:W22" si="11">V10/U10</f>
        <v>0.62997347480106103</v>
      </c>
      <c r="X10" s="79">
        <f t="shared" ref="X10:X22" si="12">V10*$H10/U10</f>
        <v>3.1498673740053051E-2</v>
      </c>
      <c r="Y10" s="75">
        <v>6.8</v>
      </c>
      <c r="Z10" s="75">
        <v>3.75</v>
      </c>
      <c r="AA10" s="79">
        <f t="shared" ref="AA10:AA20" si="13">Z10/Y10</f>
        <v>0.55147058823529416</v>
      </c>
      <c r="AB10" s="79">
        <f t="shared" ref="AB10:AB22" si="14">Z10*$H10/Y10</f>
        <v>2.7573529411764705E-2</v>
      </c>
    </row>
    <row r="11" spans="1:28" ht="30.6" customHeight="1" x14ac:dyDescent="0.25">
      <c r="A11" s="74">
        <v>3</v>
      </c>
      <c r="B11" s="81" t="s">
        <v>122</v>
      </c>
      <c r="C11" s="75" t="s">
        <v>120</v>
      </c>
      <c r="D11" s="75">
        <f t="shared" si="0"/>
        <v>43.41</v>
      </c>
      <c r="E11" s="75">
        <f t="shared" si="1"/>
        <v>21.76</v>
      </c>
      <c r="F11" s="79">
        <f t="shared" si="2"/>
        <v>0.50126698917300172</v>
      </c>
      <c r="G11" s="79">
        <f t="shared" si="3"/>
        <v>2.5063349458650085E-2</v>
      </c>
      <c r="H11" s="79">
        <v>0.05</v>
      </c>
      <c r="I11" s="75">
        <v>4.9400000000000004</v>
      </c>
      <c r="J11" s="75">
        <v>4.9400000000000004</v>
      </c>
      <c r="K11" s="79">
        <f t="shared" si="4"/>
        <v>1</v>
      </c>
      <c r="L11" s="79">
        <f t="shared" si="5"/>
        <v>0.05</v>
      </c>
      <c r="M11" s="75">
        <f t="shared" si="6"/>
        <v>9.2100000000000009</v>
      </c>
      <c r="N11" s="75">
        <f t="shared" si="6"/>
        <v>9.2100000000000009</v>
      </c>
      <c r="O11" s="79">
        <f t="shared" si="7"/>
        <v>1</v>
      </c>
      <c r="P11" s="79">
        <f t="shared" si="8"/>
        <v>0.05</v>
      </c>
      <c r="Q11" s="75">
        <v>14.92</v>
      </c>
      <c r="R11" s="75">
        <v>1.66</v>
      </c>
      <c r="S11" s="79">
        <f t="shared" si="9"/>
        <v>0.11126005361930294</v>
      </c>
      <c r="T11" s="79">
        <f t="shared" si="10"/>
        <v>5.563002680965148E-3</v>
      </c>
      <c r="U11" s="75">
        <v>7.54</v>
      </c>
      <c r="V11" s="75">
        <v>2.4300000000000002</v>
      </c>
      <c r="W11" s="79">
        <f t="shared" si="11"/>
        <v>0.32228116710875332</v>
      </c>
      <c r="X11" s="79">
        <f t="shared" si="12"/>
        <v>1.6114058355437666E-2</v>
      </c>
      <c r="Y11" s="75">
        <v>6.8</v>
      </c>
      <c r="Z11" s="75">
        <v>3.52</v>
      </c>
      <c r="AA11" s="79">
        <f t="shared" si="13"/>
        <v>0.51764705882352946</v>
      </c>
      <c r="AB11" s="79">
        <f t="shared" si="14"/>
        <v>2.5882352941176474E-2</v>
      </c>
    </row>
    <row r="12" spans="1:28" ht="30.6" customHeight="1" x14ac:dyDescent="0.25">
      <c r="A12" s="74">
        <v>4</v>
      </c>
      <c r="B12" s="81" t="s">
        <v>123</v>
      </c>
      <c r="C12" s="75" t="s">
        <v>120</v>
      </c>
      <c r="D12" s="75">
        <f t="shared" si="0"/>
        <v>43.41</v>
      </c>
      <c r="E12" s="75">
        <f t="shared" si="1"/>
        <v>19.990000000000002</v>
      </c>
      <c r="F12" s="79">
        <f t="shared" si="2"/>
        <v>0.46049297396913164</v>
      </c>
      <c r="G12" s="79">
        <f t="shared" si="3"/>
        <v>2.3024648698456582E-2</v>
      </c>
      <c r="H12" s="79">
        <v>0.05</v>
      </c>
      <c r="I12" s="75">
        <v>4.9400000000000004</v>
      </c>
      <c r="J12" s="75">
        <v>4.9400000000000004</v>
      </c>
      <c r="K12" s="79">
        <f t="shared" si="4"/>
        <v>1</v>
      </c>
      <c r="L12" s="79">
        <f t="shared" si="5"/>
        <v>0.05</v>
      </c>
      <c r="M12" s="75">
        <f t="shared" si="6"/>
        <v>9.2100000000000009</v>
      </c>
      <c r="N12" s="75">
        <f t="shared" si="6"/>
        <v>9.2100000000000009</v>
      </c>
      <c r="O12" s="79">
        <f t="shared" si="7"/>
        <v>1</v>
      </c>
      <c r="P12" s="79">
        <f t="shared" si="8"/>
        <v>0.05</v>
      </c>
      <c r="Q12" s="75">
        <v>14.92</v>
      </c>
      <c r="R12" s="75">
        <v>0.84</v>
      </c>
      <c r="S12" s="79">
        <f t="shared" si="9"/>
        <v>5.6300268096514741E-2</v>
      </c>
      <c r="T12" s="79">
        <f t="shared" si="10"/>
        <v>2.8150134048257375E-3</v>
      </c>
      <c r="U12" s="75">
        <v>7.54</v>
      </c>
      <c r="V12" s="75">
        <v>2</v>
      </c>
      <c r="W12" s="79">
        <f t="shared" si="11"/>
        <v>0.26525198938992045</v>
      </c>
      <c r="X12" s="79">
        <f t="shared" si="12"/>
        <v>1.3262599469496022E-2</v>
      </c>
      <c r="Y12" s="75">
        <v>6.8</v>
      </c>
      <c r="Z12" s="75">
        <v>3</v>
      </c>
      <c r="AA12" s="79">
        <f t="shared" si="13"/>
        <v>0.44117647058823528</v>
      </c>
      <c r="AB12" s="79">
        <f t="shared" si="14"/>
        <v>2.205882352941177E-2</v>
      </c>
    </row>
    <row r="13" spans="1:28" ht="30.6" customHeight="1" x14ac:dyDescent="0.25">
      <c r="A13" s="74">
        <v>5</v>
      </c>
      <c r="B13" s="81" t="s">
        <v>124</v>
      </c>
      <c r="C13" s="75" t="s">
        <v>120</v>
      </c>
      <c r="D13" s="75">
        <f t="shared" si="0"/>
        <v>43.41</v>
      </c>
      <c r="E13" s="75">
        <f t="shared" si="1"/>
        <v>18.77</v>
      </c>
      <c r="F13" s="79">
        <f t="shared" si="2"/>
        <v>0.43238885049527759</v>
      </c>
      <c r="G13" s="79">
        <f t="shared" si="3"/>
        <v>0.15133609767334716</v>
      </c>
      <c r="H13" s="79">
        <v>0.35</v>
      </c>
      <c r="I13" s="75">
        <v>4.9400000000000004</v>
      </c>
      <c r="J13" s="75">
        <v>4.9400000000000004</v>
      </c>
      <c r="K13" s="79">
        <f t="shared" si="4"/>
        <v>1</v>
      </c>
      <c r="L13" s="79">
        <f t="shared" si="5"/>
        <v>0.35</v>
      </c>
      <c r="M13" s="75">
        <f t="shared" si="6"/>
        <v>9.2100000000000009</v>
      </c>
      <c r="N13" s="75">
        <f>2.11+3.55+2.98</f>
        <v>8.64</v>
      </c>
      <c r="O13" s="79">
        <f t="shared" si="7"/>
        <v>0.93811074918566772</v>
      </c>
      <c r="P13" s="79">
        <f t="shared" si="8"/>
        <v>0.3283387622149837</v>
      </c>
      <c r="Q13" s="75">
        <v>14.92</v>
      </c>
      <c r="R13" s="75">
        <v>0.54</v>
      </c>
      <c r="S13" s="79">
        <f t="shared" si="9"/>
        <v>3.6193029490616625E-2</v>
      </c>
      <c r="T13" s="79">
        <f t="shared" si="10"/>
        <v>1.2667560321715818E-2</v>
      </c>
      <c r="U13" s="75">
        <v>7.54</v>
      </c>
      <c r="V13" s="75">
        <v>1.88</v>
      </c>
      <c r="W13" s="79">
        <f t="shared" si="11"/>
        <v>0.24933687002652519</v>
      </c>
      <c r="X13" s="79">
        <f t="shared" si="12"/>
        <v>8.7267904509283803E-2</v>
      </c>
      <c r="Y13" s="75">
        <v>6.8</v>
      </c>
      <c r="Z13" s="75">
        <v>2.77</v>
      </c>
      <c r="AA13" s="79">
        <f t="shared" si="13"/>
        <v>0.40735294117647058</v>
      </c>
      <c r="AB13" s="79">
        <f t="shared" si="14"/>
        <v>0.14257352941176471</v>
      </c>
    </row>
    <row r="14" spans="1:28" ht="30.6" customHeight="1" x14ac:dyDescent="0.25">
      <c r="A14" s="77">
        <v>6</v>
      </c>
      <c r="B14" s="82" t="s">
        <v>125</v>
      </c>
      <c r="C14" s="78" t="s">
        <v>120</v>
      </c>
      <c r="D14" s="75">
        <f t="shared" si="0"/>
        <v>43.41</v>
      </c>
      <c r="E14" s="75">
        <f t="shared" si="1"/>
        <v>15.99</v>
      </c>
      <c r="F14" s="79">
        <f t="shared" si="2"/>
        <v>0.36834830684174158</v>
      </c>
      <c r="G14" s="79">
        <f t="shared" si="3"/>
        <v>1.1050449205252248E-2</v>
      </c>
      <c r="H14" s="79">
        <v>0.03</v>
      </c>
      <c r="I14" s="75">
        <v>4.9400000000000004</v>
      </c>
      <c r="J14" s="75">
        <v>4.63</v>
      </c>
      <c r="K14" s="79">
        <f t="shared" si="4"/>
        <v>0.93724696356275294</v>
      </c>
      <c r="L14" s="79">
        <f t="shared" si="5"/>
        <v>2.8117408906882586E-2</v>
      </c>
      <c r="M14" s="75">
        <f t="shared" si="6"/>
        <v>9.2100000000000009</v>
      </c>
      <c r="N14" s="75">
        <f>2.11+3.55+2.98</f>
        <v>8.64</v>
      </c>
      <c r="O14" s="79">
        <f t="shared" si="7"/>
        <v>0.93811074918566772</v>
      </c>
      <c r="P14" s="79">
        <f t="shared" si="8"/>
        <v>2.814332247557003E-2</v>
      </c>
      <c r="Q14" s="75">
        <v>14.92</v>
      </c>
      <c r="R14" s="75">
        <v>0.03</v>
      </c>
      <c r="S14" s="79">
        <f t="shared" si="9"/>
        <v>2.0107238605898124E-3</v>
      </c>
      <c r="T14" s="79">
        <f t="shared" si="10"/>
        <v>6.0321715817694372E-5</v>
      </c>
      <c r="U14" s="75">
        <v>7.54</v>
      </c>
      <c r="V14" s="75">
        <v>1.39</v>
      </c>
      <c r="W14" s="79">
        <f t="shared" si="11"/>
        <v>0.18435013262599467</v>
      </c>
      <c r="X14" s="79">
        <f t="shared" si="12"/>
        <v>5.5305039787798401E-3</v>
      </c>
      <c r="Y14" s="75">
        <v>6.8</v>
      </c>
      <c r="Z14" s="75">
        <v>1.3</v>
      </c>
      <c r="AA14" s="79">
        <f t="shared" si="13"/>
        <v>0.19117647058823531</v>
      </c>
      <c r="AB14" s="79">
        <f t="shared" si="14"/>
        <v>5.7352941176470589E-3</v>
      </c>
    </row>
    <row r="15" spans="1:28" ht="30.6" customHeight="1" x14ac:dyDescent="0.25">
      <c r="A15" s="74">
        <v>7</v>
      </c>
      <c r="B15" s="83" t="s">
        <v>126</v>
      </c>
      <c r="C15" s="75" t="s">
        <v>127</v>
      </c>
      <c r="D15" s="75">
        <f t="shared" si="0"/>
        <v>35241</v>
      </c>
      <c r="E15" s="75">
        <f t="shared" si="1"/>
        <v>8312</v>
      </c>
      <c r="F15" s="79">
        <f>E15/D15</f>
        <v>0.2358616384325076</v>
      </c>
      <c r="G15" s="79">
        <f t="shared" si="3"/>
        <v>4.7172327686501522E-3</v>
      </c>
      <c r="H15" s="79">
        <v>0.02</v>
      </c>
      <c r="I15" s="75">
        <v>6074</v>
      </c>
      <c r="J15" s="75">
        <v>0</v>
      </c>
      <c r="K15" s="79">
        <f t="shared" si="4"/>
        <v>0</v>
      </c>
      <c r="L15" s="79">
        <f t="shared" si="5"/>
        <v>0</v>
      </c>
      <c r="M15" s="75">
        <f>2638+2571+2907</f>
        <v>8116</v>
      </c>
      <c r="N15" s="75">
        <f>2117+2642+2934</f>
        <v>7693</v>
      </c>
      <c r="O15" s="79">
        <f t="shared" si="7"/>
        <v>0.94788072942336121</v>
      </c>
      <c r="P15" s="79">
        <f t="shared" si="8"/>
        <v>1.8957614588467227E-2</v>
      </c>
      <c r="Q15" s="75">
        <v>8524</v>
      </c>
      <c r="R15" s="75">
        <v>0</v>
      </c>
      <c r="S15" s="79">
        <f t="shared" si="9"/>
        <v>0</v>
      </c>
      <c r="T15" s="79">
        <f t="shared" si="10"/>
        <v>0</v>
      </c>
      <c r="U15" s="75">
        <v>6453</v>
      </c>
      <c r="V15" s="75">
        <v>619</v>
      </c>
      <c r="W15" s="79">
        <f t="shared" si="11"/>
        <v>9.5924376259104299E-2</v>
      </c>
      <c r="X15" s="79">
        <f t="shared" si="12"/>
        <v>1.9184875251820859E-3</v>
      </c>
      <c r="Y15" s="75">
        <v>6074</v>
      </c>
      <c r="Z15" s="75">
        <v>0</v>
      </c>
      <c r="AA15" s="79">
        <f t="shared" si="13"/>
        <v>0</v>
      </c>
      <c r="AB15" s="79">
        <f t="shared" si="14"/>
        <v>0</v>
      </c>
    </row>
    <row r="16" spans="1:28" ht="30.6" customHeight="1" x14ac:dyDescent="0.25">
      <c r="A16" s="74">
        <v>8</v>
      </c>
      <c r="B16" s="81" t="s">
        <v>128</v>
      </c>
      <c r="C16" s="75" t="s">
        <v>127</v>
      </c>
      <c r="D16" s="75">
        <f t="shared" si="0"/>
        <v>14325</v>
      </c>
      <c r="E16" s="75">
        <f t="shared" si="1"/>
        <v>7404</v>
      </c>
      <c r="F16" s="79">
        <f t="shared" si="2"/>
        <v>0.5168586387434555</v>
      </c>
      <c r="G16" s="79">
        <f t="shared" si="3"/>
        <v>1.5505759162303664E-2</v>
      </c>
      <c r="H16" s="79">
        <v>0.03</v>
      </c>
      <c r="I16" s="75">
        <v>898</v>
      </c>
      <c r="J16" s="75">
        <v>0</v>
      </c>
      <c r="K16" s="79">
        <f t="shared" si="4"/>
        <v>0</v>
      </c>
      <c r="L16" s="79">
        <f t="shared" si="5"/>
        <v>0</v>
      </c>
      <c r="M16" s="75">
        <f>1106+2972+647</f>
        <v>4725</v>
      </c>
      <c r="N16" s="75">
        <f>1106+2972+647</f>
        <v>4725</v>
      </c>
      <c r="O16" s="79">
        <f t="shared" si="7"/>
        <v>1</v>
      </c>
      <c r="P16" s="79">
        <f t="shared" si="8"/>
        <v>0.03</v>
      </c>
      <c r="Q16" s="75">
        <v>5125</v>
      </c>
      <c r="R16" s="75">
        <v>0</v>
      </c>
      <c r="S16" s="79">
        <f t="shared" si="9"/>
        <v>0</v>
      </c>
      <c r="T16" s="79">
        <f t="shared" si="10"/>
        <v>0</v>
      </c>
      <c r="U16" s="75">
        <v>2679</v>
      </c>
      <c r="V16" s="75">
        <v>2679</v>
      </c>
      <c r="W16" s="79">
        <f t="shared" si="11"/>
        <v>1</v>
      </c>
      <c r="X16" s="79">
        <f t="shared" si="12"/>
        <v>2.9999999999999995E-2</v>
      </c>
      <c r="Y16" s="75">
        <v>898</v>
      </c>
      <c r="Z16" s="75">
        <v>0</v>
      </c>
      <c r="AA16" s="79">
        <f t="shared" si="13"/>
        <v>0</v>
      </c>
      <c r="AB16" s="79">
        <f t="shared" si="14"/>
        <v>0</v>
      </c>
    </row>
    <row r="17" spans="1:28" ht="30.6" customHeight="1" x14ac:dyDescent="0.25">
      <c r="A17" s="74">
        <v>9</v>
      </c>
      <c r="B17" s="81" t="s">
        <v>129</v>
      </c>
      <c r="C17" s="75" t="s">
        <v>130</v>
      </c>
      <c r="D17" s="75">
        <f t="shared" si="0"/>
        <v>30006</v>
      </c>
      <c r="E17" s="75">
        <f t="shared" si="1"/>
        <v>5617</v>
      </c>
      <c r="F17" s="79">
        <f t="shared" si="2"/>
        <v>0.18719589415450244</v>
      </c>
      <c r="G17" s="79">
        <f t="shared" si="3"/>
        <v>5.6158768246350726E-3</v>
      </c>
      <c r="H17" s="79">
        <v>0.03</v>
      </c>
      <c r="I17" s="75">
        <v>1055</v>
      </c>
      <c r="J17" s="75">
        <v>0</v>
      </c>
      <c r="K17" s="79">
        <f t="shared" si="4"/>
        <v>0</v>
      </c>
      <c r="L17" s="79">
        <f t="shared" si="5"/>
        <v>0</v>
      </c>
      <c r="M17" s="75">
        <f>1780+2103+2798</f>
        <v>6681</v>
      </c>
      <c r="N17" s="75">
        <f>539+1909+2410</f>
        <v>4858</v>
      </c>
      <c r="O17" s="79">
        <f t="shared" si="7"/>
        <v>0.72713665618919321</v>
      </c>
      <c r="P17" s="79">
        <f t="shared" si="8"/>
        <v>2.1814099685675794E-2</v>
      </c>
      <c r="Q17" s="75">
        <v>20456</v>
      </c>
      <c r="R17" s="75">
        <v>0</v>
      </c>
      <c r="S17" s="79">
        <f t="shared" si="9"/>
        <v>0</v>
      </c>
      <c r="T17" s="79">
        <f t="shared" si="10"/>
        <v>0</v>
      </c>
      <c r="U17" s="75">
        <v>759</v>
      </c>
      <c r="V17" s="75">
        <v>759</v>
      </c>
      <c r="W17" s="79">
        <f t="shared" si="11"/>
        <v>1</v>
      </c>
      <c r="X17" s="79">
        <f t="shared" si="12"/>
        <v>0.03</v>
      </c>
      <c r="Y17" s="75">
        <v>1055</v>
      </c>
      <c r="Z17" s="75">
        <v>0</v>
      </c>
      <c r="AA17" s="79">
        <f t="shared" si="13"/>
        <v>0</v>
      </c>
      <c r="AB17" s="79">
        <f t="shared" si="14"/>
        <v>0</v>
      </c>
    </row>
    <row r="18" spans="1:28" ht="46.2" customHeight="1" x14ac:dyDescent="0.25">
      <c r="A18" s="74">
        <v>10</v>
      </c>
      <c r="B18" s="83" t="s">
        <v>131</v>
      </c>
      <c r="C18" s="75" t="s">
        <v>127</v>
      </c>
      <c r="D18" s="75">
        <f t="shared" si="0"/>
        <v>963</v>
      </c>
      <c r="E18" s="75">
        <f t="shared" si="1"/>
        <v>340</v>
      </c>
      <c r="F18" s="79">
        <f t="shared" si="2"/>
        <v>0.35306334371754933</v>
      </c>
      <c r="G18" s="79">
        <f t="shared" si="3"/>
        <v>3.5306334371754934E-2</v>
      </c>
      <c r="H18" s="79">
        <v>0.1</v>
      </c>
      <c r="I18" s="75">
        <v>118</v>
      </c>
      <c r="J18" s="75">
        <v>43</v>
      </c>
      <c r="K18" s="79">
        <f t="shared" si="4"/>
        <v>0.36440677966101692</v>
      </c>
      <c r="L18" s="79">
        <f t="shared" si="5"/>
        <v>3.6440677966101696E-2</v>
      </c>
      <c r="M18" s="75">
        <f>59+56+92</f>
        <v>207</v>
      </c>
      <c r="N18" s="75">
        <f>59+56+92</f>
        <v>207</v>
      </c>
      <c r="O18" s="79">
        <f t="shared" si="7"/>
        <v>1</v>
      </c>
      <c r="P18" s="79">
        <f t="shared" si="8"/>
        <v>0.10000000000000002</v>
      </c>
      <c r="Q18" s="75">
        <v>370</v>
      </c>
      <c r="R18" s="75">
        <v>47</v>
      </c>
      <c r="S18" s="79">
        <f t="shared" si="9"/>
        <v>0.12702702702702703</v>
      </c>
      <c r="T18" s="79">
        <f t="shared" si="10"/>
        <v>1.2702702702702703E-2</v>
      </c>
      <c r="U18" s="75">
        <v>150</v>
      </c>
      <c r="V18" s="75">
        <v>0</v>
      </c>
      <c r="W18" s="79">
        <f t="shared" si="11"/>
        <v>0</v>
      </c>
      <c r="X18" s="79">
        <f t="shared" si="12"/>
        <v>0</v>
      </c>
      <c r="Y18" s="75">
        <v>118</v>
      </c>
      <c r="Z18" s="75">
        <v>43</v>
      </c>
      <c r="AA18" s="79">
        <f t="shared" si="13"/>
        <v>0.36440677966101692</v>
      </c>
      <c r="AB18" s="79">
        <f t="shared" si="14"/>
        <v>3.6440677966101696E-2</v>
      </c>
    </row>
    <row r="19" spans="1:28" ht="30.6" customHeight="1" x14ac:dyDescent="0.25">
      <c r="A19" s="74">
        <v>11</v>
      </c>
      <c r="B19" s="81" t="s">
        <v>132</v>
      </c>
      <c r="C19" s="75" t="s">
        <v>127</v>
      </c>
      <c r="D19" s="75">
        <f t="shared" si="0"/>
        <v>963</v>
      </c>
      <c r="E19" s="75">
        <f t="shared" si="1"/>
        <v>235</v>
      </c>
      <c r="F19" s="79">
        <f t="shared" si="2"/>
        <v>0.24402907580477673</v>
      </c>
      <c r="G19" s="79">
        <f t="shared" si="3"/>
        <v>2.4402907580477674E-2</v>
      </c>
      <c r="H19" s="79">
        <v>0.1</v>
      </c>
      <c r="I19" s="75">
        <v>118</v>
      </c>
      <c r="J19" s="75">
        <v>12</v>
      </c>
      <c r="K19" s="79">
        <f t="shared" si="4"/>
        <v>0.10169491525423729</v>
      </c>
      <c r="L19" s="79">
        <f t="shared" si="5"/>
        <v>1.016949152542373E-2</v>
      </c>
      <c r="M19" s="75">
        <f>59+56+92</f>
        <v>207</v>
      </c>
      <c r="N19" s="75">
        <f>59+56+92</f>
        <v>207</v>
      </c>
      <c r="O19" s="79">
        <f t="shared" si="7"/>
        <v>1</v>
      </c>
      <c r="P19" s="79">
        <f t="shared" si="8"/>
        <v>0.10000000000000002</v>
      </c>
      <c r="Q19" s="75">
        <v>370</v>
      </c>
      <c r="R19" s="75">
        <v>4</v>
      </c>
      <c r="S19" s="79">
        <f t="shared" si="9"/>
        <v>1.0810810810810811E-2</v>
      </c>
      <c r="T19" s="79">
        <f t="shared" si="10"/>
        <v>1.0810810810810811E-3</v>
      </c>
      <c r="U19" s="75">
        <v>150</v>
      </c>
      <c r="V19" s="75">
        <v>0</v>
      </c>
      <c r="W19" s="79">
        <f t="shared" si="11"/>
        <v>0</v>
      </c>
      <c r="X19" s="79">
        <f t="shared" si="12"/>
        <v>0</v>
      </c>
      <c r="Y19" s="75">
        <v>118</v>
      </c>
      <c r="Z19" s="75">
        <v>12</v>
      </c>
      <c r="AA19" s="79">
        <f t="shared" si="13"/>
        <v>0.10169491525423729</v>
      </c>
      <c r="AB19" s="79">
        <f t="shared" si="14"/>
        <v>1.016949152542373E-2</v>
      </c>
    </row>
    <row r="20" spans="1:28" ht="30.6" customHeight="1" x14ac:dyDescent="0.25">
      <c r="A20" s="74">
        <v>12</v>
      </c>
      <c r="B20" s="81" t="s">
        <v>133</v>
      </c>
      <c r="C20" s="75" t="s">
        <v>134</v>
      </c>
      <c r="D20" s="75">
        <f t="shared" si="0"/>
        <v>54.36</v>
      </c>
      <c r="E20" s="75">
        <f t="shared" si="1"/>
        <v>8.74</v>
      </c>
      <c r="F20" s="79">
        <f t="shared" si="2"/>
        <v>0.16077998528329654</v>
      </c>
      <c r="G20" s="79">
        <f t="shared" si="3"/>
        <v>1.6077998528329657E-2</v>
      </c>
      <c r="H20" s="79">
        <v>0.1</v>
      </c>
      <c r="I20" s="75">
        <v>10.65</v>
      </c>
      <c r="J20" s="75">
        <v>0</v>
      </c>
      <c r="K20" s="79">
        <f t="shared" si="4"/>
        <v>0</v>
      </c>
      <c r="L20" s="79">
        <f t="shared" si="5"/>
        <v>0</v>
      </c>
      <c r="M20" s="75">
        <f>2.71+3.55+2.98</f>
        <v>9.24</v>
      </c>
      <c r="N20" s="75">
        <f>2.21+3.55+2.98</f>
        <v>8.74</v>
      </c>
      <c r="O20" s="79">
        <f t="shared" si="7"/>
        <v>0.94588744588744589</v>
      </c>
      <c r="P20" s="79">
        <f t="shared" si="8"/>
        <v>9.4588744588744597E-2</v>
      </c>
      <c r="Q20" s="75">
        <v>16.28</v>
      </c>
      <c r="R20" s="75">
        <v>0</v>
      </c>
      <c r="S20" s="79">
        <f t="shared" si="9"/>
        <v>0</v>
      </c>
      <c r="T20" s="79">
        <f t="shared" si="10"/>
        <v>0</v>
      </c>
      <c r="U20" s="75">
        <v>7.54</v>
      </c>
      <c r="V20" s="75">
        <v>0</v>
      </c>
      <c r="W20" s="79">
        <f t="shared" si="11"/>
        <v>0</v>
      </c>
      <c r="X20" s="79">
        <f t="shared" si="12"/>
        <v>0</v>
      </c>
      <c r="Y20" s="75">
        <v>10.65</v>
      </c>
      <c r="Z20" s="75">
        <v>0</v>
      </c>
      <c r="AA20" s="79">
        <f t="shared" si="13"/>
        <v>0</v>
      </c>
      <c r="AB20" s="79">
        <f t="shared" si="14"/>
        <v>0</v>
      </c>
    </row>
    <row r="21" spans="1:28" ht="48" customHeight="1" x14ac:dyDescent="0.25">
      <c r="A21" s="74">
        <v>13</v>
      </c>
      <c r="B21" s="83" t="s">
        <v>135</v>
      </c>
      <c r="C21" s="75" t="s">
        <v>127</v>
      </c>
      <c r="D21" s="75">
        <f t="shared" si="0"/>
        <v>16</v>
      </c>
      <c r="E21" s="75">
        <f t="shared" si="1"/>
        <v>0</v>
      </c>
      <c r="F21" s="79">
        <f>E21/D21</f>
        <v>0</v>
      </c>
      <c r="G21" s="79">
        <f t="shared" si="3"/>
        <v>0</v>
      </c>
      <c r="H21" s="79">
        <v>0.02</v>
      </c>
      <c r="I21" s="144">
        <v>0</v>
      </c>
      <c r="J21" s="144">
        <v>0</v>
      </c>
      <c r="K21" s="79">
        <v>0</v>
      </c>
      <c r="L21" s="79">
        <v>0.02</v>
      </c>
      <c r="M21" s="144">
        <f>4+8+4</f>
        <v>16</v>
      </c>
      <c r="N21" s="144">
        <v>0</v>
      </c>
      <c r="O21" s="79">
        <f>N21/M21</f>
        <v>0</v>
      </c>
      <c r="P21" s="79">
        <f t="shared" si="8"/>
        <v>0</v>
      </c>
      <c r="Q21" s="144">
        <v>0</v>
      </c>
      <c r="R21" s="144">
        <v>0</v>
      </c>
      <c r="S21" s="79">
        <v>0</v>
      </c>
      <c r="T21" s="79">
        <v>0.02</v>
      </c>
      <c r="U21" s="144">
        <v>0</v>
      </c>
      <c r="V21" s="144">
        <v>0</v>
      </c>
      <c r="W21" s="79">
        <v>0</v>
      </c>
      <c r="X21" s="79">
        <v>0.02</v>
      </c>
      <c r="Y21" s="144">
        <v>0</v>
      </c>
      <c r="Z21" s="144">
        <v>0</v>
      </c>
      <c r="AA21" s="79">
        <v>0</v>
      </c>
      <c r="AB21" s="79">
        <v>0.02</v>
      </c>
    </row>
    <row r="22" spans="1:28" ht="30.6" customHeight="1" x14ac:dyDescent="0.25">
      <c r="A22" s="74">
        <v>14</v>
      </c>
      <c r="B22" s="83" t="s">
        <v>136</v>
      </c>
      <c r="C22" s="75" t="s">
        <v>127</v>
      </c>
      <c r="D22" s="75">
        <f t="shared" si="0"/>
        <v>47</v>
      </c>
      <c r="E22" s="75">
        <f t="shared" si="1"/>
        <v>0</v>
      </c>
      <c r="F22" s="79">
        <f t="shared" si="2"/>
        <v>0</v>
      </c>
      <c r="G22" s="79">
        <f t="shared" si="3"/>
        <v>0</v>
      </c>
      <c r="H22" s="79">
        <v>0.02</v>
      </c>
      <c r="I22" s="144">
        <v>0</v>
      </c>
      <c r="J22" s="144">
        <v>0</v>
      </c>
      <c r="K22" s="79">
        <v>0</v>
      </c>
      <c r="L22" s="79">
        <v>0.02</v>
      </c>
      <c r="M22" s="144">
        <f>4+8+4</f>
        <v>16</v>
      </c>
      <c r="N22" s="144">
        <v>0</v>
      </c>
      <c r="O22" s="79">
        <f t="shared" si="7"/>
        <v>0</v>
      </c>
      <c r="P22" s="79">
        <f t="shared" si="8"/>
        <v>0</v>
      </c>
      <c r="Q22" s="144">
        <v>18</v>
      </c>
      <c r="R22" s="144">
        <v>0</v>
      </c>
      <c r="S22" s="79">
        <f t="shared" si="9"/>
        <v>0</v>
      </c>
      <c r="T22" s="79">
        <f t="shared" si="10"/>
        <v>0</v>
      </c>
      <c r="U22" s="144">
        <v>13</v>
      </c>
      <c r="V22" s="144">
        <v>0</v>
      </c>
      <c r="W22" s="79">
        <f t="shared" si="11"/>
        <v>0</v>
      </c>
      <c r="X22" s="79">
        <f t="shared" si="12"/>
        <v>0</v>
      </c>
      <c r="Y22" s="144">
        <v>0</v>
      </c>
      <c r="Z22" s="144">
        <v>0</v>
      </c>
      <c r="AA22" s="79">
        <v>0</v>
      </c>
      <c r="AB22" s="79">
        <v>0.02</v>
      </c>
    </row>
    <row r="23" spans="1:28" x14ac:dyDescent="0.25">
      <c r="B23" s="80"/>
      <c r="C23" s="80"/>
      <c r="D23" s="80"/>
      <c r="E23" s="80"/>
      <c r="F23" s="80"/>
      <c r="G23" s="80"/>
      <c r="H23" s="80"/>
      <c r="I23" s="80"/>
      <c r="J23" s="80"/>
      <c r="K23" s="80"/>
      <c r="L23" s="80"/>
      <c r="M23" s="80"/>
    </row>
    <row r="24" spans="1:28" x14ac:dyDescent="0.25">
      <c r="B24" s="80"/>
      <c r="C24" s="80"/>
      <c r="D24" s="80"/>
      <c r="E24" s="80"/>
      <c r="F24" s="80"/>
      <c r="G24" s="80"/>
      <c r="H24" s="80"/>
      <c r="I24" s="80"/>
      <c r="J24" s="80"/>
      <c r="K24" s="80"/>
      <c r="L24" s="80"/>
      <c r="M24" s="80"/>
    </row>
  </sheetData>
  <mergeCells count="47">
    <mergeCell ref="A1:F1"/>
    <mergeCell ref="I5:O5"/>
    <mergeCell ref="A4:F5"/>
    <mergeCell ref="Q5:S5"/>
    <mergeCell ref="U5:W5"/>
    <mergeCell ref="Y5:AA5"/>
    <mergeCell ref="Y2:AA2"/>
    <mergeCell ref="AB3:AB8"/>
    <mergeCell ref="Y4:AA4"/>
    <mergeCell ref="Y6:AA6"/>
    <mergeCell ref="Y7:AA7"/>
    <mergeCell ref="Y8:AA8"/>
    <mergeCell ref="A8:C8"/>
    <mergeCell ref="D8:F8"/>
    <mergeCell ref="I8:K8"/>
    <mergeCell ref="M8:O8"/>
    <mergeCell ref="Q8:S8"/>
    <mergeCell ref="U8:W8"/>
    <mergeCell ref="A7:B7"/>
    <mergeCell ref="D7:F7"/>
    <mergeCell ref="I7:K7"/>
    <mergeCell ref="M7:O7"/>
    <mergeCell ref="Q7:S7"/>
    <mergeCell ref="U7:W7"/>
    <mergeCell ref="X3:X8"/>
    <mergeCell ref="I4:K4"/>
    <mergeCell ref="M4:O4"/>
    <mergeCell ref="Q4:S4"/>
    <mergeCell ref="U4:W4"/>
    <mergeCell ref="A6:B6"/>
    <mergeCell ref="C6:C7"/>
    <mergeCell ref="D6:F6"/>
    <mergeCell ref="I6:K6"/>
    <mergeCell ref="Q2:S2"/>
    <mergeCell ref="U2:W2"/>
    <mergeCell ref="G3:G8"/>
    <mergeCell ref="H3:H7"/>
    <mergeCell ref="T3:T8"/>
    <mergeCell ref="M6:O6"/>
    <mergeCell ref="Q6:S6"/>
    <mergeCell ref="U6:W6"/>
    <mergeCell ref="A2:A3"/>
    <mergeCell ref="B2:B3"/>
    <mergeCell ref="C2:C3"/>
    <mergeCell ref="D2:H2"/>
    <mergeCell ref="I2:K2"/>
    <mergeCell ref="M2:O2"/>
  </mergeCells>
  <conditionalFormatting sqref="F9:H22">
    <cfRule type="dataBar" priority="17">
      <dataBar>
        <cfvo type="min"/>
        <cfvo type="num" val="1"/>
        <color theme="4" tint="0.79998168889431442"/>
      </dataBar>
      <extLst>
        <ext xmlns:x14="http://schemas.microsoft.com/office/spreadsheetml/2009/9/main" uri="{B025F937-C7B1-47D3-B67F-A62EFF666E3E}">
          <x14:id>{BED76582-84C0-4E80-BA57-48BC185AC700}</x14:id>
        </ext>
      </extLst>
    </cfRule>
  </conditionalFormatting>
  <conditionalFormatting sqref="K9:K22">
    <cfRule type="dataBar" priority="16">
      <dataBar>
        <cfvo type="min"/>
        <cfvo type="num" val="1"/>
        <color theme="4" tint="0.79998168889431442"/>
      </dataBar>
      <extLst>
        <ext xmlns:x14="http://schemas.microsoft.com/office/spreadsheetml/2009/9/main" uri="{B025F937-C7B1-47D3-B67F-A62EFF666E3E}">
          <x14:id>{FA464E2C-ECCB-4D85-90A7-F50B890E7E31}</x14:id>
        </ext>
      </extLst>
    </cfRule>
  </conditionalFormatting>
  <conditionalFormatting sqref="O9:O22">
    <cfRule type="dataBar" priority="15">
      <dataBar>
        <cfvo type="min"/>
        <cfvo type="num" val="1"/>
        <color theme="4" tint="0.79998168889431442"/>
      </dataBar>
      <extLst>
        <ext xmlns:x14="http://schemas.microsoft.com/office/spreadsheetml/2009/9/main" uri="{B025F937-C7B1-47D3-B67F-A62EFF666E3E}">
          <x14:id>{839A369F-1D62-45EA-8215-8D9E22021AE4}</x14:id>
        </ext>
      </extLst>
    </cfRule>
  </conditionalFormatting>
  <conditionalFormatting sqref="S9:S22">
    <cfRule type="dataBar" priority="14">
      <dataBar>
        <cfvo type="min"/>
        <cfvo type="num" val="1"/>
        <color theme="4" tint="0.79998168889431442"/>
      </dataBar>
      <extLst>
        <ext xmlns:x14="http://schemas.microsoft.com/office/spreadsheetml/2009/9/main" uri="{B025F937-C7B1-47D3-B67F-A62EFF666E3E}">
          <x14:id>{E8FD872D-57F6-4C9B-8540-35CB4B0B108E}</x14:id>
        </ext>
      </extLst>
    </cfRule>
  </conditionalFormatting>
  <conditionalFormatting sqref="W9:W22">
    <cfRule type="dataBar" priority="13">
      <dataBar>
        <cfvo type="min"/>
        <cfvo type="num" val="1"/>
        <color theme="4" tint="0.79998168889431442"/>
      </dataBar>
      <extLst>
        <ext xmlns:x14="http://schemas.microsoft.com/office/spreadsheetml/2009/9/main" uri="{B025F937-C7B1-47D3-B67F-A62EFF666E3E}">
          <x14:id>{E9D48FB2-D000-40FE-8096-7575D20142A7}</x14:id>
        </ext>
      </extLst>
    </cfRule>
  </conditionalFormatting>
  <conditionalFormatting sqref="D8">
    <cfRule type="dataBar" priority="12">
      <dataBar>
        <cfvo type="min"/>
        <cfvo type="num" val="1"/>
        <color theme="4" tint="0.79998168889431442"/>
      </dataBar>
      <extLst>
        <ext xmlns:x14="http://schemas.microsoft.com/office/spreadsheetml/2009/9/main" uri="{B025F937-C7B1-47D3-B67F-A62EFF666E3E}">
          <x14:id>{B9B58FF9-2E26-49D8-91B8-62C0CA20B443}</x14:id>
        </ext>
      </extLst>
    </cfRule>
  </conditionalFormatting>
  <conditionalFormatting sqref="I8">
    <cfRule type="dataBar" priority="11">
      <dataBar>
        <cfvo type="min"/>
        <cfvo type="num" val="1"/>
        <color theme="4" tint="0.79998168889431442"/>
      </dataBar>
      <extLst>
        <ext xmlns:x14="http://schemas.microsoft.com/office/spreadsheetml/2009/9/main" uri="{B025F937-C7B1-47D3-B67F-A62EFF666E3E}">
          <x14:id>{0367DDD8-0AF1-44B5-B482-E07A0910A826}</x14:id>
        </ext>
      </extLst>
    </cfRule>
  </conditionalFormatting>
  <conditionalFormatting sqref="M8">
    <cfRule type="dataBar" priority="10">
      <dataBar>
        <cfvo type="min"/>
        <cfvo type="num" val="1"/>
        <color theme="4" tint="0.79998168889431442"/>
      </dataBar>
      <extLst>
        <ext xmlns:x14="http://schemas.microsoft.com/office/spreadsheetml/2009/9/main" uri="{B025F937-C7B1-47D3-B67F-A62EFF666E3E}">
          <x14:id>{7004C890-D3B0-46D6-BA3E-A71C4594F2B2}</x14:id>
        </ext>
      </extLst>
    </cfRule>
  </conditionalFormatting>
  <conditionalFormatting sqref="Q8">
    <cfRule type="dataBar" priority="9">
      <dataBar>
        <cfvo type="min"/>
        <cfvo type="num" val="1"/>
        <color theme="4" tint="0.79998168889431442"/>
      </dataBar>
      <extLst>
        <ext xmlns:x14="http://schemas.microsoft.com/office/spreadsheetml/2009/9/main" uri="{B025F937-C7B1-47D3-B67F-A62EFF666E3E}">
          <x14:id>{C8E5C76D-F631-4202-BF40-84ACD720F23A}</x14:id>
        </ext>
      </extLst>
    </cfRule>
  </conditionalFormatting>
  <conditionalFormatting sqref="U8">
    <cfRule type="dataBar" priority="8">
      <dataBar>
        <cfvo type="min"/>
        <cfvo type="num" val="1"/>
        <color theme="4" tint="0.79998168889431442"/>
      </dataBar>
      <extLst>
        <ext xmlns:x14="http://schemas.microsoft.com/office/spreadsheetml/2009/9/main" uri="{B025F937-C7B1-47D3-B67F-A62EFF666E3E}">
          <x14:id>{46D58804-63B6-4282-9485-6FD5DF5F04BC}</x14:id>
        </ext>
      </extLst>
    </cfRule>
  </conditionalFormatting>
  <conditionalFormatting sqref="L9:L22">
    <cfRule type="dataBar" priority="7">
      <dataBar>
        <cfvo type="min"/>
        <cfvo type="num" val="1"/>
        <color theme="4" tint="0.79998168889431442"/>
      </dataBar>
      <extLst>
        <ext xmlns:x14="http://schemas.microsoft.com/office/spreadsheetml/2009/9/main" uri="{B025F937-C7B1-47D3-B67F-A62EFF666E3E}">
          <x14:id>{76193E49-464A-4FBD-BCF3-D2DBB5826E9A}</x14:id>
        </ext>
      </extLst>
    </cfRule>
  </conditionalFormatting>
  <conditionalFormatting sqref="P9:P22">
    <cfRule type="dataBar" priority="6">
      <dataBar>
        <cfvo type="min"/>
        <cfvo type="num" val="1"/>
        <color theme="4" tint="0.79998168889431442"/>
      </dataBar>
      <extLst>
        <ext xmlns:x14="http://schemas.microsoft.com/office/spreadsheetml/2009/9/main" uri="{B025F937-C7B1-47D3-B67F-A62EFF666E3E}">
          <x14:id>{6F478A88-9035-4894-9BF5-5F9A31CBBE95}</x14:id>
        </ext>
      </extLst>
    </cfRule>
  </conditionalFormatting>
  <conditionalFormatting sqref="T9:T22">
    <cfRule type="dataBar" priority="5">
      <dataBar>
        <cfvo type="min"/>
        <cfvo type="num" val="1"/>
        <color theme="4" tint="0.79998168889431442"/>
      </dataBar>
      <extLst>
        <ext xmlns:x14="http://schemas.microsoft.com/office/spreadsheetml/2009/9/main" uri="{B025F937-C7B1-47D3-B67F-A62EFF666E3E}">
          <x14:id>{2FFE4A8D-D530-4598-827E-BC72DC204DC1}</x14:id>
        </ext>
      </extLst>
    </cfRule>
  </conditionalFormatting>
  <conditionalFormatting sqref="X9:X22">
    <cfRule type="dataBar" priority="4">
      <dataBar>
        <cfvo type="min"/>
        <cfvo type="num" val="1"/>
        <color theme="4" tint="0.79998168889431442"/>
      </dataBar>
      <extLst>
        <ext xmlns:x14="http://schemas.microsoft.com/office/spreadsheetml/2009/9/main" uri="{B025F937-C7B1-47D3-B67F-A62EFF666E3E}">
          <x14:id>{BF07F276-E968-4031-8F8E-DA571BE366DC}</x14:id>
        </ext>
      </extLst>
    </cfRule>
  </conditionalFormatting>
  <conditionalFormatting sqref="AA9:AA22">
    <cfRule type="dataBar" priority="3">
      <dataBar>
        <cfvo type="min"/>
        <cfvo type="num" val="1"/>
        <color theme="4" tint="0.79998168889431442"/>
      </dataBar>
      <extLst>
        <ext xmlns:x14="http://schemas.microsoft.com/office/spreadsheetml/2009/9/main" uri="{B025F937-C7B1-47D3-B67F-A62EFF666E3E}">
          <x14:id>{C5293AF6-C4D1-4426-9D5B-5033F81693BF}</x14:id>
        </ext>
      </extLst>
    </cfRule>
  </conditionalFormatting>
  <conditionalFormatting sqref="Y8">
    <cfRule type="dataBar" priority="2">
      <dataBar>
        <cfvo type="min"/>
        <cfvo type="num" val="1"/>
        <color theme="4" tint="0.79998168889431442"/>
      </dataBar>
      <extLst>
        <ext xmlns:x14="http://schemas.microsoft.com/office/spreadsheetml/2009/9/main" uri="{B025F937-C7B1-47D3-B67F-A62EFF666E3E}">
          <x14:id>{45E17D8F-546F-42CE-9A0D-F0B294CC8177}</x14:id>
        </ext>
      </extLst>
    </cfRule>
  </conditionalFormatting>
  <conditionalFormatting sqref="AB9:AB22">
    <cfRule type="dataBar" priority="1">
      <dataBar>
        <cfvo type="min"/>
        <cfvo type="num" val="1"/>
        <color theme="4" tint="0.79998168889431442"/>
      </dataBar>
      <extLst>
        <ext xmlns:x14="http://schemas.microsoft.com/office/spreadsheetml/2009/9/main" uri="{B025F937-C7B1-47D3-B67F-A62EFF666E3E}">
          <x14:id>{BA247C8F-5B1A-4CDE-8F0F-8A5502E163E4}</x14:id>
        </ext>
      </extLst>
    </cfRule>
  </conditionalFormatting>
  <pageMargins left="0.7" right="0.7" top="0.75" bottom="0.75" header="0.3" footer="0.3"/>
  <pageSetup paperSize="8" scale="73" fitToHeight="0" orientation="landscape" r:id="rId1"/>
  <extLst>
    <ext xmlns:x14="http://schemas.microsoft.com/office/spreadsheetml/2009/9/main" uri="{78C0D931-6437-407d-A8EE-F0AAD7539E65}">
      <x14:conditionalFormattings>
        <x14:conditionalFormatting xmlns:xm="http://schemas.microsoft.com/office/excel/2006/main">
          <x14:cfRule type="dataBar" id="{BED76582-84C0-4E80-BA57-48BC185AC700}">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F9:H22</xm:sqref>
        </x14:conditionalFormatting>
        <x14:conditionalFormatting xmlns:xm="http://schemas.microsoft.com/office/excel/2006/main">
          <x14:cfRule type="dataBar" id="{FA464E2C-ECCB-4D85-90A7-F50B890E7E31}">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K9:K22</xm:sqref>
        </x14:conditionalFormatting>
        <x14:conditionalFormatting xmlns:xm="http://schemas.microsoft.com/office/excel/2006/main">
          <x14:cfRule type="dataBar" id="{839A369F-1D62-45EA-8215-8D9E22021AE4}">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O9:O22</xm:sqref>
        </x14:conditionalFormatting>
        <x14:conditionalFormatting xmlns:xm="http://schemas.microsoft.com/office/excel/2006/main">
          <x14:cfRule type="dataBar" id="{E8FD872D-57F6-4C9B-8540-35CB4B0B108E}">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S9:S22</xm:sqref>
        </x14:conditionalFormatting>
        <x14:conditionalFormatting xmlns:xm="http://schemas.microsoft.com/office/excel/2006/main">
          <x14:cfRule type="dataBar" id="{E9D48FB2-D000-40FE-8096-7575D20142A7}">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W9:W22</xm:sqref>
        </x14:conditionalFormatting>
        <x14:conditionalFormatting xmlns:xm="http://schemas.microsoft.com/office/excel/2006/main">
          <x14:cfRule type="dataBar" id="{B9B58FF9-2E26-49D8-91B8-62C0CA20B443}">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D8</xm:sqref>
        </x14:conditionalFormatting>
        <x14:conditionalFormatting xmlns:xm="http://schemas.microsoft.com/office/excel/2006/main">
          <x14:cfRule type="dataBar" id="{0367DDD8-0AF1-44B5-B482-E07A0910A826}">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I8</xm:sqref>
        </x14:conditionalFormatting>
        <x14:conditionalFormatting xmlns:xm="http://schemas.microsoft.com/office/excel/2006/main">
          <x14:cfRule type="dataBar" id="{7004C890-D3B0-46D6-BA3E-A71C4594F2B2}">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M8</xm:sqref>
        </x14:conditionalFormatting>
        <x14:conditionalFormatting xmlns:xm="http://schemas.microsoft.com/office/excel/2006/main">
          <x14:cfRule type="dataBar" id="{C8E5C76D-F631-4202-BF40-84ACD720F23A}">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Q8</xm:sqref>
        </x14:conditionalFormatting>
        <x14:conditionalFormatting xmlns:xm="http://schemas.microsoft.com/office/excel/2006/main">
          <x14:cfRule type="dataBar" id="{46D58804-63B6-4282-9485-6FD5DF5F04BC}">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U8</xm:sqref>
        </x14:conditionalFormatting>
        <x14:conditionalFormatting xmlns:xm="http://schemas.microsoft.com/office/excel/2006/main">
          <x14:cfRule type="dataBar" id="{76193E49-464A-4FBD-BCF3-D2DBB5826E9A}">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L9:L22</xm:sqref>
        </x14:conditionalFormatting>
        <x14:conditionalFormatting xmlns:xm="http://schemas.microsoft.com/office/excel/2006/main">
          <x14:cfRule type="dataBar" id="{6F478A88-9035-4894-9BF5-5F9A31CBBE95}">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P9:P22</xm:sqref>
        </x14:conditionalFormatting>
        <x14:conditionalFormatting xmlns:xm="http://schemas.microsoft.com/office/excel/2006/main">
          <x14:cfRule type="dataBar" id="{2FFE4A8D-D530-4598-827E-BC72DC204DC1}">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T9:T22</xm:sqref>
        </x14:conditionalFormatting>
        <x14:conditionalFormatting xmlns:xm="http://schemas.microsoft.com/office/excel/2006/main">
          <x14:cfRule type="dataBar" id="{BF07F276-E968-4031-8F8E-DA571BE366DC}">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X9:X22</xm:sqref>
        </x14:conditionalFormatting>
        <x14:conditionalFormatting xmlns:xm="http://schemas.microsoft.com/office/excel/2006/main">
          <x14:cfRule type="dataBar" id="{C5293AF6-C4D1-4426-9D5B-5033F81693BF}">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AA9:AA22</xm:sqref>
        </x14:conditionalFormatting>
        <x14:conditionalFormatting xmlns:xm="http://schemas.microsoft.com/office/excel/2006/main">
          <x14:cfRule type="dataBar" id="{45E17D8F-546F-42CE-9A0D-F0B294CC8177}">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Y8</xm:sqref>
        </x14:conditionalFormatting>
        <x14:conditionalFormatting xmlns:xm="http://schemas.microsoft.com/office/excel/2006/main">
          <x14:cfRule type="dataBar" id="{BA247C8F-5B1A-4CDE-8F0F-8A5502E163E4}">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AB9:AB22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4108C-AE9D-476A-BF38-D985407F47E1}">
  <sheetPr>
    <pageSetUpPr fitToPage="1"/>
  </sheetPr>
  <dimension ref="A1:AB23"/>
  <sheetViews>
    <sheetView view="pageBreakPreview" zoomScale="60" zoomScaleNormal="70" workbookViewId="0">
      <selection sqref="A1:F1"/>
    </sheetView>
  </sheetViews>
  <sheetFormatPr defaultRowHeight="13.8" x14ac:dyDescent="0.25"/>
  <cols>
    <col min="1" max="1" width="8.88671875" style="76"/>
    <col min="2" max="2" width="29" style="76" customWidth="1"/>
    <col min="3" max="3" width="15.33203125" style="76" customWidth="1"/>
    <col min="4" max="4" width="8.88671875" style="76"/>
    <col min="5" max="5" width="8.109375" style="76" customWidth="1"/>
    <col min="6" max="6" width="13.77734375" style="76" customWidth="1"/>
    <col min="7" max="7" width="13.77734375" style="76" hidden="1" customWidth="1"/>
    <col min="8" max="8" width="10.44140625" style="76" hidden="1" customWidth="1"/>
    <col min="9" max="11" width="14.6640625" style="76" customWidth="1"/>
    <col min="12" max="12" width="8.77734375" style="76" hidden="1" customWidth="1"/>
    <col min="13" max="13" width="12.6640625" style="76" customWidth="1"/>
    <col min="14" max="14" width="10" style="76" customWidth="1"/>
    <col min="15" max="15" width="12.6640625" style="76" customWidth="1"/>
    <col min="16" max="16" width="8.77734375" style="76" hidden="1" customWidth="1"/>
    <col min="17" max="16384" width="8.88671875" style="76"/>
  </cols>
  <sheetData>
    <row r="1" spans="1:16" ht="39.6" customHeight="1" x14ac:dyDescent="0.25">
      <c r="A1" s="206" t="s">
        <v>151</v>
      </c>
      <c r="B1" s="206"/>
      <c r="C1" s="206"/>
      <c r="D1" s="206"/>
      <c r="E1" s="206"/>
      <c r="F1" s="206"/>
    </row>
    <row r="2" spans="1:16" s="68" customFormat="1" x14ac:dyDescent="0.25">
      <c r="A2" s="66" t="s">
        <v>107</v>
      </c>
      <c r="B2" s="66" t="s">
        <v>108</v>
      </c>
      <c r="C2" s="66" t="s">
        <v>109</v>
      </c>
      <c r="D2" s="84" t="s">
        <v>110</v>
      </c>
      <c r="E2" s="85"/>
      <c r="F2" s="85"/>
      <c r="G2" s="85"/>
      <c r="H2" s="86"/>
      <c r="I2" s="87" t="s">
        <v>111</v>
      </c>
      <c r="J2" s="87"/>
      <c r="K2" s="87"/>
      <c r="L2" s="93"/>
      <c r="M2" s="87" t="s">
        <v>112</v>
      </c>
      <c r="N2" s="87"/>
      <c r="O2" s="87"/>
      <c r="P2" s="91"/>
    </row>
    <row r="3" spans="1:16" s="68" customFormat="1" ht="42.6" customHeight="1" x14ac:dyDescent="0.25">
      <c r="A3" s="66"/>
      <c r="B3" s="66"/>
      <c r="C3" s="66"/>
      <c r="D3" s="70" t="s">
        <v>110</v>
      </c>
      <c r="E3" s="70" t="s">
        <v>137</v>
      </c>
      <c r="F3" s="70" t="s">
        <v>116</v>
      </c>
      <c r="G3" s="88" t="s">
        <v>139</v>
      </c>
      <c r="H3" s="98" t="s">
        <v>140</v>
      </c>
      <c r="I3" s="70" t="s">
        <v>110</v>
      </c>
      <c r="J3" s="70" t="s">
        <v>137</v>
      </c>
      <c r="K3" s="70" t="s">
        <v>116</v>
      </c>
      <c r="L3" s="89" t="s">
        <v>141</v>
      </c>
      <c r="M3" s="70" t="s">
        <v>110</v>
      </c>
      <c r="N3" s="70" t="s">
        <v>137</v>
      </c>
      <c r="O3" s="70" t="s">
        <v>116</v>
      </c>
      <c r="P3" s="89" t="s">
        <v>141</v>
      </c>
    </row>
    <row r="4" spans="1:16" s="68" customFormat="1" ht="73.8" customHeight="1" x14ac:dyDescent="0.25">
      <c r="A4" s="84" t="s">
        <v>142</v>
      </c>
      <c r="B4" s="85"/>
      <c r="C4" s="85"/>
      <c r="D4" s="85"/>
      <c r="E4" s="85"/>
      <c r="F4" s="86"/>
      <c r="G4" s="88"/>
      <c r="H4" s="99"/>
      <c r="I4" s="103" t="str">
        <f>Ярославль!I6</f>
        <v>Получено положительное заключение 
№ 76-1-1-3-062002-2023 от 13.10.2023</v>
      </c>
      <c r="J4" s="104"/>
      <c r="K4" s="105"/>
      <c r="L4" s="92"/>
      <c r="M4" s="103" t="str">
        <f>Ярославль!I8</f>
        <v>Получено положительное заключение 09.09.2024</v>
      </c>
      <c r="N4" s="104"/>
      <c r="O4" s="105"/>
      <c r="P4" s="92"/>
    </row>
    <row r="5" spans="1:16" s="135" customFormat="1" ht="24.6" customHeight="1" x14ac:dyDescent="0.35">
      <c r="A5" s="140" t="s">
        <v>117</v>
      </c>
      <c r="B5" s="141"/>
      <c r="C5" s="126" t="s">
        <v>118</v>
      </c>
      <c r="D5" s="127">
        <f>SUM(I5:O5)</f>
        <v>3087158</v>
      </c>
      <c r="E5" s="128"/>
      <c r="F5" s="129"/>
      <c r="G5" s="88"/>
      <c r="H5" s="99"/>
      <c r="I5" s="127">
        <f>Ярославль!J6</f>
        <v>891931</v>
      </c>
      <c r="J5" s="142"/>
      <c r="K5" s="143"/>
      <c r="L5" s="92"/>
      <c r="M5" s="127">
        <f>Ярославль!J8</f>
        <v>2195227</v>
      </c>
      <c r="N5" s="142"/>
      <c r="O5" s="143"/>
      <c r="P5" s="92"/>
    </row>
    <row r="6" spans="1:16" s="135" customFormat="1" ht="24.6" customHeight="1" x14ac:dyDescent="0.35">
      <c r="A6" s="140" t="s">
        <v>138</v>
      </c>
      <c r="B6" s="141"/>
      <c r="C6" s="136"/>
      <c r="D6" s="127">
        <f>SUM(I6:O6)</f>
        <v>96360</v>
      </c>
      <c r="E6" s="128"/>
      <c r="F6" s="129"/>
      <c r="G6" s="88"/>
      <c r="H6" s="100"/>
      <c r="I6" s="137">
        <f>Ярославль!L6</f>
        <v>96360</v>
      </c>
      <c r="J6" s="138"/>
      <c r="K6" s="139"/>
      <c r="L6" s="92"/>
      <c r="M6" s="137">
        <f>Ярославль!L8</f>
        <v>0</v>
      </c>
      <c r="N6" s="138"/>
      <c r="O6" s="139"/>
      <c r="P6" s="92"/>
    </row>
    <row r="7" spans="1:16" s="156" customFormat="1" ht="24.6" customHeight="1" x14ac:dyDescent="0.35">
      <c r="A7" s="148" t="s">
        <v>147</v>
      </c>
      <c r="B7" s="149"/>
      <c r="C7" s="150"/>
      <c r="D7" s="151">
        <f>SUM(G8:G21)</f>
        <v>0.44533955053949731</v>
      </c>
      <c r="E7" s="152"/>
      <c r="F7" s="153"/>
      <c r="G7" s="88"/>
      <c r="H7" s="154">
        <f>SUM(H8:H21)</f>
        <v>1</v>
      </c>
      <c r="I7" s="151">
        <f>SUM(L8:L21)</f>
        <v>0.93013982947837925</v>
      </c>
      <c r="J7" s="152"/>
      <c r="K7" s="153"/>
      <c r="L7" s="90"/>
      <c r="M7" s="151">
        <f>SUM(P8:P21)</f>
        <v>0.19977171438214258</v>
      </c>
      <c r="N7" s="152"/>
      <c r="O7" s="153"/>
      <c r="P7" s="90"/>
    </row>
    <row r="8" spans="1:16" ht="30.6" customHeight="1" x14ac:dyDescent="0.25">
      <c r="A8" s="75">
        <v>1</v>
      </c>
      <c r="B8" s="81" t="s">
        <v>119</v>
      </c>
      <c r="C8" s="75" t="s">
        <v>120</v>
      </c>
      <c r="D8" s="75">
        <f>I8+M8</f>
        <v>10.25</v>
      </c>
      <c r="E8" s="75">
        <f>J8+N8</f>
        <v>9.2040000000000006</v>
      </c>
      <c r="F8" s="79">
        <f>E8/D8</f>
        <v>0.89795121951219514</v>
      </c>
      <c r="G8" s="79">
        <f>E8*H8/D8</f>
        <v>4.4897560975609763E-2</v>
      </c>
      <c r="H8" s="79">
        <v>0.05</v>
      </c>
      <c r="I8" s="75">
        <v>0</v>
      </c>
      <c r="J8" s="75">
        <v>0</v>
      </c>
      <c r="K8" s="79">
        <v>0</v>
      </c>
      <c r="L8" s="79">
        <v>0.05</v>
      </c>
      <c r="M8" s="75">
        <v>10.25</v>
      </c>
      <c r="N8" s="75">
        <v>9.2040000000000006</v>
      </c>
      <c r="O8" s="79">
        <f>N8/M8</f>
        <v>0.89795121951219514</v>
      </c>
      <c r="P8" s="79">
        <f>N8*H8/M8</f>
        <v>4.4897560975609763E-2</v>
      </c>
    </row>
    <row r="9" spans="1:16" ht="30.6" customHeight="1" x14ac:dyDescent="0.25">
      <c r="A9" s="75">
        <v>2</v>
      </c>
      <c r="B9" s="81" t="s">
        <v>121</v>
      </c>
      <c r="C9" s="75" t="s">
        <v>120</v>
      </c>
      <c r="D9" s="75">
        <f t="shared" ref="D9:D21" si="0">I9+M9</f>
        <v>15.824999999999999</v>
      </c>
      <c r="E9" s="75">
        <f t="shared" ref="E9:E21" si="1">J9+N9</f>
        <v>9.0459999999999994</v>
      </c>
      <c r="F9" s="79">
        <f t="shared" ref="F9:F21" si="2">E9/D9</f>
        <v>0.57162717219589254</v>
      </c>
      <c r="G9" s="79">
        <f t="shared" ref="G9:G21" si="3">E9*H9/D9</f>
        <v>2.8581358609794629E-2</v>
      </c>
      <c r="H9" s="79">
        <v>0.05</v>
      </c>
      <c r="I9" s="75">
        <v>5.5750000000000002</v>
      </c>
      <c r="J9" s="75">
        <v>5.5750000000000002</v>
      </c>
      <c r="K9" s="79">
        <f t="shared" ref="K9:K21" si="4">J9/I9</f>
        <v>1</v>
      </c>
      <c r="L9" s="79">
        <f>J9*H9/I9</f>
        <v>4.9999999999999996E-2</v>
      </c>
      <c r="M9" s="75">
        <v>10.25</v>
      </c>
      <c r="N9" s="75">
        <v>3.4710000000000001</v>
      </c>
      <c r="O9" s="79">
        <f t="shared" ref="O9:O21" si="5">N9/M9</f>
        <v>0.33863414634146344</v>
      </c>
      <c r="P9" s="79">
        <f t="shared" ref="P9:P21" si="6">N9*H9/M9</f>
        <v>1.6931707317073171E-2</v>
      </c>
    </row>
    <row r="10" spans="1:16" ht="30.6" customHeight="1" x14ac:dyDescent="0.25">
      <c r="A10" s="75">
        <v>3</v>
      </c>
      <c r="B10" s="81" t="s">
        <v>122</v>
      </c>
      <c r="C10" s="75" t="s">
        <v>120</v>
      </c>
      <c r="D10" s="75">
        <f t="shared" si="0"/>
        <v>15.824999999999999</v>
      </c>
      <c r="E10" s="75">
        <f t="shared" si="1"/>
        <v>8.4909999999999997</v>
      </c>
      <c r="F10" s="79">
        <f t="shared" si="2"/>
        <v>0.53655608214849926</v>
      </c>
      <c r="G10" s="79">
        <f t="shared" si="3"/>
        <v>2.6827804107424962E-2</v>
      </c>
      <c r="H10" s="79">
        <v>0.05</v>
      </c>
      <c r="I10" s="75">
        <v>5.5750000000000002</v>
      </c>
      <c r="J10" s="75">
        <v>5.5750000000000002</v>
      </c>
      <c r="K10" s="79">
        <f t="shared" si="4"/>
        <v>1</v>
      </c>
      <c r="L10" s="79">
        <f t="shared" ref="L9:L21" si="7">J10*H10/I10</f>
        <v>4.9999999999999996E-2</v>
      </c>
      <c r="M10" s="75">
        <v>10.25</v>
      </c>
      <c r="N10" s="75">
        <v>2.9159999999999999</v>
      </c>
      <c r="O10" s="79">
        <f t="shared" si="5"/>
        <v>0.28448780487804876</v>
      </c>
      <c r="P10" s="79">
        <f t="shared" si="6"/>
        <v>1.422439024390244E-2</v>
      </c>
    </row>
    <row r="11" spans="1:16" ht="30.6" customHeight="1" x14ac:dyDescent="0.25">
      <c r="A11" s="75">
        <v>4</v>
      </c>
      <c r="B11" s="81" t="s">
        <v>123</v>
      </c>
      <c r="C11" s="75" t="s">
        <v>120</v>
      </c>
      <c r="D11" s="75">
        <f t="shared" si="0"/>
        <v>15.824999999999999</v>
      </c>
      <c r="E11" s="75">
        <f t="shared" si="1"/>
        <v>8.3580000000000005</v>
      </c>
      <c r="F11" s="79">
        <f t="shared" si="2"/>
        <v>0.52815165876777259</v>
      </c>
      <c r="G11" s="79">
        <f t="shared" si="3"/>
        <v>2.640758293838863E-2</v>
      </c>
      <c r="H11" s="79">
        <v>0.05</v>
      </c>
      <c r="I11" s="75">
        <v>5.5750000000000002</v>
      </c>
      <c r="J11" s="75">
        <v>5.5750000000000002</v>
      </c>
      <c r="K11" s="79">
        <f t="shared" si="4"/>
        <v>1</v>
      </c>
      <c r="L11" s="79">
        <f t="shared" si="7"/>
        <v>4.9999999999999996E-2</v>
      </c>
      <c r="M11" s="75">
        <v>10.25</v>
      </c>
      <c r="N11" s="75">
        <v>2.7829999999999999</v>
      </c>
      <c r="O11" s="79">
        <f t="shared" si="5"/>
        <v>0.27151219512195124</v>
      </c>
      <c r="P11" s="79">
        <f t="shared" si="6"/>
        <v>1.357560975609756E-2</v>
      </c>
    </row>
    <row r="12" spans="1:16" ht="30.6" customHeight="1" x14ac:dyDescent="0.25">
      <c r="A12" s="75">
        <v>5</v>
      </c>
      <c r="B12" s="81" t="s">
        <v>124</v>
      </c>
      <c r="C12" s="75" t="s">
        <v>120</v>
      </c>
      <c r="D12" s="75">
        <f t="shared" si="0"/>
        <v>15.824999999999999</v>
      </c>
      <c r="E12" s="75">
        <f t="shared" si="1"/>
        <v>8.266</v>
      </c>
      <c r="F12" s="79">
        <f t="shared" si="2"/>
        <v>0.52233807266982624</v>
      </c>
      <c r="G12" s="79">
        <f t="shared" si="3"/>
        <v>0.18281832543443918</v>
      </c>
      <c r="H12" s="79">
        <v>0.35</v>
      </c>
      <c r="I12" s="75">
        <v>5.5750000000000002</v>
      </c>
      <c r="J12" s="75">
        <v>5.5750000000000002</v>
      </c>
      <c r="K12" s="79">
        <f t="shared" si="4"/>
        <v>1</v>
      </c>
      <c r="L12" s="79">
        <f t="shared" si="7"/>
        <v>0.35</v>
      </c>
      <c r="M12" s="75">
        <v>10.25</v>
      </c>
      <c r="N12" s="75">
        <v>2.6909999999999998</v>
      </c>
      <c r="O12" s="79">
        <f t="shared" si="5"/>
        <v>0.26253658536585367</v>
      </c>
      <c r="P12" s="79">
        <f>N12*H12/M12</f>
        <v>9.1887804878048762E-2</v>
      </c>
    </row>
    <row r="13" spans="1:16" ht="30.6" customHeight="1" x14ac:dyDescent="0.25">
      <c r="A13" s="78">
        <v>6</v>
      </c>
      <c r="B13" s="82" t="s">
        <v>125</v>
      </c>
      <c r="C13" s="78" t="s">
        <v>120</v>
      </c>
      <c r="D13" s="75">
        <f t="shared" si="0"/>
        <v>15.824999999999999</v>
      </c>
      <c r="E13" s="75">
        <f t="shared" si="1"/>
        <v>8.2510000000000012</v>
      </c>
      <c r="F13" s="79">
        <f t="shared" si="2"/>
        <v>0.52139020537124814</v>
      </c>
      <c r="G13" s="79">
        <f t="shared" si="3"/>
        <v>1.5641706161137442E-2</v>
      </c>
      <c r="H13" s="79">
        <v>0.03</v>
      </c>
      <c r="I13" s="75">
        <v>5.5750000000000002</v>
      </c>
      <c r="J13" s="75">
        <v>5.5750000000000002</v>
      </c>
      <c r="K13" s="79">
        <f t="shared" si="4"/>
        <v>1</v>
      </c>
      <c r="L13" s="79">
        <f t="shared" si="7"/>
        <v>3.0000000000000002E-2</v>
      </c>
      <c r="M13" s="75">
        <v>10.25</v>
      </c>
      <c r="N13" s="75">
        <v>2.6760000000000002</v>
      </c>
      <c r="O13" s="79">
        <f t="shared" si="5"/>
        <v>0.26107317073170733</v>
      </c>
      <c r="P13" s="79">
        <f t="shared" si="6"/>
        <v>7.8321951219512201E-3</v>
      </c>
    </row>
    <row r="14" spans="1:16" ht="30.6" customHeight="1" x14ac:dyDescent="0.25">
      <c r="A14" s="75">
        <v>7</v>
      </c>
      <c r="B14" s="83" t="s">
        <v>126</v>
      </c>
      <c r="C14" s="75" t="s">
        <v>127</v>
      </c>
      <c r="D14" s="75">
        <f t="shared" si="0"/>
        <v>12966</v>
      </c>
      <c r="E14" s="75">
        <f t="shared" si="1"/>
        <v>2435</v>
      </c>
      <c r="F14" s="79">
        <f>E14/D14</f>
        <v>0.18779885855313899</v>
      </c>
      <c r="G14" s="79">
        <f t="shared" si="3"/>
        <v>3.7559771710627796E-3</v>
      </c>
      <c r="H14" s="79">
        <v>0.02</v>
      </c>
      <c r="I14" s="75">
        <v>2861</v>
      </c>
      <c r="J14" s="75">
        <v>1898</v>
      </c>
      <c r="K14" s="79">
        <f t="shared" si="4"/>
        <v>0.66340440405452639</v>
      </c>
      <c r="L14" s="79">
        <f t="shared" si="7"/>
        <v>1.3268088081090527E-2</v>
      </c>
      <c r="M14" s="75">
        <v>10105</v>
      </c>
      <c r="N14" s="75">
        <v>537</v>
      </c>
      <c r="O14" s="79">
        <f t="shared" si="5"/>
        <v>5.3142008906481943E-2</v>
      </c>
      <c r="P14" s="79">
        <f t="shared" si="6"/>
        <v>1.0628401781296389E-3</v>
      </c>
    </row>
    <row r="15" spans="1:16" ht="30.6" customHeight="1" x14ac:dyDescent="0.25">
      <c r="A15" s="75">
        <v>8</v>
      </c>
      <c r="B15" s="81" t="s">
        <v>128</v>
      </c>
      <c r="C15" s="75" t="s">
        <v>127</v>
      </c>
      <c r="D15" s="75">
        <f t="shared" si="0"/>
        <v>25708</v>
      </c>
      <c r="E15" s="75">
        <f t="shared" si="1"/>
        <v>3236</v>
      </c>
      <c r="F15" s="79">
        <f t="shared" si="2"/>
        <v>0.12587521394118562</v>
      </c>
      <c r="G15" s="79">
        <f t="shared" si="3"/>
        <v>3.7762564182355685E-3</v>
      </c>
      <c r="H15" s="79">
        <v>0.03</v>
      </c>
      <c r="I15" s="75">
        <v>5754</v>
      </c>
      <c r="J15" s="75">
        <v>3236</v>
      </c>
      <c r="K15" s="79">
        <f t="shared" si="4"/>
        <v>0.56239137990962806</v>
      </c>
      <c r="L15" s="79">
        <f t="shared" si="7"/>
        <v>1.6871741397288843E-2</v>
      </c>
      <c r="M15" s="75">
        <v>19954</v>
      </c>
      <c r="N15" s="75">
        <v>0</v>
      </c>
      <c r="O15" s="79">
        <f t="shared" si="5"/>
        <v>0</v>
      </c>
      <c r="P15" s="79">
        <f t="shared" si="6"/>
        <v>0</v>
      </c>
    </row>
    <row r="16" spans="1:16" ht="30.6" customHeight="1" x14ac:dyDescent="0.25">
      <c r="A16" s="75">
        <v>9</v>
      </c>
      <c r="B16" s="81" t="s">
        <v>129</v>
      </c>
      <c r="C16" s="75" t="s">
        <v>130</v>
      </c>
      <c r="D16" s="75">
        <f t="shared" si="0"/>
        <v>4140</v>
      </c>
      <c r="E16" s="75">
        <f t="shared" si="1"/>
        <v>0</v>
      </c>
      <c r="F16" s="79">
        <f t="shared" si="2"/>
        <v>0</v>
      </c>
      <c r="G16" s="79">
        <f t="shared" si="3"/>
        <v>0</v>
      </c>
      <c r="H16" s="79">
        <v>0.03</v>
      </c>
      <c r="I16" s="75">
        <v>1290</v>
      </c>
      <c r="J16" s="75">
        <v>0</v>
      </c>
      <c r="K16" s="79">
        <f t="shared" si="4"/>
        <v>0</v>
      </c>
      <c r="L16" s="79">
        <f t="shared" si="7"/>
        <v>0</v>
      </c>
      <c r="M16" s="75">
        <v>2850</v>
      </c>
      <c r="N16" s="75">
        <v>0</v>
      </c>
      <c r="O16" s="79">
        <f t="shared" si="5"/>
        <v>0</v>
      </c>
      <c r="P16" s="79">
        <f t="shared" si="6"/>
        <v>0</v>
      </c>
    </row>
    <row r="17" spans="1:16" ht="46.2" customHeight="1" x14ac:dyDescent="0.25">
      <c r="A17" s="75">
        <v>10</v>
      </c>
      <c r="B17" s="83" t="s">
        <v>131</v>
      </c>
      <c r="C17" s="75" t="s">
        <v>127</v>
      </c>
      <c r="D17" s="75">
        <f t="shared" si="0"/>
        <v>301</v>
      </c>
      <c r="E17" s="75">
        <f t="shared" si="1"/>
        <v>116</v>
      </c>
      <c r="F17" s="79">
        <f t="shared" si="2"/>
        <v>0.38538205980066448</v>
      </c>
      <c r="G17" s="79">
        <f t="shared" si="3"/>
        <v>3.8538205980066451E-2</v>
      </c>
      <c r="H17" s="79">
        <v>0.1</v>
      </c>
      <c r="I17" s="75">
        <v>98</v>
      </c>
      <c r="J17" s="75">
        <v>98</v>
      </c>
      <c r="K17" s="79">
        <f t="shared" si="4"/>
        <v>1</v>
      </c>
      <c r="L17" s="79">
        <f t="shared" si="7"/>
        <v>0.1</v>
      </c>
      <c r="M17" s="75">
        <v>203</v>
      </c>
      <c r="N17" s="75">
        <v>18</v>
      </c>
      <c r="O17" s="79">
        <f t="shared" si="5"/>
        <v>8.8669950738916259E-2</v>
      </c>
      <c r="P17" s="79">
        <f t="shared" si="6"/>
        <v>8.8669950738916262E-3</v>
      </c>
    </row>
    <row r="18" spans="1:16" ht="30.6" customHeight="1" x14ac:dyDescent="0.25">
      <c r="A18" s="75">
        <v>11</v>
      </c>
      <c r="B18" s="81" t="s">
        <v>132</v>
      </c>
      <c r="C18" s="75" t="s">
        <v>127</v>
      </c>
      <c r="D18" s="75">
        <f t="shared" si="0"/>
        <v>301</v>
      </c>
      <c r="E18" s="75">
        <f t="shared" si="1"/>
        <v>99</v>
      </c>
      <c r="F18" s="79">
        <f t="shared" si="2"/>
        <v>0.32890365448504982</v>
      </c>
      <c r="G18" s="79">
        <f t="shared" si="3"/>
        <v>3.2890365448504988E-2</v>
      </c>
      <c r="H18" s="79">
        <v>0.1</v>
      </c>
      <c r="I18" s="75">
        <v>98</v>
      </c>
      <c r="J18" s="75">
        <v>98</v>
      </c>
      <c r="K18" s="79">
        <f t="shared" si="4"/>
        <v>1</v>
      </c>
      <c r="L18" s="79">
        <f t="shared" si="7"/>
        <v>0.1</v>
      </c>
      <c r="M18" s="75">
        <v>203</v>
      </c>
      <c r="N18" s="75">
        <v>1</v>
      </c>
      <c r="O18" s="79">
        <f t="shared" si="5"/>
        <v>4.9261083743842365E-3</v>
      </c>
      <c r="P18" s="79">
        <f t="shared" si="6"/>
        <v>4.9261083743842372E-4</v>
      </c>
    </row>
    <row r="19" spans="1:16" ht="30.6" customHeight="1" x14ac:dyDescent="0.25">
      <c r="A19" s="75">
        <v>12</v>
      </c>
      <c r="B19" s="81" t="s">
        <v>133</v>
      </c>
      <c r="C19" s="75" t="s">
        <v>134</v>
      </c>
      <c r="D19" s="75">
        <f t="shared" si="0"/>
        <v>16.45</v>
      </c>
      <c r="E19" s="75">
        <f t="shared" si="1"/>
        <v>5.75</v>
      </c>
      <c r="F19" s="79">
        <f t="shared" si="2"/>
        <v>0.34954407294832829</v>
      </c>
      <c r="G19" s="79">
        <f t="shared" si="3"/>
        <v>3.4954407294832832E-2</v>
      </c>
      <c r="H19" s="79">
        <v>0.1</v>
      </c>
      <c r="I19" s="75">
        <v>5.75</v>
      </c>
      <c r="J19" s="75">
        <v>5.75</v>
      </c>
      <c r="K19" s="79">
        <f t="shared" si="4"/>
        <v>1</v>
      </c>
      <c r="L19" s="79">
        <f t="shared" si="7"/>
        <v>0.1</v>
      </c>
      <c r="M19" s="75">
        <v>10.7</v>
      </c>
      <c r="N19" s="75">
        <v>0</v>
      </c>
      <c r="O19" s="79">
        <f t="shared" si="5"/>
        <v>0</v>
      </c>
      <c r="P19" s="79">
        <f t="shared" si="6"/>
        <v>0</v>
      </c>
    </row>
    <row r="20" spans="1:16" ht="48" customHeight="1" x14ac:dyDescent="0.25">
      <c r="A20" s="75">
        <v>13</v>
      </c>
      <c r="B20" s="83" t="s">
        <v>135</v>
      </c>
      <c r="C20" s="75" t="s">
        <v>127</v>
      </c>
      <c r="D20" s="75">
        <f t="shared" si="0"/>
        <v>32</v>
      </c>
      <c r="E20" s="75">
        <f t="shared" si="1"/>
        <v>0</v>
      </c>
      <c r="F20" s="79">
        <f>E20/D20</f>
        <v>0</v>
      </c>
      <c r="G20" s="79">
        <f t="shared" si="3"/>
        <v>0</v>
      </c>
      <c r="H20" s="79">
        <v>0.02</v>
      </c>
      <c r="I20" s="75">
        <v>10</v>
      </c>
      <c r="J20" s="75">
        <v>0</v>
      </c>
      <c r="K20" s="79">
        <f t="shared" si="4"/>
        <v>0</v>
      </c>
      <c r="L20" s="79">
        <f t="shared" si="7"/>
        <v>0</v>
      </c>
      <c r="M20" s="75">
        <v>22</v>
      </c>
      <c r="N20" s="75">
        <v>0</v>
      </c>
      <c r="O20" s="79">
        <f t="shared" si="5"/>
        <v>0</v>
      </c>
      <c r="P20" s="79">
        <f t="shared" si="6"/>
        <v>0</v>
      </c>
    </row>
    <row r="21" spans="1:16" ht="30.6" customHeight="1" x14ac:dyDescent="0.25">
      <c r="A21" s="75">
        <v>14</v>
      </c>
      <c r="B21" s="83" t="s">
        <v>136</v>
      </c>
      <c r="C21" s="75" t="s">
        <v>127</v>
      </c>
      <c r="D21" s="75">
        <f t="shared" si="0"/>
        <v>32</v>
      </c>
      <c r="E21" s="75">
        <f t="shared" si="1"/>
        <v>10</v>
      </c>
      <c r="F21" s="79">
        <f t="shared" si="2"/>
        <v>0.3125</v>
      </c>
      <c r="G21" s="79">
        <f t="shared" si="3"/>
        <v>6.2500000000000003E-3</v>
      </c>
      <c r="H21" s="79">
        <v>0.02</v>
      </c>
      <c r="I21" s="75">
        <v>10</v>
      </c>
      <c r="J21" s="75">
        <v>10</v>
      </c>
      <c r="K21" s="79">
        <f t="shared" si="4"/>
        <v>1</v>
      </c>
      <c r="L21" s="79">
        <f t="shared" si="7"/>
        <v>0.02</v>
      </c>
      <c r="M21" s="75">
        <v>22</v>
      </c>
      <c r="N21" s="75">
        <v>0</v>
      </c>
      <c r="O21" s="79">
        <f t="shared" si="5"/>
        <v>0</v>
      </c>
      <c r="P21" s="79">
        <f t="shared" si="6"/>
        <v>0</v>
      </c>
    </row>
    <row r="22" spans="1:16" x14ac:dyDescent="0.25">
      <c r="B22" s="80"/>
      <c r="C22" s="80"/>
      <c r="D22" s="80"/>
      <c r="E22" s="80"/>
      <c r="F22" s="80"/>
      <c r="G22" s="80"/>
      <c r="H22" s="80"/>
      <c r="I22" s="80"/>
      <c r="J22" s="80"/>
      <c r="K22" s="80"/>
      <c r="L22" s="80"/>
      <c r="M22" s="80"/>
      <c r="P22" s="80"/>
    </row>
    <row r="23" spans="1:16" x14ac:dyDescent="0.25">
      <c r="B23" s="80"/>
      <c r="C23" s="80"/>
      <c r="D23" s="80"/>
      <c r="E23" s="80"/>
      <c r="F23" s="80"/>
      <c r="G23" s="80"/>
      <c r="H23" s="80"/>
      <c r="I23" s="80"/>
      <c r="J23" s="80"/>
      <c r="K23" s="80"/>
      <c r="L23" s="80"/>
      <c r="M23" s="80"/>
      <c r="P23" s="80"/>
    </row>
  </sheetData>
  <mergeCells count="27">
    <mergeCell ref="A1:F1"/>
    <mergeCell ref="A7:C7"/>
    <mergeCell ref="D7:F7"/>
    <mergeCell ref="I7:K7"/>
    <mergeCell ref="M7:O7"/>
    <mergeCell ref="A6:B6"/>
    <mergeCell ref="D6:F6"/>
    <mergeCell ref="I6:K6"/>
    <mergeCell ref="M6:O6"/>
    <mergeCell ref="A4:F4"/>
    <mergeCell ref="I4:K4"/>
    <mergeCell ref="M4:O4"/>
    <mergeCell ref="A5:B5"/>
    <mergeCell ref="C5:C6"/>
    <mergeCell ref="D5:F5"/>
    <mergeCell ref="I5:K5"/>
    <mergeCell ref="G3:G7"/>
    <mergeCell ref="H3:H6"/>
    <mergeCell ref="L3:L7"/>
    <mergeCell ref="P3:P7"/>
    <mergeCell ref="M5:O5"/>
    <mergeCell ref="A2:A3"/>
    <mergeCell ref="B2:B3"/>
    <mergeCell ref="C2:C3"/>
    <mergeCell ref="D2:H2"/>
    <mergeCell ref="I2:K2"/>
    <mergeCell ref="M2:O2"/>
  </mergeCells>
  <conditionalFormatting sqref="F8:H21">
    <cfRule type="dataBar" priority="16">
      <dataBar>
        <cfvo type="min"/>
        <cfvo type="num" val="1"/>
        <color theme="4" tint="0.79998168889431442"/>
      </dataBar>
      <extLst>
        <ext xmlns:x14="http://schemas.microsoft.com/office/spreadsheetml/2009/9/main" uri="{B025F937-C7B1-47D3-B67F-A62EFF666E3E}">
          <x14:id>{3AB67F35-7D2E-475A-AE48-A6F744B95EFE}</x14:id>
        </ext>
      </extLst>
    </cfRule>
  </conditionalFormatting>
  <conditionalFormatting sqref="K8:K21">
    <cfRule type="dataBar" priority="15">
      <dataBar>
        <cfvo type="min"/>
        <cfvo type="num" val="1"/>
        <color theme="4" tint="0.79998168889431442"/>
      </dataBar>
      <extLst>
        <ext xmlns:x14="http://schemas.microsoft.com/office/spreadsheetml/2009/9/main" uri="{B025F937-C7B1-47D3-B67F-A62EFF666E3E}">
          <x14:id>{2A7E7C00-CB84-475B-ACBD-9F22B2528D12}</x14:id>
        </ext>
      </extLst>
    </cfRule>
  </conditionalFormatting>
  <conditionalFormatting sqref="O8:O21">
    <cfRule type="dataBar" priority="14">
      <dataBar>
        <cfvo type="min"/>
        <cfvo type="num" val="1"/>
        <color theme="4" tint="0.79998168889431442"/>
      </dataBar>
      <extLst>
        <ext xmlns:x14="http://schemas.microsoft.com/office/spreadsheetml/2009/9/main" uri="{B025F937-C7B1-47D3-B67F-A62EFF666E3E}">
          <x14:id>{C8D124D0-2F5C-4463-AA85-0C7544011E96}</x14:id>
        </ext>
      </extLst>
    </cfRule>
  </conditionalFormatting>
  <conditionalFormatting sqref="D7">
    <cfRule type="dataBar" priority="11">
      <dataBar>
        <cfvo type="min"/>
        <cfvo type="num" val="1"/>
        <color theme="4" tint="0.79998168889431442"/>
      </dataBar>
      <extLst>
        <ext xmlns:x14="http://schemas.microsoft.com/office/spreadsheetml/2009/9/main" uri="{B025F937-C7B1-47D3-B67F-A62EFF666E3E}">
          <x14:id>{5D23DEF9-8C11-4AE0-8DE9-CB0B63256F5D}</x14:id>
        </ext>
      </extLst>
    </cfRule>
  </conditionalFormatting>
  <conditionalFormatting sqref="I7">
    <cfRule type="dataBar" priority="10">
      <dataBar>
        <cfvo type="min"/>
        <cfvo type="num" val="1"/>
        <color theme="4" tint="0.79998168889431442"/>
      </dataBar>
      <extLst>
        <ext xmlns:x14="http://schemas.microsoft.com/office/spreadsheetml/2009/9/main" uri="{B025F937-C7B1-47D3-B67F-A62EFF666E3E}">
          <x14:id>{5F7E912A-1AD0-45E5-A974-FF94732C29C3}</x14:id>
        </ext>
      </extLst>
    </cfRule>
  </conditionalFormatting>
  <conditionalFormatting sqref="L8:L21">
    <cfRule type="dataBar" priority="6">
      <dataBar>
        <cfvo type="min"/>
        <cfvo type="num" val="1"/>
        <color theme="4" tint="0.79998168889431442"/>
      </dataBar>
      <extLst>
        <ext xmlns:x14="http://schemas.microsoft.com/office/spreadsheetml/2009/9/main" uri="{B025F937-C7B1-47D3-B67F-A62EFF666E3E}">
          <x14:id>{A72259DD-21C5-47E9-80F2-0E9CDB755D01}</x14:id>
        </ext>
      </extLst>
    </cfRule>
  </conditionalFormatting>
  <conditionalFormatting sqref="P8:P21">
    <cfRule type="dataBar" priority="2">
      <dataBar>
        <cfvo type="min"/>
        <cfvo type="num" val="1"/>
        <color theme="4" tint="0.79998168889431442"/>
      </dataBar>
      <extLst>
        <ext xmlns:x14="http://schemas.microsoft.com/office/spreadsheetml/2009/9/main" uri="{B025F937-C7B1-47D3-B67F-A62EFF666E3E}">
          <x14:id>{F6B328BD-0508-404F-BC00-EA8A620C708E}</x14:id>
        </ext>
      </extLst>
    </cfRule>
  </conditionalFormatting>
  <conditionalFormatting sqref="M7">
    <cfRule type="dataBar" priority="1">
      <dataBar>
        <cfvo type="min"/>
        <cfvo type="num" val="1"/>
        <color theme="4" tint="0.79998168889431442"/>
      </dataBar>
      <extLst>
        <ext xmlns:x14="http://schemas.microsoft.com/office/spreadsheetml/2009/9/main" uri="{B025F937-C7B1-47D3-B67F-A62EFF666E3E}">
          <x14:id>{A7FFC9F8-FB77-478A-9538-55419DF31A60}</x14:id>
        </ext>
      </extLst>
    </cfRule>
  </conditionalFormatting>
  <pageMargins left="0.7" right="0.7" top="0.75" bottom="0.75" header="0.3" footer="0.3"/>
  <pageSetup paperSize="8" fitToHeight="0" orientation="landscape" r:id="rId1"/>
  <extLst>
    <ext xmlns:x14="http://schemas.microsoft.com/office/spreadsheetml/2009/9/main" uri="{78C0D931-6437-407d-A8EE-F0AAD7539E65}">
      <x14:conditionalFormattings>
        <x14:conditionalFormatting xmlns:xm="http://schemas.microsoft.com/office/excel/2006/main">
          <x14:cfRule type="dataBar" id="{3AB67F35-7D2E-475A-AE48-A6F744B95EFE}">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F8:H21</xm:sqref>
        </x14:conditionalFormatting>
        <x14:conditionalFormatting xmlns:xm="http://schemas.microsoft.com/office/excel/2006/main">
          <x14:cfRule type="dataBar" id="{2A7E7C00-CB84-475B-ACBD-9F22B2528D12}">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K8:K21</xm:sqref>
        </x14:conditionalFormatting>
        <x14:conditionalFormatting xmlns:xm="http://schemas.microsoft.com/office/excel/2006/main">
          <x14:cfRule type="dataBar" id="{C8D124D0-2F5C-4463-AA85-0C7544011E96}">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O8:O21</xm:sqref>
        </x14:conditionalFormatting>
        <x14:conditionalFormatting xmlns:xm="http://schemas.microsoft.com/office/excel/2006/main">
          <x14:cfRule type="dataBar" id="{5D23DEF9-8C11-4AE0-8DE9-CB0B63256F5D}">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D7</xm:sqref>
        </x14:conditionalFormatting>
        <x14:conditionalFormatting xmlns:xm="http://schemas.microsoft.com/office/excel/2006/main">
          <x14:cfRule type="dataBar" id="{5F7E912A-1AD0-45E5-A974-FF94732C29C3}">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I7</xm:sqref>
        </x14:conditionalFormatting>
        <x14:conditionalFormatting xmlns:xm="http://schemas.microsoft.com/office/excel/2006/main">
          <x14:cfRule type="dataBar" id="{A72259DD-21C5-47E9-80F2-0E9CDB755D01}">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L8:L21</xm:sqref>
        </x14:conditionalFormatting>
        <x14:conditionalFormatting xmlns:xm="http://schemas.microsoft.com/office/excel/2006/main">
          <x14:cfRule type="dataBar" id="{F6B328BD-0508-404F-BC00-EA8A620C708E}">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P8:P21</xm:sqref>
        </x14:conditionalFormatting>
        <x14:conditionalFormatting xmlns:xm="http://schemas.microsoft.com/office/excel/2006/main">
          <x14:cfRule type="dataBar" id="{A7FFC9F8-FB77-478A-9538-55419DF31A60}">
            <x14:dataBar minLength="0" maxLength="100" border="1" gradient="0" negativeBarBorderColorSameAsPositive="0">
              <x14:cfvo type="autoMin"/>
              <x14:cfvo type="num">
                <xm:f>1</xm:f>
              </x14:cfvo>
              <x14:borderColor theme="1"/>
              <x14:negativeFillColor rgb="FFFF0000"/>
              <x14:negativeBorderColor rgb="FFFF0000"/>
              <x14:axisColor rgb="FF000000"/>
            </x14:dataBar>
          </x14:cfRule>
          <xm:sqref>M7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4"/>
  <sheetViews>
    <sheetView view="pageBreakPreview" zoomScale="55" zoomScaleNormal="70" zoomScaleSheetLayoutView="55" workbookViewId="0">
      <pane xSplit="1" ySplit="3" topLeftCell="B4" activePane="bottomRight" state="frozen"/>
      <selection pane="topRight" activeCell="B1" sqref="B1"/>
      <selection pane="bottomLeft" activeCell="A4" sqref="A4"/>
      <selection pane="bottomRight" activeCell="G17" sqref="G17"/>
    </sheetView>
  </sheetViews>
  <sheetFormatPr defaultRowHeight="18" x14ac:dyDescent="0.3"/>
  <cols>
    <col min="1" max="1" width="14.88671875" style="7" customWidth="1"/>
    <col min="2" max="2" width="15.109375" style="7" customWidth="1"/>
    <col min="3" max="3" width="20.77734375" style="7" customWidth="1"/>
    <col min="4" max="4" width="74.88671875" style="2" customWidth="1"/>
    <col min="5" max="5" width="15.77734375" style="7" customWidth="1"/>
    <col min="6" max="6" width="19" style="7" customWidth="1"/>
    <col min="7" max="7" width="14.77734375" style="7" customWidth="1"/>
    <col min="8" max="8" width="12.21875" style="7" customWidth="1"/>
    <col min="9" max="9" width="35.109375" style="2" customWidth="1"/>
    <col min="10" max="10" width="22.21875" style="7" bestFit="1" customWidth="1"/>
    <col min="11" max="11" width="22.21875" style="7" customWidth="1"/>
    <col min="12" max="12" width="21.77734375" style="7" customWidth="1"/>
    <col min="13" max="13" width="20" style="7" customWidth="1"/>
    <col min="14" max="14" width="20" style="7" hidden="1" customWidth="1"/>
    <col min="15" max="15" width="13.77734375" style="7" customWidth="1"/>
    <col min="16" max="16" width="15.33203125" style="14" customWidth="1"/>
    <col min="17" max="17" width="8.88671875" style="15"/>
    <col min="18" max="16384" width="8.88671875" style="1"/>
  </cols>
  <sheetData>
    <row r="1" spans="1:17" ht="33.6" customHeight="1" x14ac:dyDescent="0.3">
      <c r="A1" s="48" t="s">
        <v>100</v>
      </c>
      <c r="B1" s="48"/>
      <c r="C1" s="48"/>
      <c r="D1" s="48"/>
      <c r="E1" s="48"/>
      <c r="F1" s="48"/>
      <c r="G1" s="48"/>
      <c r="H1" s="48"/>
      <c r="I1" s="48"/>
      <c r="J1" s="48"/>
      <c r="K1" s="48"/>
      <c r="L1" s="48"/>
      <c r="M1" s="48"/>
      <c r="N1" s="48"/>
      <c r="O1" s="48"/>
    </row>
    <row r="2" spans="1:17" ht="23.4" customHeight="1" x14ac:dyDescent="0.3">
      <c r="A2" s="32" t="s">
        <v>0</v>
      </c>
      <c r="B2" s="54" t="s">
        <v>1</v>
      </c>
      <c r="C2" s="54"/>
      <c r="D2" s="53" t="s">
        <v>2</v>
      </c>
      <c r="E2" s="32" t="s">
        <v>85</v>
      </c>
      <c r="F2" s="54" t="s">
        <v>3</v>
      </c>
      <c r="G2" s="54"/>
      <c r="H2" s="54"/>
      <c r="I2" s="32" t="s">
        <v>99</v>
      </c>
      <c r="J2" s="32" t="s">
        <v>103</v>
      </c>
      <c r="K2" s="44" t="s">
        <v>104</v>
      </c>
      <c r="L2" s="32" t="s">
        <v>90</v>
      </c>
      <c r="M2" s="57" t="s">
        <v>91</v>
      </c>
      <c r="N2" s="57" t="s">
        <v>92</v>
      </c>
      <c r="O2" s="57" t="s">
        <v>4</v>
      </c>
      <c r="P2" s="33" t="s">
        <v>54</v>
      </c>
      <c r="Q2" s="1"/>
    </row>
    <row r="3" spans="1:17" ht="70.2" customHeight="1" x14ac:dyDescent="0.3">
      <c r="A3" s="32"/>
      <c r="B3" s="16" t="s">
        <v>22</v>
      </c>
      <c r="C3" s="17" t="s">
        <v>21</v>
      </c>
      <c r="D3" s="53"/>
      <c r="E3" s="32"/>
      <c r="F3" s="18" t="s">
        <v>86</v>
      </c>
      <c r="G3" s="16" t="s">
        <v>87</v>
      </c>
      <c r="H3" s="16" t="s">
        <v>88</v>
      </c>
      <c r="I3" s="32"/>
      <c r="J3" s="32"/>
      <c r="K3" s="45"/>
      <c r="L3" s="32"/>
      <c r="M3" s="57"/>
      <c r="N3" s="57"/>
      <c r="O3" s="57"/>
      <c r="P3" s="34"/>
      <c r="Q3" s="1"/>
    </row>
    <row r="4" spans="1:17" s="10" customFormat="1" ht="40.799999999999997" customHeight="1" x14ac:dyDescent="0.3">
      <c r="A4" s="49" t="s">
        <v>27</v>
      </c>
      <c r="B4" s="50"/>
      <c r="C4" s="50"/>
      <c r="D4" s="27" t="s">
        <v>102</v>
      </c>
      <c r="E4" s="10">
        <f>SUM(E6:E11)</f>
        <v>26.6</v>
      </c>
      <c r="F4" s="46">
        <f>'Курск детальный '!D8</f>
        <v>0.93279327783915411</v>
      </c>
      <c r="G4" s="46">
        <f>'Курск детальный '!F13</f>
        <v>0.98214285714285721</v>
      </c>
      <c r="H4" s="46">
        <f>'Курск детальный '!F20</f>
        <v>0.79684055841293167</v>
      </c>
      <c r="I4" s="55" t="s">
        <v>93</v>
      </c>
      <c r="J4" s="36">
        <f>SUM(J6:J11)</f>
        <v>3909767</v>
      </c>
      <c r="K4" s="36">
        <f>SUM(K6:K11)</f>
        <v>7656682.8399999999</v>
      </c>
      <c r="L4" s="12">
        <f>SUM(L6:L11)</f>
        <v>1252122</v>
      </c>
      <c r="M4" s="12">
        <f>SUM(M6:M11)</f>
        <v>1638843.91</v>
      </c>
      <c r="N4" s="36">
        <f>SUM(N6:N11)</f>
        <v>386721.90999999992</v>
      </c>
      <c r="O4" s="58">
        <v>0.5</v>
      </c>
      <c r="P4" s="34"/>
    </row>
    <row r="5" spans="1:17" s="10" customFormat="1" ht="40.799999999999997" customHeight="1" x14ac:dyDescent="0.3">
      <c r="A5" s="51"/>
      <c r="B5" s="52"/>
      <c r="C5" s="52"/>
      <c r="D5" s="11" t="s">
        <v>101</v>
      </c>
      <c r="E5" s="28">
        <f>SUM(E6:E10)</f>
        <v>20.7</v>
      </c>
      <c r="F5" s="47"/>
      <c r="G5" s="47"/>
      <c r="H5" s="47"/>
      <c r="I5" s="56"/>
      <c r="J5" s="37"/>
      <c r="K5" s="37"/>
      <c r="L5" s="13">
        <f>L4/J4</f>
        <v>0.32025488986939632</v>
      </c>
      <c r="M5" s="13">
        <f>M4*100%/J4</f>
        <v>0.41916664343425064</v>
      </c>
      <c r="N5" s="37"/>
      <c r="O5" s="59"/>
      <c r="P5" s="35"/>
    </row>
    <row r="6" spans="1:17" ht="72.599999999999994" customHeight="1" x14ac:dyDescent="0.3">
      <c r="A6" s="32" t="s">
        <v>53</v>
      </c>
      <c r="B6" s="39">
        <v>1</v>
      </c>
      <c r="C6" s="4" t="s">
        <v>5</v>
      </c>
      <c r="D6" s="20" t="s">
        <v>11</v>
      </c>
      <c r="E6" s="39">
        <v>3.5</v>
      </c>
      <c r="F6" s="46">
        <f>'Курск детальный '!K13</f>
        <v>1</v>
      </c>
      <c r="G6" s="46">
        <f>'Курск детальный '!K13</f>
        <v>1</v>
      </c>
      <c r="H6" s="46">
        <f>'Курск детальный '!K20</f>
        <v>1</v>
      </c>
      <c r="I6" s="21" t="s">
        <v>16</v>
      </c>
      <c r="J6" s="9">
        <v>256605</v>
      </c>
      <c r="K6" s="41">
        <v>5903835.04</v>
      </c>
      <c r="L6" s="9">
        <v>153153</v>
      </c>
      <c r="M6" s="38">
        <f>1638843910/1000</f>
        <v>1638843.91</v>
      </c>
      <c r="N6" s="40">
        <v>386721.90999999992</v>
      </c>
      <c r="O6" s="16" t="s">
        <v>10</v>
      </c>
      <c r="P6" s="19">
        <f t="shared" ref="P6:P10" si="0">L6/J6</f>
        <v>0.59684339743964454</v>
      </c>
      <c r="Q6" s="1"/>
    </row>
    <row r="7" spans="1:17" ht="72.599999999999994" customHeight="1" x14ac:dyDescent="0.3">
      <c r="A7" s="32"/>
      <c r="B7" s="39"/>
      <c r="C7" s="4" t="s">
        <v>6</v>
      </c>
      <c r="D7" s="20" t="s">
        <v>12</v>
      </c>
      <c r="E7" s="39"/>
      <c r="F7" s="187"/>
      <c r="G7" s="187"/>
      <c r="H7" s="187"/>
      <c r="I7" s="21" t="s">
        <v>17</v>
      </c>
      <c r="J7" s="9">
        <v>464894</v>
      </c>
      <c r="K7" s="42"/>
      <c r="L7" s="9">
        <v>230112</v>
      </c>
      <c r="M7" s="38"/>
      <c r="N7" s="40"/>
      <c r="O7" s="16" t="s">
        <v>10</v>
      </c>
      <c r="P7" s="19">
        <f t="shared" si="0"/>
        <v>0.49497734967540991</v>
      </c>
      <c r="Q7" s="1"/>
    </row>
    <row r="8" spans="1:17" ht="72.599999999999994" customHeight="1" x14ac:dyDescent="0.3">
      <c r="A8" s="32"/>
      <c r="B8" s="5">
        <v>2</v>
      </c>
      <c r="C8" s="4" t="s">
        <v>7</v>
      </c>
      <c r="D8" s="20" t="s">
        <v>13</v>
      </c>
      <c r="E8" s="5">
        <v>1.8</v>
      </c>
      <c r="F8" s="187"/>
      <c r="G8" s="187"/>
      <c r="H8" s="187"/>
      <c r="I8" s="21" t="s">
        <v>18</v>
      </c>
      <c r="J8" s="9">
        <v>395418</v>
      </c>
      <c r="K8" s="42"/>
      <c r="L8" s="9">
        <v>147839</v>
      </c>
      <c r="M8" s="38"/>
      <c r="N8" s="40"/>
      <c r="O8" s="16" t="s">
        <v>10</v>
      </c>
      <c r="P8" s="19">
        <f t="shared" si="0"/>
        <v>0.37388029882301765</v>
      </c>
      <c r="Q8" s="1"/>
    </row>
    <row r="9" spans="1:17" ht="72.599999999999994" customHeight="1" x14ac:dyDescent="0.3">
      <c r="A9" s="32"/>
      <c r="B9" s="5">
        <v>3</v>
      </c>
      <c r="C9" s="4" t="s">
        <v>8</v>
      </c>
      <c r="D9" s="20" t="s">
        <v>14</v>
      </c>
      <c r="E9" s="5">
        <v>8.6</v>
      </c>
      <c r="F9" s="187"/>
      <c r="G9" s="187"/>
      <c r="H9" s="187"/>
      <c r="I9" s="21" t="s">
        <v>19</v>
      </c>
      <c r="J9" s="9">
        <v>1504031</v>
      </c>
      <c r="K9" s="42"/>
      <c r="L9" s="9">
        <v>392714</v>
      </c>
      <c r="M9" s="38"/>
      <c r="N9" s="40"/>
      <c r="O9" s="16" t="s">
        <v>10</v>
      </c>
      <c r="P9" s="19">
        <f t="shared" si="0"/>
        <v>0.26110765004178771</v>
      </c>
      <c r="Q9" s="1"/>
    </row>
    <row r="10" spans="1:17" ht="72.599999999999994" customHeight="1" x14ac:dyDescent="0.3">
      <c r="A10" s="32"/>
      <c r="B10" s="5">
        <v>4</v>
      </c>
      <c r="C10" s="4" t="s">
        <v>9</v>
      </c>
      <c r="D10" s="20" t="s">
        <v>15</v>
      </c>
      <c r="E10" s="5">
        <v>6.8</v>
      </c>
      <c r="F10" s="47"/>
      <c r="G10" s="47"/>
      <c r="H10" s="47"/>
      <c r="I10" s="21" t="s">
        <v>20</v>
      </c>
      <c r="J10" s="9">
        <v>1288819</v>
      </c>
      <c r="K10" s="43"/>
      <c r="L10" s="9">
        <v>328304</v>
      </c>
      <c r="M10" s="38"/>
      <c r="N10" s="40"/>
      <c r="O10" s="16" t="s">
        <v>10</v>
      </c>
      <c r="P10" s="19">
        <f t="shared" si="0"/>
        <v>0.25473243333625589</v>
      </c>
      <c r="Q10" s="1"/>
    </row>
    <row r="11" spans="1:17" ht="72.599999999999994" customHeight="1" x14ac:dyDescent="0.3">
      <c r="A11" s="32"/>
      <c r="B11" s="5">
        <v>5</v>
      </c>
      <c r="C11" s="4" t="s">
        <v>24</v>
      </c>
      <c r="D11" s="22" t="s">
        <v>25</v>
      </c>
      <c r="E11" s="5">
        <v>5.9</v>
      </c>
      <c r="F11" s="19" t="e" cm="1" vm="1">
        <f t="array" aca="1" ref="F11" ca="1">'Курск детальный '!Y8:AA8</f>
        <v>#VALUE!</v>
      </c>
      <c r="G11" s="19">
        <f>'Курск детальный '!AA13</f>
        <v>0.91269841269841268</v>
      </c>
      <c r="H11" s="19">
        <v>0.2</v>
      </c>
      <c r="I11" s="23" t="s">
        <v>26</v>
      </c>
      <c r="K11" s="24">
        <v>1752847.8</v>
      </c>
      <c r="L11" s="9">
        <v>0</v>
      </c>
      <c r="M11" s="38"/>
      <c r="N11" s="40"/>
      <c r="O11" s="16" t="s">
        <v>89</v>
      </c>
      <c r="P11" s="19">
        <f>L11/K11</f>
        <v>0</v>
      </c>
      <c r="Q11" s="1"/>
    </row>
    <row r="12" spans="1:17" x14ac:dyDescent="0.3">
      <c r="Q12" s="1"/>
    </row>
    <row r="13" spans="1:17" x14ac:dyDescent="0.3">
      <c r="M13" s="1"/>
      <c r="N13" s="1"/>
      <c r="Q13" s="1"/>
    </row>
    <row r="14" spans="1:17" x14ac:dyDescent="0.3">
      <c r="Q14" s="1"/>
    </row>
  </sheetData>
  <mergeCells count="32">
    <mergeCell ref="F6:F10"/>
    <mergeCell ref="H6:H10"/>
    <mergeCell ref="G6:G10"/>
    <mergeCell ref="A1:O1"/>
    <mergeCell ref="A4:C5"/>
    <mergeCell ref="N4:N5"/>
    <mergeCell ref="A2:A3"/>
    <mergeCell ref="D2:D3"/>
    <mergeCell ref="B2:C2"/>
    <mergeCell ref="I4:I5"/>
    <mergeCell ref="F2:H2"/>
    <mergeCell ref="L2:L3"/>
    <mergeCell ref="M2:M3"/>
    <mergeCell ref="N2:N3"/>
    <mergeCell ref="O2:O3"/>
    <mergeCell ref="O4:O5"/>
    <mergeCell ref="A6:A11"/>
    <mergeCell ref="P2:P5"/>
    <mergeCell ref="E2:E3"/>
    <mergeCell ref="I2:I3"/>
    <mergeCell ref="J2:J3"/>
    <mergeCell ref="J4:J5"/>
    <mergeCell ref="M6:M11"/>
    <mergeCell ref="B6:B7"/>
    <mergeCell ref="E6:E7"/>
    <mergeCell ref="N6:N11"/>
    <mergeCell ref="K6:K10"/>
    <mergeCell ref="K2:K3"/>
    <mergeCell ref="K4:K5"/>
    <mergeCell ref="F4:F5"/>
    <mergeCell ref="G4:G5"/>
    <mergeCell ref="H4:H5"/>
  </mergeCells>
  <phoneticPr fontId="8" type="noConversion"/>
  <conditionalFormatting sqref="F6:H6 F11">
    <cfRule type="dataBar" priority="73">
      <dataBar>
        <cfvo type="min"/>
        <cfvo type="num" val="1"/>
        <color theme="4" tint="0.39997558519241921"/>
      </dataBar>
      <extLst>
        <ext xmlns:x14="http://schemas.microsoft.com/office/spreadsheetml/2009/9/main" uri="{B025F937-C7B1-47D3-B67F-A62EFF666E3E}">
          <x14:id>{07CCBF2F-5852-47F0-B2CB-EFF1C80071CD}</x14:id>
        </ext>
      </extLst>
    </cfRule>
  </conditionalFormatting>
  <conditionalFormatting sqref="O6:O11">
    <cfRule type="containsText" dxfId="25" priority="72" operator="containsText" text="Да">
      <formula>NOT(ISERROR(SEARCH("Да",O6)))</formula>
    </cfRule>
  </conditionalFormatting>
  <conditionalFormatting sqref="L5:M5 G4:H4 P6:P11 F11 F6:H6">
    <cfRule type="cellIs" dxfId="24" priority="69" stopIfTrue="1" operator="equal">
      <formula>1</formula>
    </cfRule>
  </conditionalFormatting>
  <conditionalFormatting sqref="G11:H11">
    <cfRule type="dataBar" priority="68">
      <dataBar>
        <cfvo type="min"/>
        <cfvo type="num" val="1"/>
        <color theme="4" tint="0.39997558519241921"/>
      </dataBar>
      <extLst>
        <ext xmlns:x14="http://schemas.microsoft.com/office/spreadsheetml/2009/9/main" uri="{B025F937-C7B1-47D3-B67F-A62EFF666E3E}">
          <x14:id>{88809DF3-9A34-4828-B39E-7CCF6862D53D}</x14:id>
        </ext>
      </extLst>
    </cfRule>
  </conditionalFormatting>
  <conditionalFormatting sqref="G11:H11">
    <cfRule type="cellIs" dxfId="23" priority="67" stopIfTrue="1" operator="equal">
      <formula>1</formula>
    </cfRule>
  </conditionalFormatting>
  <conditionalFormatting sqref="F4">
    <cfRule type="dataBar" priority="66">
      <dataBar>
        <cfvo type="min"/>
        <cfvo type="num" val="1"/>
        <color theme="4" tint="0.39997558519241921"/>
      </dataBar>
      <extLst>
        <ext xmlns:x14="http://schemas.microsoft.com/office/spreadsheetml/2009/9/main" uri="{B025F937-C7B1-47D3-B67F-A62EFF666E3E}">
          <x14:id>{AD2BB715-DCA2-474D-80F7-71E8A1899363}</x14:id>
        </ext>
      </extLst>
    </cfRule>
  </conditionalFormatting>
  <conditionalFormatting sqref="F4">
    <cfRule type="cellIs" dxfId="22" priority="65" stopIfTrue="1" operator="equal">
      <formula>1</formula>
    </cfRule>
  </conditionalFormatting>
  <conditionalFormatting sqref="G4:H4">
    <cfRule type="dataBar" priority="64">
      <dataBar>
        <cfvo type="min"/>
        <cfvo type="num" val="1"/>
        <color theme="4" tint="0.39997558519241921"/>
      </dataBar>
      <extLst>
        <ext xmlns:x14="http://schemas.microsoft.com/office/spreadsheetml/2009/9/main" uri="{B025F937-C7B1-47D3-B67F-A62EFF666E3E}">
          <x14:id>{5FAD6247-2B1B-4CA0-B855-1D440441CA08}</x14:id>
        </ext>
      </extLst>
    </cfRule>
  </conditionalFormatting>
  <conditionalFormatting sqref="F4:H4">
    <cfRule type="cellIs" dxfId="21" priority="17" stopIfTrue="1" operator="equal">
      <formula>1</formula>
    </cfRule>
  </conditionalFormatting>
  <conditionalFormatting sqref="L5:M5">
    <cfRule type="dataBar" priority="12">
      <dataBar>
        <cfvo type="min"/>
        <cfvo type="num" val="1"/>
        <color theme="4" tint="0.39997558519241921"/>
      </dataBar>
      <extLst>
        <ext xmlns:x14="http://schemas.microsoft.com/office/spreadsheetml/2009/9/main" uri="{B025F937-C7B1-47D3-B67F-A62EFF666E3E}">
          <x14:id>{9ACE9F31-454C-445D-B0C6-239E6CD42DF3}</x14:id>
        </ext>
      </extLst>
    </cfRule>
  </conditionalFormatting>
  <conditionalFormatting sqref="O4">
    <cfRule type="cellIs" dxfId="20" priority="9" stopIfTrue="1" operator="equal">
      <formula>1</formula>
    </cfRule>
  </conditionalFormatting>
  <conditionalFormatting sqref="O4">
    <cfRule type="dataBar" priority="101">
      <dataBar>
        <cfvo type="min"/>
        <cfvo type="num" val="1"/>
        <color theme="4" tint="0.39997558519241921"/>
      </dataBar>
      <extLst>
        <ext xmlns:x14="http://schemas.microsoft.com/office/spreadsheetml/2009/9/main" uri="{B025F937-C7B1-47D3-B67F-A62EFF666E3E}">
          <x14:id>{91BFBF6E-6A22-41A7-AC7A-3C152EEB2EC8}</x14:id>
        </ext>
      </extLst>
    </cfRule>
  </conditionalFormatting>
  <conditionalFormatting sqref="P6:P11">
    <cfRule type="dataBar" priority="103">
      <dataBar>
        <cfvo type="min"/>
        <cfvo type="num" val="1"/>
        <color theme="4" tint="0.39997558519241921"/>
      </dataBar>
      <extLst>
        <ext xmlns:x14="http://schemas.microsoft.com/office/spreadsheetml/2009/9/main" uri="{B025F937-C7B1-47D3-B67F-A62EFF666E3E}">
          <x14:id>{B4E95418-681A-4E79-AE4D-E216309AA7B3}</x14:id>
        </ext>
      </extLst>
    </cfRule>
  </conditionalFormatting>
  <pageMargins left="0.7" right="0.7" top="0.75" bottom="0.75" header="0.3" footer="0.3"/>
  <pageSetup paperSize="8" scale="59" fitToHeight="0" orientation="landscape" r:id="rId1"/>
  <extLst>
    <ext xmlns:x14="http://schemas.microsoft.com/office/spreadsheetml/2009/9/main" uri="{78C0D931-6437-407d-A8EE-F0AAD7539E65}">
      <x14:conditionalFormattings>
        <x14:conditionalFormatting xmlns:xm="http://schemas.microsoft.com/office/excel/2006/main">
          <x14:cfRule type="dataBar" id="{07CCBF2F-5852-47F0-B2CB-EFF1C80071CD}">
            <x14:dataBar minLength="0" maxLength="100" border="1" gradient="0" negativeBarBorderColorSameAsPositive="0">
              <x14:cfvo type="autoMin"/>
              <x14:cfvo type="num">
                <xm:f>1</xm:f>
              </x14:cfvo>
              <x14:borderColor rgb="FF638EC6"/>
              <x14:negativeFillColor rgb="FFFF0000"/>
              <x14:negativeBorderColor rgb="FFFF0000"/>
              <x14:axisColor rgb="FF000000"/>
            </x14:dataBar>
          </x14:cfRule>
          <xm:sqref>F6:H6 F11</xm:sqref>
        </x14:conditionalFormatting>
        <x14:conditionalFormatting xmlns:xm="http://schemas.microsoft.com/office/excel/2006/main">
          <x14:cfRule type="dataBar" id="{88809DF3-9A34-4828-B39E-7CCF6862D53D}">
            <x14:dataBar minLength="0" maxLength="100" border="1" gradient="0" negativeBarBorderColorSameAsPositive="0">
              <x14:cfvo type="autoMin"/>
              <x14:cfvo type="num">
                <xm:f>1</xm:f>
              </x14:cfvo>
              <x14:borderColor rgb="FF638EC6"/>
              <x14:negativeFillColor rgb="FFFF0000"/>
              <x14:negativeBorderColor rgb="FFFF0000"/>
              <x14:axisColor rgb="FF000000"/>
            </x14:dataBar>
          </x14:cfRule>
          <xm:sqref>G11:H11</xm:sqref>
        </x14:conditionalFormatting>
        <x14:conditionalFormatting xmlns:xm="http://schemas.microsoft.com/office/excel/2006/main">
          <x14:cfRule type="dataBar" id="{AD2BB715-DCA2-474D-80F7-71E8A1899363}">
            <x14:dataBar minLength="0" maxLength="100" border="1" gradient="0" negativeBarBorderColorSameAsPositive="0">
              <x14:cfvo type="autoMin"/>
              <x14:cfvo type="num">
                <xm:f>1</xm:f>
              </x14:cfvo>
              <x14:borderColor rgb="FF638EC6"/>
              <x14:negativeFillColor rgb="FFFF0000"/>
              <x14:negativeBorderColor rgb="FFFF0000"/>
              <x14:axisColor rgb="FF000000"/>
            </x14:dataBar>
          </x14:cfRule>
          <xm:sqref>F4</xm:sqref>
        </x14:conditionalFormatting>
        <x14:conditionalFormatting xmlns:xm="http://schemas.microsoft.com/office/excel/2006/main">
          <x14:cfRule type="dataBar" id="{5FAD6247-2B1B-4CA0-B855-1D440441CA08}">
            <x14:dataBar minLength="0" maxLength="100" border="1" gradient="0" negativeBarBorderColorSameAsPositive="0">
              <x14:cfvo type="autoMin"/>
              <x14:cfvo type="num">
                <xm:f>1</xm:f>
              </x14:cfvo>
              <x14:borderColor rgb="FF638EC6"/>
              <x14:negativeFillColor rgb="FFFF0000"/>
              <x14:negativeBorderColor rgb="FFFF0000"/>
              <x14:axisColor rgb="FF000000"/>
            </x14:dataBar>
          </x14:cfRule>
          <xm:sqref>G4:H4</xm:sqref>
        </x14:conditionalFormatting>
        <x14:conditionalFormatting xmlns:xm="http://schemas.microsoft.com/office/excel/2006/main">
          <x14:cfRule type="dataBar" id="{9ACE9F31-454C-445D-B0C6-239E6CD42DF3}">
            <x14:dataBar minLength="0" maxLength="100" border="1" gradient="0" negativeBarBorderColorSameAsPositive="0">
              <x14:cfvo type="autoMin"/>
              <x14:cfvo type="num">
                <xm:f>1</xm:f>
              </x14:cfvo>
              <x14:borderColor rgb="FF638EC6"/>
              <x14:negativeFillColor rgb="FFFF0000"/>
              <x14:negativeBorderColor rgb="FFFF0000"/>
              <x14:axisColor rgb="FF000000"/>
            </x14:dataBar>
          </x14:cfRule>
          <xm:sqref>L5:M5</xm:sqref>
        </x14:conditionalFormatting>
        <x14:conditionalFormatting xmlns:xm="http://schemas.microsoft.com/office/excel/2006/main">
          <x14:cfRule type="dataBar" id="{91BFBF6E-6A22-41A7-AC7A-3C152EEB2EC8}">
            <x14:dataBar minLength="0" maxLength="100" border="1" gradient="0" negativeBarBorderColorSameAsPositive="0">
              <x14:cfvo type="autoMin"/>
              <x14:cfvo type="num">
                <xm:f>1</xm:f>
              </x14:cfvo>
              <x14:borderColor rgb="FF638EC6"/>
              <x14:negativeFillColor rgb="FFFF0000"/>
              <x14:negativeBorderColor rgb="FFFF0000"/>
              <x14:axisColor rgb="FF000000"/>
            </x14:dataBar>
          </x14:cfRule>
          <xm:sqref>O4</xm:sqref>
        </x14:conditionalFormatting>
        <x14:conditionalFormatting xmlns:xm="http://schemas.microsoft.com/office/excel/2006/main">
          <x14:cfRule type="dataBar" id="{B4E95418-681A-4E79-AE4D-E216309AA7B3}">
            <x14:dataBar minLength="0" maxLength="100" border="1" gradient="0" negativeBarBorderColorSameAsPositive="0">
              <x14:cfvo type="autoMin"/>
              <x14:cfvo type="num">
                <xm:f>1</xm:f>
              </x14:cfvo>
              <x14:borderColor rgb="FF638EC6"/>
              <x14:negativeFillColor rgb="FFFF0000"/>
              <x14:negativeBorderColor rgb="FFFF0000"/>
              <x14:axisColor rgb="FF000000"/>
            </x14:dataBar>
          </x14:cfRule>
          <xm:sqref>P6:P11</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5E82B-98BF-4CDB-8B21-F430EF326D5A}">
  <sheetPr>
    <pageSetUpPr fitToPage="1"/>
  </sheetPr>
  <dimension ref="A1:Q15"/>
  <sheetViews>
    <sheetView view="pageBreakPreview" zoomScale="70" zoomScaleNormal="70" zoomScaleSheetLayoutView="70" workbookViewId="0">
      <pane xSplit="1" ySplit="3" topLeftCell="B4" activePane="bottomRight" state="frozen"/>
      <selection pane="topRight" activeCell="B1" sqref="B1"/>
      <selection pane="bottomLeft" activeCell="A4" sqref="A4"/>
      <selection pane="bottomRight" activeCell="E21" sqref="E21"/>
    </sheetView>
  </sheetViews>
  <sheetFormatPr defaultRowHeight="18" x14ac:dyDescent="0.3"/>
  <cols>
    <col min="1" max="1" width="14.88671875" style="7" customWidth="1"/>
    <col min="2" max="2" width="15.109375" style="7" customWidth="1"/>
    <col min="3" max="3" width="20.77734375" style="7" customWidth="1"/>
    <col min="4" max="4" width="74.88671875" style="2" customWidth="1"/>
    <col min="5" max="5" width="10.21875" style="7" bestFit="1" customWidth="1"/>
    <col min="6" max="7" width="14.77734375" style="7" customWidth="1"/>
    <col min="8" max="8" width="12.21875" style="7" customWidth="1"/>
    <col min="9" max="9" width="35.109375" style="2" customWidth="1"/>
    <col min="10" max="10" width="22.21875" style="7" bestFit="1" customWidth="1"/>
    <col min="11" max="11" width="22.21875" style="7" customWidth="1"/>
    <col min="12" max="12" width="21.77734375" style="7" customWidth="1"/>
    <col min="13" max="13" width="20" style="7" customWidth="1"/>
    <col min="14" max="14" width="20" style="7" hidden="1" customWidth="1"/>
    <col min="15" max="15" width="13.77734375" style="7" customWidth="1"/>
    <col min="16" max="16" width="15.33203125" style="14" customWidth="1"/>
    <col min="17" max="17" width="8.88671875" style="15"/>
    <col min="18" max="16384" width="8.88671875" style="1"/>
  </cols>
  <sheetData>
    <row r="1" spans="1:17" ht="33.6" customHeight="1" x14ac:dyDescent="0.3">
      <c r="A1" s="48" t="s">
        <v>100</v>
      </c>
      <c r="B1" s="48"/>
      <c r="C1" s="48"/>
      <c r="D1" s="48"/>
      <c r="E1" s="48"/>
      <c r="F1" s="48"/>
      <c r="G1" s="48"/>
      <c r="H1" s="48"/>
      <c r="I1" s="48"/>
      <c r="J1" s="48"/>
      <c r="K1" s="48"/>
      <c r="L1" s="48"/>
      <c r="M1" s="48"/>
      <c r="N1" s="48"/>
      <c r="O1" s="48"/>
    </row>
    <row r="2" spans="1:17" ht="23.4" customHeight="1" x14ac:dyDescent="0.3">
      <c r="A2" s="32" t="s">
        <v>0</v>
      </c>
      <c r="B2" s="54" t="s">
        <v>1</v>
      </c>
      <c r="C2" s="54"/>
      <c r="D2" s="53" t="s">
        <v>2</v>
      </c>
      <c r="E2" s="32" t="s">
        <v>85</v>
      </c>
      <c r="F2" s="54" t="s">
        <v>3</v>
      </c>
      <c r="G2" s="54"/>
      <c r="H2" s="54"/>
      <c r="I2" s="32" t="s">
        <v>99</v>
      </c>
      <c r="J2" s="32" t="s">
        <v>105</v>
      </c>
      <c r="K2" s="44" t="s">
        <v>104</v>
      </c>
      <c r="L2" s="32" t="s">
        <v>90</v>
      </c>
      <c r="M2" s="57" t="s">
        <v>91</v>
      </c>
      <c r="N2" s="57" t="s">
        <v>92</v>
      </c>
      <c r="O2" s="57" t="s">
        <v>4</v>
      </c>
      <c r="P2" s="33" t="s">
        <v>54</v>
      </c>
      <c r="Q2" s="1"/>
    </row>
    <row r="3" spans="1:17" ht="106.8" customHeight="1" x14ac:dyDescent="0.3">
      <c r="A3" s="32"/>
      <c r="B3" s="16" t="s">
        <v>22</v>
      </c>
      <c r="C3" s="17" t="s">
        <v>21</v>
      </c>
      <c r="D3" s="53"/>
      <c r="E3" s="32"/>
      <c r="F3" s="18" t="s">
        <v>86</v>
      </c>
      <c r="G3" s="16" t="s">
        <v>87</v>
      </c>
      <c r="H3" s="16" t="s">
        <v>88</v>
      </c>
      <c r="I3" s="32"/>
      <c r="J3" s="32"/>
      <c r="K3" s="45"/>
      <c r="L3" s="32"/>
      <c r="M3" s="57"/>
      <c r="N3" s="57"/>
      <c r="O3" s="57"/>
      <c r="P3" s="34"/>
      <c r="Q3" s="1"/>
    </row>
    <row r="4" spans="1:17" s="10" customFormat="1" ht="40.799999999999997" customHeight="1" x14ac:dyDescent="0.3">
      <c r="A4" s="49" t="s">
        <v>28</v>
      </c>
      <c r="B4" s="50"/>
      <c r="C4" s="62"/>
      <c r="D4" s="27" t="s">
        <v>102</v>
      </c>
      <c r="E4" s="31">
        <f>SUM(E6:E10)</f>
        <v>16.850000000000001</v>
      </c>
      <c r="F4" s="46">
        <f>'Пермь детальный'!D7</f>
        <v>0.65942810176278832</v>
      </c>
      <c r="G4" s="46">
        <f>'Пермь детальный'!F12</f>
        <v>0.92467378410438916</v>
      </c>
      <c r="H4" s="46">
        <f>'Пермь детальный'!F18</f>
        <v>0.29629629629629628</v>
      </c>
      <c r="I4" s="55" t="s">
        <v>94</v>
      </c>
      <c r="J4" s="36">
        <f>SUM(J6:J12)</f>
        <v>2410592</v>
      </c>
      <c r="K4" s="36">
        <f>SUM(K6:K12)</f>
        <v>5712585.7999999998</v>
      </c>
      <c r="L4" s="12">
        <f>SUM(L6:L12)</f>
        <v>134131</v>
      </c>
      <c r="M4" s="12">
        <f>SUM(M6)</f>
        <v>1035020.93571</v>
      </c>
      <c r="N4" s="36">
        <f>SUM(N6)</f>
        <v>900889.93570999999</v>
      </c>
      <c r="O4" s="58">
        <v>0.5</v>
      </c>
      <c r="P4" s="34"/>
    </row>
    <row r="5" spans="1:17" s="10" customFormat="1" ht="40.799999999999997" customHeight="1" x14ac:dyDescent="0.3">
      <c r="A5" s="51"/>
      <c r="B5" s="52"/>
      <c r="C5" s="63"/>
      <c r="D5" s="11" t="s">
        <v>101</v>
      </c>
      <c r="E5" s="28">
        <f>SUM(E6:E7,E9)</f>
        <v>7.2000000000000011</v>
      </c>
      <c r="F5" s="47"/>
      <c r="G5" s="47"/>
      <c r="H5" s="47"/>
      <c r="I5" s="56"/>
      <c r="J5" s="37"/>
      <c r="K5" s="37"/>
      <c r="L5" s="13">
        <f>L4/J4</f>
        <v>5.5642348435571011E-2</v>
      </c>
      <c r="M5" s="13">
        <f>M4*100%/J4</f>
        <v>0.42936379765219496</v>
      </c>
      <c r="N5" s="37"/>
      <c r="O5" s="59"/>
      <c r="P5" s="35"/>
    </row>
    <row r="6" spans="1:17" s="3" customFormat="1" ht="59.4" customHeight="1" x14ac:dyDescent="0.3">
      <c r="A6" s="44" t="s">
        <v>52</v>
      </c>
      <c r="B6" s="5">
        <v>1</v>
      </c>
      <c r="C6" s="4" t="s">
        <v>29</v>
      </c>
      <c r="D6" s="20" t="s">
        <v>34</v>
      </c>
      <c r="E6" s="6">
        <v>2.2200000000000002</v>
      </c>
      <c r="F6" s="19">
        <f>'Пермь детальный'!I7</f>
        <v>0.99241653945709174</v>
      </c>
      <c r="G6" s="19">
        <f>'Пермь детальный'!K12</f>
        <v>1</v>
      </c>
      <c r="H6" s="19">
        <f>'Пермь детальный'!K18</f>
        <v>1</v>
      </c>
      <c r="I6" s="21" t="s">
        <v>38</v>
      </c>
      <c r="J6" s="9">
        <v>322622</v>
      </c>
      <c r="K6" s="30">
        <f>J6</f>
        <v>322622</v>
      </c>
      <c r="L6" s="9">
        <v>134131</v>
      </c>
      <c r="M6" s="38">
        <f>1035020935.71/1000</f>
        <v>1035020.93571</v>
      </c>
      <c r="N6" s="40">
        <v>900889.93570999999</v>
      </c>
      <c r="O6" s="16" t="s">
        <v>10</v>
      </c>
      <c r="P6" s="19">
        <f t="shared" ref="P6:P12" si="0">L6/J6</f>
        <v>0.41575280049097707</v>
      </c>
    </row>
    <row r="7" spans="1:17" s="3" customFormat="1" ht="59.4" customHeight="1" x14ac:dyDescent="0.3">
      <c r="A7" s="60"/>
      <c r="B7" s="5">
        <v>2</v>
      </c>
      <c r="C7" s="4" t="s">
        <v>30</v>
      </c>
      <c r="D7" s="20" t="s">
        <v>35</v>
      </c>
      <c r="E7" s="6">
        <v>3.5</v>
      </c>
      <c r="F7" s="19">
        <f>'Пермь детальный'!M7</f>
        <v>0.81319461189667464</v>
      </c>
      <c r="G7" s="19">
        <f>'Пермь детальный'!O12</f>
        <v>1</v>
      </c>
      <c r="H7" s="19">
        <f>'Пермь детальный'!O19</f>
        <v>0.27166530834012498</v>
      </c>
      <c r="I7" s="21" t="s">
        <v>39</v>
      </c>
      <c r="J7" s="9">
        <v>898210</v>
      </c>
      <c r="K7" s="30">
        <f>J7</f>
        <v>898210</v>
      </c>
      <c r="L7" s="9">
        <v>0</v>
      </c>
      <c r="M7" s="38"/>
      <c r="N7" s="40"/>
      <c r="O7" s="16" t="s">
        <v>10</v>
      </c>
      <c r="P7" s="19">
        <f t="shared" si="0"/>
        <v>0</v>
      </c>
    </row>
    <row r="8" spans="1:17" s="3" customFormat="1" ht="59.4" customHeight="1" x14ac:dyDescent="0.3">
      <c r="A8" s="60"/>
      <c r="B8" s="5">
        <v>3</v>
      </c>
      <c r="C8" s="4" t="s">
        <v>31</v>
      </c>
      <c r="D8" s="25" t="s">
        <v>36</v>
      </c>
      <c r="E8" s="5">
        <v>9.65</v>
      </c>
      <c r="F8" s="19">
        <f>'Пермь детальный'!Q7</f>
        <v>0.52058826677614667</v>
      </c>
      <c r="G8" s="19">
        <f>'Пермь детальный'!S12</f>
        <v>0.86853002070393381</v>
      </c>
      <c r="H8" s="19">
        <f>'Пермь детальный'!S19</f>
        <v>0</v>
      </c>
      <c r="I8" s="26" t="s">
        <v>41</v>
      </c>
      <c r="K8" s="24">
        <v>3301993.8</v>
      </c>
      <c r="L8" s="9">
        <v>0</v>
      </c>
      <c r="M8" s="38"/>
      <c r="N8" s="40"/>
      <c r="O8" s="16" t="s">
        <v>89</v>
      </c>
      <c r="P8" s="19">
        <f>L8/K8</f>
        <v>0</v>
      </c>
    </row>
    <row r="9" spans="1:17" s="3" customFormat="1" ht="59.4" customHeight="1" x14ac:dyDescent="0.3">
      <c r="A9" s="60"/>
      <c r="B9" s="5">
        <v>4</v>
      </c>
      <c r="C9" s="4" t="s">
        <v>32</v>
      </c>
      <c r="D9" s="20" t="s">
        <v>37</v>
      </c>
      <c r="E9" s="5">
        <v>1.48</v>
      </c>
      <c r="F9" s="19">
        <f>'Пермь детальный'!U7</f>
        <v>0.9538506460392624</v>
      </c>
      <c r="G9" s="19">
        <f>'Пермь детальный'!W12</f>
        <v>1</v>
      </c>
      <c r="H9" s="19">
        <f>'Пермь детальный'!W19</f>
        <v>0.97058823529411764</v>
      </c>
      <c r="I9" s="21" t="s">
        <v>40</v>
      </c>
      <c r="J9" s="9">
        <v>425009</v>
      </c>
      <c r="K9" s="30">
        <f>J9</f>
        <v>425009</v>
      </c>
      <c r="L9" s="9">
        <v>0</v>
      </c>
      <c r="M9" s="38"/>
      <c r="N9" s="40"/>
      <c r="O9" s="16" t="s">
        <v>89</v>
      </c>
      <c r="P9" s="19">
        <f t="shared" si="0"/>
        <v>0</v>
      </c>
    </row>
    <row r="10" spans="1:17" s="3" customFormat="1" ht="59.4" hidden="1" customHeight="1" x14ac:dyDescent="0.3">
      <c r="A10" s="60"/>
      <c r="B10" s="57" t="s">
        <v>48</v>
      </c>
      <c r="C10" s="4" t="s">
        <v>45</v>
      </c>
      <c r="D10" s="20" t="s">
        <v>42</v>
      </c>
      <c r="E10" s="39" t="s">
        <v>23</v>
      </c>
      <c r="F10" s="19">
        <v>0</v>
      </c>
      <c r="G10" s="61" t="s">
        <v>23</v>
      </c>
      <c r="H10" s="61"/>
      <c r="I10" s="21" t="s">
        <v>49</v>
      </c>
      <c r="J10" s="9">
        <v>263520</v>
      </c>
      <c r="K10" s="30">
        <f>J10</f>
        <v>263520</v>
      </c>
      <c r="L10" s="9">
        <v>0</v>
      </c>
      <c r="M10" s="38"/>
      <c r="N10" s="40"/>
      <c r="O10" s="32" t="s">
        <v>23</v>
      </c>
      <c r="P10" s="19">
        <f t="shared" si="0"/>
        <v>0</v>
      </c>
    </row>
    <row r="11" spans="1:17" s="3" customFormat="1" ht="59.4" hidden="1" customHeight="1" x14ac:dyDescent="0.3">
      <c r="A11" s="60"/>
      <c r="B11" s="57"/>
      <c r="C11" s="4" t="s">
        <v>46</v>
      </c>
      <c r="D11" s="20" t="s">
        <v>43</v>
      </c>
      <c r="E11" s="39"/>
      <c r="F11" s="19">
        <v>0</v>
      </c>
      <c r="G11" s="61"/>
      <c r="H11" s="61"/>
      <c r="I11" s="21" t="s">
        <v>95</v>
      </c>
      <c r="J11" s="9">
        <v>226648</v>
      </c>
      <c r="K11" s="30">
        <f>J11</f>
        <v>226648</v>
      </c>
      <c r="L11" s="9">
        <v>0</v>
      </c>
      <c r="M11" s="38"/>
      <c r="N11" s="40"/>
      <c r="O11" s="32"/>
      <c r="P11" s="19">
        <f t="shared" si="0"/>
        <v>0</v>
      </c>
    </row>
    <row r="12" spans="1:17" s="3" customFormat="1" ht="59.4" hidden="1" customHeight="1" x14ac:dyDescent="0.3">
      <c r="A12" s="45"/>
      <c r="B12" s="57"/>
      <c r="C12" s="4" t="s">
        <v>47</v>
      </c>
      <c r="D12" s="20" t="s">
        <v>44</v>
      </c>
      <c r="E12" s="39"/>
      <c r="F12" s="19">
        <v>0</v>
      </c>
      <c r="G12" s="61"/>
      <c r="H12" s="61"/>
      <c r="I12" s="21" t="s">
        <v>96</v>
      </c>
      <c r="J12" s="9">
        <v>274583</v>
      </c>
      <c r="K12" s="30">
        <f>J12</f>
        <v>274583</v>
      </c>
      <c r="L12" s="9">
        <v>0</v>
      </c>
      <c r="M12" s="38"/>
      <c r="N12" s="40"/>
      <c r="O12" s="32"/>
      <c r="P12" s="19">
        <f t="shared" si="0"/>
        <v>0</v>
      </c>
    </row>
    <row r="13" spans="1:17" x14ac:dyDescent="0.3">
      <c r="Q13" s="1"/>
    </row>
    <row r="14" spans="1:17" x14ac:dyDescent="0.3">
      <c r="M14" s="1"/>
      <c r="N14" s="1"/>
      <c r="Q14" s="1"/>
    </row>
    <row r="15" spans="1:17" x14ac:dyDescent="0.3">
      <c r="Q15" s="1"/>
    </row>
  </sheetData>
  <mergeCells count="30">
    <mergeCell ref="A1:O1"/>
    <mergeCell ref="A2:A3"/>
    <mergeCell ref="B2:C2"/>
    <mergeCell ref="D2:D3"/>
    <mergeCell ref="E2:E3"/>
    <mergeCell ref="F2:H2"/>
    <mergeCell ref="I2:I3"/>
    <mergeCell ref="J2:J3"/>
    <mergeCell ref="K2:K3"/>
    <mergeCell ref="L2:L3"/>
    <mergeCell ref="M2:M3"/>
    <mergeCell ref="N2:N3"/>
    <mergeCell ref="O2:O3"/>
    <mergeCell ref="P2:P5"/>
    <mergeCell ref="A4:C5"/>
    <mergeCell ref="F4:F5"/>
    <mergeCell ref="G4:G5"/>
    <mergeCell ref="H4:H5"/>
    <mergeCell ref="I4:I5"/>
    <mergeCell ref="J4:J5"/>
    <mergeCell ref="N4:N5"/>
    <mergeCell ref="K4:K5"/>
    <mergeCell ref="O4:O5"/>
    <mergeCell ref="O10:O12"/>
    <mergeCell ref="A6:A12"/>
    <mergeCell ref="M6:M12"/>
    <mergeCell ref="N6:N12"/>
    <mergeCell ref="B10:B12"/>
    <mergeCell ref="E10:E12"/>
    <mergeCell ref="G10:H12"/>
  </mergeCells>
  <conditionalFormatting sqref="O6:O10">
    <cfRule type="containsText" dxfId="19" priority="46" operator="containsText" text="Да">
      <formula>NOT(ISERROR(SEARCH("Да",O6)))</formula>
    </cfRule>
  </conditionalFormatting>
  <conditionalFormatting sqref="F11:F12 F6:H9 F10:G10 P6:P12">
    <cfRule type="cellIs" dxfId="18" priority="45" stopIfTrue="1" operator="equal">
      <formula>1</formula>
    </cfRule>
  </conditionalFormatting>
  <conditionalFormatting sqref="G6:H9 G10">
    <cfRule type="dataBar" priority="48">
      <dataBar>
        <cfvo type="min"/>
        <cfvo type="num" val="1"/>
        <color theme="4" tint="0.39997558519241921"/>
      </dataBar>
      <extLst>
        <ext xmlns:x14="http://schemas.microsoft.com/office/spreadsheetml/2009/9/main" uri="{B025F937-C7B1-47D3-B67F-A62EFF666E3E}">
          <x14:id>{385701B2-7B8F-435B-A7F8-9C60BEEF254E}</x14:id>
        </ext>
      </extLst>
    </cfRule>
  </conditionalFormatting>
  <conditionalFormatting sqref="F6:F12">
    <cfRule type="dataBar" priority="51">
      <dataBar>
        <cfvo type="min"/>
        <cfvo type="num" val="1"/>
        <color theme="4" tint="0.39997558519241921"/>
      </dataBar>
      <extLst>
        <ext xmlns:x14="http://schemas.microsoft.com/office/spreadsheetml/2009/9/main" uri="{B025F937-C7B1-47D3-B67F-A62EFF666E3E}">
          <x14:id>{5AB36E63-BA29-4D5C-BCFC-07790585B03E}</x14:id>
        </ext>
      </extLst>
    </cfRule>
  </conditionalFormatting>
  <conditionalFormatting sqref="O4">
    <cfRule type="cellIs" dxfId="17" priority="1" stopIfTrue="1" operator="equal">
      <formula>1</formula>
    </cfRule>
  </conditionalFormatting>
  <conditionalFormatting sqref="F4:H4">
    <cfRule type="cellIs" dxfId="16" priority="3" stopIfTrue="1" operator="equal">
      <formula>1</formula>
    </cfRule>
  </conditionalFormatting>
  <conditionalFormatting sqref="L5:M5 G4:H4">
    <cfRule type="cellIs" dxfId="15" priority="7" stopIfTrue="1" operator="equal">
      <formula>1</formula>
    </cfRule>
  </conditionalFormatting>
  <conditionalFormatting sqref="F4">
    <cfRule type="dataBar" priority="6">
      <dataBar>
        <cfvo type="min"/>
        <cfvo type="num" val="1"/>
        <color theme="4" tint="0.39997558519241921"/>
      </dataBar>
      <extLst>
        <ext xmlns:x14="http://schemas.microsoft.com/office/spreadsheetml/2009/9/main" uri="{B025F937-C7B1-47D3-B67F-A62EFF666E3E}">
          <x14:id>{E50DBCD9-2FAE-44EB-B187-78D59418BA68}</x14:id>
        </ext>
      </extLst>
    </cfRule>
  </conditionalFormatting>
  <conditionalFormatting sqref="F4">
    <cfRule type="cellIs" dxfId="14" priority="5" stopIfTrue="1" operator="equal">
      <formula>1</formula>
    </cfRule>
  </conditionalFormatting>
  <conditionalFormatting sqref="G4:H4">
    <cfRule type="dataBar" priority="4">
      <dataBar>
        <cfvo type="min"/>
        <cfvo type="num" val="1"/>
        <color theme="4" tint="0.39997558519241921"/>
      </dataBar>
      <extLst>
        <ext xmlns:x14="http://schemas.microsoft.com/office/spreadsheetml/2009/9/main" uri="{B025F937-C7B1-47D3-B67F-A62EFF666E3E}">
          <x14:id>{2BB813F6-C050-44C3-BE53-AE1E30E82B38}</x14:id>
        </ext>
      </extLst>
    </cfRule>
  </conditionalFormatting>
  <conditionalFormatting sqref="L5:M5">
    <cfRule type="dataBar" priority="2">
      <dataBar>
        <cfvo type="min"/>
        <cfvo type="num" val="1"/>
        <color theme="4" tint="0.39997558519241921"/>
      </dataBar>
      <extLst>
        <ext xmlns:x14="http://schemas.microsoft.com/office/spreadsheetml/2009/9/main" uri="{B025F937-C7B1-47D3-B67F-A62EFF666E3E}">
          <x14:id>{95653180-8D7D-4FD4-B457-9DD7A99569C8}</x14:id>
        </ext>
      </extLst>
    </cfRule>
  </conditionalFormatting>
  <conditionalFormatting sqref="O4">
    <cfRule type="dataBar" priority="8">
      <dataBar>
        <cfvo type="min"/>
        <cfvo type="num" val="1"/>
        <color theme="4" tint="0.39997558519241921"/>
      </dataBar>
      <extLst>
        <ext xmlns:x14="http://schemas.microsoft.com/office/spreadsheetml/2009/9/main" uri="{B025F937-C7B1-47D3-B67F-A62EFF666E3E}">
          <x14:id>{43166C26-B2A1-49EE-8490-3382DFDFCD4D}</x14:id>
        </ext>
      </extLst>
    </cfRule>
  </conditionalFormatting>
  <conditionalFormatting sqref="P6:P12">
    <cfRule type="dataBar" priority="106">
      <dataBar>
        <cfvo type="min"/>
        <cfvo type="num" val="1"/>
        <color theme="4" tint="0.39997558519241921"/>
      </dataBar>
      <extLst>
        <ext xmlns:x14="http://schemas.microsoft.com/office/spreadsheetml/2009/9/main" uri="{B025F937-C7B1-47D3-B67F-A62EFF666E3E}">
          <x14:id>{2B42FCF9-BB6B-425E-BDD9-B7CF77ADE8CE}</x14:id>
        </ext>
      </extLst>
    </cfRule>
  </conditionalFormatting>
  <pageMargins left="0.7" right="0.7" top="0.75" bottom="0.75" header="0.3" footer="0.3"/>
  <pageSetup paperSize="8" scale="61" fitToHeight="0" orientation="landscape" r:id="rId1"/>
  <extLst>
    <ext xmlns:x14="http://schemas.microsoft.com/office/spreadsheetml/2009/9/main" uri="{78C0D931-6437-407d-A8EE-F0AAD7539E65}">
      <x14:conditionalFormattings>
        <x14:conditionalFormatting xmlns:xm="http://schemas.microsoft.com/office/excel/2006/main">
          <x14:cfRule type="dataBar" id="{385701B2-7B8F-435B-A7F8-9C60BEEF254E}">
            <x14:dataBar minLength="0" maxLength="100" border="1" gradient="0" negativeBarBorderColorSameAsPositive="0">
              <x14:cfvo type="autoMin"/>
              <x14:cfvo type="num">
                <xm:f>1</xm:f>
              </x14:cfvo>
              <x14:borderColor rgb="FF638EC6"/>
              <x14:negativeFillColor rgb="FFFF0000"/>
              <x14:negativeBorderColor rgb="FFFF0000"/>
              <x14:axisColor rgb="FF000000"/>
            </x14:dataBar>
          </x14:cfRule>
          <xm:sqref>G6:H9 G10</xm:sqref>
        </x14:conditionalFormatting>
        <x14:conditionalFormatting xmlns:xm="http://schemas.microsoft.com/office/excel/2006/main">
          <x14:cfRule type="dataBar" id="{5AB36E63-BA29-4D5C-BCFC-07790585B03E}">
            <x14:dataBar minLength="0" maxLength="100" border="1" gradient="0" negativeBarBorderColorSameAsPositive="0">
              <x14:cfvo type="autoMin"/>
              <x14:cfvo type="num">
                <xm:f>1</xm:f>
              </x14:cfvo>
              <x14:borderColor rgb="FF638EC6"/>
              <x14:negativeFillColor rgb="FFFF0000"/>
              <x14:negativeBorderColor rgb="FFFF0000"/>
              <x14:axisColor rgb="FF000000"/>
            </x14:dataBar>
          </x14:cfRule>
          <xm:sqref>F6:F12</xm:sqref>
        </x14:conditionalFormatting>
        <x14:conditionalFormatting xmlns:xm="http://schemas.microsoft.com/office/excel/2006/main">
          <x14:cfRule type="dataBar" id="{E50DBCD9-2FAE-44EB-B187-78D59418BA68}">
            <x14:dataBar minLength="0" maxLength="100" border="1" gradient="0" negativeBarBorderColorSameAsPositive="0">
              <x14:cfvo type="autoMin"/>
              <x14:cfvo type="num">
                <xm:f>1</xm:f>
              </x14:cfvo>
              <x14:borderColor rgb="FF638EC6"/>
              <x14:negativeFillColor rgb="FFFF0000"/>
              <x14:negativeBorderColor rgb="FFFF0000"/>
              <x14:axisColor rgb="FF000000"/>
            </x14:dataBar>
          </x14:cfRule>
          <xm:sqref>F4</xm:sqref>
        </x14:conditionalFormatting>
        <x14:conditionalFormatting xmlns:xm="http://schemas.microsoft.com/office/excel/2006/main">
          <x14:cfRule type="dataBar" id="{2BB813F6-C050-44C3-BE53-AE1E30E82B38}">
            <x14:dataBar minLength="0" maxLength="100" border="1" gradient="0" negativeBarBorderColorSameAsPositive="0">
              <x14:cfvo type="autoMin"/>
              <x14:cfvo type="num">
                <xm:f>1</xm:f>
              </x14:cfvo>
              <x14:borderColor rgb="FF638EC6"/>
              <x14:negativeFillColor rgb="FFFF0000"/>
              <x14:negativeBorderColor rgb="FFFF0000"/>
              <x14:axisColor rgb="FF000000"/>
            </x14:dataBar>
          </x14:cfRule>
          <xm:sqref>G4:H4</xm:sqref>
        </x14:conditionalFormatting>
        <x14:conditionalFormatting xmlns:xm="http://schemas.microsoft.com/office/excel/2006/main">
          <x14:cfRule type="dataBar" id="{95653180-8D7D-4FD4-B457-9DD7A99569C8}">
            <x14:dataBar minLength="0" maxLength="100" border="1" gradient="0" negativeBarBorderColorSameAsPositive="0">
              <x14:cfvo type="autoMin"/>
              <x14:cfvo type="num">
                <xm:f>1</xm:f>
              </x14:cfvo>
              <x14:borderColor rgb="FF638EC6"/>
              <x14:negativeFillColor rgb="FFFF0000"/>
              <x14:negativeBorderColor rgb="FFFF0000"/>
              <x14:axisColor rgb="FF000000"/>
            </x14:dataBar>
          </x14:cfRule>
          <xm:sqref>L5:M5</xm:sqref>
        </x14:conditionalFormatting>
        <x14:conditionalFormatting xmlns:xm="http://schemas.microsoft.com/office/excel/2006/main">
          <x14:cfRule type="dataBar" id="{43166C26-B2A1-49EE-8490-3382DFDFCD4D}">
            <x14:dataBar minLength="0" maxLength="100" border="1" gradient="0" negativeBarBorderColorSameAsPositive="0">
              <x14:cfvo type="autoMin"/>
              <x14:cfvo type="num">
                <xm:f>1</xm:f>
              </x14:cfvo>
              <x14:borderColor rgb="FF638EC6"/>
              <x14:negativeFillColor rgb="FFFF0000"/>
              <x14:negativeBorderColor rgb="FFFF0000"/>
              <x14:axisColor rgb="FF000000"/>
            </x14:dataBar>
          </x14:cfRule>
          <xm:sqref>O4</xm:sqref>
        </x14:conditionalFormatting>
        <x14:conditionalFormatting xmlns:xm="http://schemas.microsoft.com/office/excel/2006/main">
          <x14:cfRule type="dataBar" id="{2B42FCF9-BB6B-425E-BDD9-B7CF77ADE8CE}">
            <x14:dataBar minLength="0" maxLength="100" border="1" gradient="0" negativeBarBorderColorSameAsPositive="0">
              <x14:cfvo type="autoMin"/>
              <x14:cfvo type="num">
                <xm:f>1</xm:f>
              </x14:cfvo>
              <x14:borderColor rgb="FF638EC6"/>
              <x14:negativeFillColor rgb="FFFF0000"/>
              <x14:negativeBorderColor rgb="FFFF0000"/>
              <x14:axisColor rgb="FF000000"/>
            </x14:dataBar>
          </x14:cfRule>
          <xm:sqref>P6:P12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6B91F-1E3F-49A9-A338-819650E9F11D}">
  <sheetPr>
    <pageSetUpPr fitToPage="1"/>
  </sheetPr>
  <dimension ref="A1:Q15"/>
  <sheetViews>
    <sheetView view="pageBreakPreview" zoomScale="55" zoomScaleNormal="70" zoomScaleSheetLayoutView="55" workbookViewId="0">
      <pane xSplit="1" ySplit="3" topLeftCell="B4" activePane="bottomRight" state="frozen"/>
      <selection pane="topRight" activeCell="B1" sqref="B1"/>
      <selection pane="bottomLeft" activeCell="A4" sqref="A4"/>
      <selection pane="bottomRight" activeCell="F13" sqref="F13"/>
    </sheetView>
  </sheetViews>
  <sheetFormatPr defaultRowHeight="18" x14ac:dyDescent="0.3"/>
  <cols>
    <col min="1" max="1" width="14.88671875" style="7" customWidth="1"/>
    <col min="2" max="2" width="15.109375" style="7" customWidth="1"/>
    <col min="3" max="3" width="20.77734375" style="7" customWidth="1"/>
    <col min="4" max="4" width="74.88671875" style="2" customWidth="1"/>
    <col min="5" max="5" width="10.21875" style="7" bestFit="1" customWidth="1"/>
    <col min="6" max="7" width="14.77734375" style="7" customWidth="1"/>
    <col min="8" max="8" width="12.21875" style="7" customWidth="1"/>
    <col min="9" max="9" width="35.109375" style="2" customWidth="1"/>
    <col min="10" max="10" width="22.21875" style="7" bestFit="1" customWidth="1"/>
    <col min="11" max="11" width="22.21875" style="7" customWidth="1"/>
    <col min="12" max="12" width="21.77734375" style="7" customWidth="1"/>
    <col min="13" max="13" width="20" style="7" customWidth="1"/>
    <col min="14" max="14" width="20" style="7" hidden="1" customWidth="1"/>
    <col min="15" max="15" width="13.77734375" style="7" customWidth="1"/>
    <col min="16" max="16" width="15.33203125" style="14" customWidth="1"/>
    <col min="17" max="17" width="8.88671875" style="15"/>
    <col min="18" max="16384" width="8.88671875" style="1"/>
  </cols>
  <sheetData>
    <row r="1" spans="1:17" ht="33.6" customHeight="1" x14ac:dyDescent="0.3">
      <c r="A1" s="48" t="s">
        <v>100</v>
      </c>
      <c r="B1" s="48"/>
      <c r="C1" s="48"/>
      <c r="D1" s="48"/>
      <c r="E1" s="48"/>
      <c r="F1" s="48"/>
      <c r="G1" s="48"/>
      <c r="H1" s="48"/>
      <c r="I1" s="48"/>
      <c r="J1" s="48"/>
      <c r="K1" s="48"/>
      <c r="L1" s="48"/>
      <c r="M1" s="48"/>
      <c r="N1" s="48"/>
      <c r="O1" s="48"/>
    </row>
    <row r="2" spans="1:17" ht="23.4" customHeight="1" x14ac:dyDescent="0.3">
      <c r="A2" s="32" t="s">
        <v>0</v>
      </c>
      <c r="B2" s="54" t="s">
        <v>1</v>
      </c>
      <c r="C2" s="54"/>
      <c r="D2" s="53" t="s">
        <v>2</v>
      </c>
      <c r="E2" s="32" t="s">
        <v>85</v>
      </c>
      <c r="F2" s="54" t="s">
        <v>3</v>
      </c>
      <c r="G2" s="54"/>
      <c r="H2" s="54"/>
      <c r="I2" s="32" t="s">
        <v>99</v>
      </c>
      <c r="J2" s="32" t="s">
        <v>105</v>
      </c>
      <c r="K2" s="44" t="s">
        <v>104</v>
      </c>
      <c r="L2" s="32" t="s">
        <v>90</v>
      </c>
      <c r="M2" s="57" t="s">
        <v>91</v>
      </c>
      <c r="N2" s="57" t="s">
        <v>92</v>
      </c>
      <c r="O2" s="57" t="s">
        <v>4</v>
      </c>
      <c r="P2" s="33" t="s">
        <v>54</v>
      </c>
      <c r="Q2" s="1"/>
    </row>
    <row r="3" spans="1:17" ht="120" customHeight="1" x14ac:dyDescent="0.3">
      <c r="A3" s="32"/>
      <c r="B3" s="16" t="s">
        <v>22</v>
      </c>
      <c r="C3" s="17" t="s">
        <v>21</v>
      </c>
      <c r="D3" s="53"/>
      <c r="E3" s="32"/>
      <c r="F3" s="18" t="s">
        <v>86</v>
      </c>
      <c r="G3" s="16" t="s">
        <v>87</v>
      </c>
      <c r="H3" s="16" t="s">
        <v>88</v>
      </c>
      <c r="I3" s="32"/>
      <c r="J3" s="32"/>
      <c r="K3" s="45"/>
      <c r="L3" s="32"/>
      <c r="M3" s="57"/>
      <c r="N3" s="57"/>
      <c r="O3" s="57"/>
      <c r="P3" s="34"/>
      <c r="Q3" s="1"/>
    </row>
    <row r="4" spans="1:17" s="10" customFormat="1" ht="40.799999999999997" customHeight="1" x14ac:dyDescent="0.3">
      <c r="A4" s="49" t="s">
        <v>50</v>
      </c>
      <c r="B4" s="50"/>
      <c r="C4" s="50"/>
      <c r="D4" s="27" t="s">
        <v>102</v>
      </c>
      <c r="E4" s="31">
        <f>SUM(E6:E12)</f>
        <v>42.93</v>
      </c>
      <c r="F4" s="46">
        <f>'Липецк детальный'!D8</f>
        <v>0.37448259391710026</v>
      </c>
      <c r="G4" s="46">
        <f>'Липецк детальный'!F13</f>
        <v>0.43238885049527759</v>
      </c>
      <c r="H4" s="46">
        <f>'Ярославль детальный'!F19</f>
        <v>0.34954407294832829</v>
      </c>
      <c r="I4" s="55" t="s">
        <v>97</v>
      </c>
      <c r="J4" s="36">
        <f>SUM(J6:J12)</f>
        <v>2755068</v>
      </c>
      <c r="K4" s="36">
        <f>SUM(K6:K12)</f>
        <v>10312078.68</v>
      </c>
      <c r="L4" s="12">
        <f>SUM(L6:L12)</f>
        <v>865149</v>
      </c>
      <c r="M4" s="12">
        <f>SUM(M6)</f>
        <v>1486011.0993900001</v>
      </c>
      <c r="N4" s="36">
        <f>SUM(N6)</f>
        <v>620862.0993900001</v>
      </c>
      <c r="O4" s="58">
        <v>0.6</v>
      </c>
      <c r="P4" s="34"/>
    </row>
    <row r="5" spans="1:17" s="10" customFormat="1" ht="40.799999999999997" customHeight="1" x14ac:dyDescent="0.3">
      <c r="A5" s="51"/>
      <c r="B5" s="52"/>
      <c r="C5" s="52"/>
      <c r="D5" s="11" t="s">
        <v>101</v>
      </c>
      <c r="E5" s="28">
        <f>SUM(E6:E9)</f>
        <v>14.15</v>
      </c>
      <c r="F5" s="47"/>
      <c r="G5" s="47"/>
      <c r="H5" s="47"/>
      <c r="I5" s="56"/>
      <c r="J5" s="37"/>
      <c r="K5" s="37"/>
      <c r="L5" s="13">
        <f>L4/J4</f>
        <v>0.31402092434742085</v>
      </c>
      <c r="M5" s="13">
        <f>M4*100%/J4</f>
        <v>0.53937365589161501</v>
      </c>
      <c r="N5" s="37"/>
      <c r="O5" s="59"/>
      <c r="P5" s="35"/>
    </row>
    <row r="6" spans="1:17" ht="109.2" x14ac:dyDescent="0.3">
      <c r="A6" s="32" t="s">
        <v>51</v>
      </c>
      <c r="B6" s="5">
        <v>1</v>
      </c>
      <c r="C6" s="4" t="s">
        <v>33</v>
      </c>
      <c r="D6" s="20" t="s">
        <v>61</v>
      </c>
      <c r="E6" s="6">
        <v>4.9400000000000004</v>
      </c>
      <c r="F6" s="19">
        <f>'Липецк детальный'!I8</f>
        <v>0.66472757839840813</v>
      </c>
      <c r="G6" s="19">
        <v>1</v>
      </c>
      <c r="H6" s="19">
        <v>0.92</v>
      </c>
      <c r="I6" s="21" t="s">
        <v>57</v>
      </c>
      <c r="J6" s="9">
        <v>1049436</v>
      </c>
      <c r="K6" s="41">
        <v>3139904.55</v>
      </c>
      <c r="L6" s="9">
        <v>330300</v>
      </c>
      <c r="M6" s="38">
        <f>1486011099.39/1000</f>
        <v>1486011.0993900001</v>
      </c>
      <c r="N6" s="40">
        <v>620862.0993900001</v>
      </c>
      <c r="O6" s="16" t="s">
        <v>10</v>
      </c>
      <c r="P6" s="19">
        <f t="shared" ref="P6:P9" si="0">L6/J6</f>
        <v>0.31474048917704367</v>
      </c>
      <c r="Q6" s="1"/>
    </row>
    <row r="7" spans="1:17" ht="55.2" customHeight="1" x14ac:dyDescent="0.3">
      <c r="A7" s="32"/>
      <c r="B7" s="5">
        <v>2</v>
      </c>
      <c r="C7" s="4" t="s">
        <v>30</v>
      </c>
      <c r="D7" s="20" t="s">
        <v>62</v>
      </c>
      <c r="E7" s="6">
        <v>3.55</v>
      </c>
      <c r="F7" s="46">
        <f>'Липецк детальный'!M8</f>
        <v>0.92184254355344142</v>
      </c>
      <c r="G7" s="46">
        <f>'Липецк детальный'!O13</f>
        <v>0.93811074918566772</v>
      </c>
      <c r="H7" s="46">
        <f>'Липецк детальный'!O20</f>
        <v>0.94588744588744589</v>
      </c>
      <c r="I7" s="21" t="s">
        <v>58</v>
      </c>
      <c r="J7" s="9">
        <v>611225</v>
      </c>
      <c r="K7" s="42"/>
      <c r="L7" s="9">
        <v>236284</v>
      </c>
      <c r="M7" s="38"/>
      <c r="N7" s="40"/>
      <c r="O7" s="16" t="s">
        <v>10</v>
      </c>
      <c r="P7" s="19">
        <f t="shared" si="0"/>
        <v>0.38657450202462268</v>
      </c>
      <c r="Q7" s="1"/>
    </row>
    <row r="8" spans="1:17" ht="99" customHeight="1" x14ac:dyDescent="0.3">
      <c r="A8" s="32"/>
      <c r="B8" s="5">
        <v>2</v>
      </c>
      <c r="C8" s="4" t="s">
        <v>55</v>
      </c>
      <c r="D8" s="20" t="s">
        <v>63</v>
      </c>
      <c r="E8" s="5">
        <v>2.68</v>
      </c>
      <c r="F8" s="187"/>
      <c r="G8" s="187"/>
      <c r="H8" s="187"/>
      <c r="I8" s="21" t="s">
        <v>59</v>
      </c>
      <c r="J8" s="9">
        <v>558294</v>
      </c>
      <c r="K8" s="42"/>
      <c r="L8" s="9">
        <v>72219</v>
      </c>
      <c r="M8" s="38"/>
      <c r="N8" s="40"/>
      <c r="O8" s="16" t="s">
        <v>10</v>
      </c>
      <c r="P8" s="19">
        <f t="shared" si="0"/>
        <v>0.12935657556771163</v>
      </c>
      <c r="Q8" s="1"/>
    </row>
    <row r="9" spans="1:17" ht="78" x14ac:dyDescent="0.3">
      <c r="A9" s="32"/>
      <c r="B9" s="5">
        <v>2</v>
      </c>
      <c r="C9" s="4" t="s">
        <v>56</v>
      </c>
      <c r="D9" s="20" t="s">
        <v>64</v>
      </c>
      <c r="E9" s="5">
        <v>2.98</v>
      </c>
      <c r="F9" s="47"/>
      <c r="G9" s="47"/>
      <c r="H9" s="47"/>
      <c r="I9" s="21" t="s">
        <v>60</v>
      </c>
      <c r="J9" s="9">
        <v>536113</v>
      </c>
      <c r="K9" s="43"/>
      <c r="L9" s="9">
        <v>226346</v>
      </c>
      <c r="M9" s="38"/>
      <c r="N9" s="40"/>
      <c r="O9" s="16" t="s">
        <v>10</v>
      </c>
      <c r="P9" s="19">
        <f t="shared" si="0"/>
        <v>0.4221983052080438</v>
      </c>
      <c r="Q9" s="1"/>
    </row>
    <row r="10" spans="1:17" ht="93.6" customHeight="1" x14ac:dyDescent="0.3">
      <c r="A10" s="32"/>
      <c r="B10" s="5">
        <v>5</v>
      </c>
      <c r="C10" s="4" t="s">
        <v>65</v>
      </c>
      <c r="D10" s="22" t="s">
        <v>70</v>
      </c>
      <c r="E10" s="5">
        <v>11</v>
      </c>
      <c r="F10" s="19">
        <f>'Липецк детальный'!Y8</f>
        <v>0.35080134596211371</v>
      </c>
      <c r="G10" s="19">
        <f>'Липецк детальный'!AA13</f>
        <v>0.40735294117647058</v>
      </c>
      <c r="H10" s="19">
        <f>'Липецк детальный'!AA20</f>
        <v>0</v>
      </c>
      <c r="I10" s="23" t="s">
        <v>26</v>
      </c>
      <c r="J10" s="16"/>
      <c r="K10" s="24">
        <v>1903371.07</v>
      </c>
      <c r="L10" s="9">
        <v>0</v>
      </c>
      <c r="M10" s="38"/>
      <c r="N10" s="40"/>
      <c r="O10" s="29" t="s">
        <v>106</v>
      </c>
      <c r="P10" s="19">
        <f>L10/K10</f>
        <v>0</v>
      </c>
      <c r="Q10" s="1"/>
    </row>
    <row r="11" spans="1:17" ht="62.4" x14ac:dyDescent="0.3">
      <c r="A11" s="32"/>
      <c r="B11" s="5">
        <v>4</v>
      </c>
      <c r="C11" s="4" t="s">
        <v>66</v>
      </c>
      <c r="D11" s="22" t="s">
        <v>69</v>
      </c>
      <c r="E11" s="5">
        <v>7.54</v>
      </c>
      <c r="F11" s="19">
        <f>'Липецк детальный'!U8</f>
        <v>0.2670909013182855</v>
      </c>
      <c r="G11" s="19">
        <f>'Липецк детальный'!W13</f>
        <v>0.24933687002652519</v>
      </c>
      <c r="H11" s="19">
        <f>'Липецк детальный'!W20</f>
        <v>0</v>
      </c>
      <c r="I11" s="23" t="s">
        <v>26</v>
      </c>
      <c r="J11" s="16"/>
      <c r="K11" s="24">
        <v>1761825.06</v>
      </c>
      <c r="L11" s="9">
        <v>0</v>
      </c>
      <c r="M11" s="38"/>
      <c r="N11" s="40"/>
      <c r="O11" s="29" t="s">
        <v>106</v>
      </c>
      <c r="P11" s="19">
        <f>L11/K11</f>
        <v>0</v>
      </c>
      <c r="Q11" s="1"/>
    </row>
    <row r="12" spans="1:17" ht="124.8" x14ac:dyDescent="0.3">
      <c r="A12" s="32"/>
      <c r="B12" s="5">
        <v>3</v>
      </c>
      <c r="C12" s="4" t="s">
        <v>67</v>
      </c>
      <c r="D12" s="22" t="s">
        <v>68</v>
      </c>
      <c r="E12" s="5">
        <v>10.24</v>
      </c>
      <c r="F12" s="19">
        <f>'Липецк детальный'!Q8</f>
        <v>7.8750271719440643E-2</v>
      </c>
      <c r="G12" s="19">
        <f>'Липецк детальный'!S13</f>
        <v>3.6193029490616625E-2</v>
      </c>
      <c r="H12" s="19">
        <f>'Липецк детальный'!S20</f>
        <v>0</v>
      </c>
      <c r="I12" s="23" t="s">
        <v>26</v>
      </c>
      <c r="J12" s="16"/>
      <c r="K12" s="24">
        <v>3506978</v>
      </c>
      <c r="L12" s="9">
        <v>0</v>
      </c>
      <c r="M12" s="38"/>
      <c r="N12" s="40"/>
      <c r="O12" s="29" t="s">
        <v>106</v>
      </c>
      <c r="P12" s="19">
        <f>L12/K12</f>
        <v>0</v>
      </c>
      <c r="Q12" s="1"/>
    </row>
    <row r="13" spans="1:17" x14ac:dyDescent="0.3">
      <c r="Q13" s="1"/>
    </row>
    <row r="14" spans="1:17" x14ac:dyDescent="0.3">
      <c r="M14" s="1"/>
      <c r="N14" s="1"/>
      <c r="Q14" s="1"/>
    </row>
    <row r="15" spans="1:17" x14ac:dyDescent="0.3">
      <c r="Q15" s="1"/>
    </row>
  </sheetData>
  <mergeCells count="30">
    <mergeCell ref="A1:O1"/>
    <mergeCell ref="A2:A3"/>
    <mergeCell ref="B2:C2"/>
    <mergeCell ref="D2:D3"/>
    <mergeCell ref="E2:E3"/>
    <mergeCell ref="F2:H2"/>
    <mergeCell ref="I2:I3"/>
    <mergeCell ref="J2:J3"/>
    <mergeCell ref="K2:K3"/>
    <mergeCell ref="L2:L3"/>
    <mergeCell ref="O4:O5"/>
    <mergeCell ref="M2:M3"/>
    <mergeCell ref="N2:N3"/>
    <mergeCell ref="O2:O3"/>
    <mergeCell ref="P2:P5"/>
    <mergeCell ref="N4:N5"/>
    <mergeCell ref="A6:A12"/>
    <mergeCell ref="K6:K9"/>
    <mergeCell ref="M6:M12"/>
    <mergeCell ref="N6:N12"/>
    <mergeCell ref="K4:K5"/>
    <mergeCell ref="A4:C5"/>
    <mergeCell ref="F4:F5"/>
    <mergeCell ref="G4:G5"/>
    <mergeCell ref="H4:H5"/>
    <mergeCell ref="I4:I5"/>
    <mergeCell ref="J4:J5"/>
    <mergeCell ref="F7:F9"/>
    <mergeCell ref="G7:G9"/>
    <mergeCell ref="H7:H9"/>
  </mergeCells>
  <conditionalFormatting sqref="P6:P12">
    <cfRule type="cellIs" dxfId="13" priority="45" stopIfTrue="1" operator="equal">
      <formula>1</formula>
    </cfRule>
  </conditionalFormatting>
  <conditionalFormatting sqref="O6:O12">
    <cfRule type="containsText" dxfId="12" priority="34" operator="containsText" text="Да">
      <formula>NOT(ISERROR(SEARCH("Да",O6)))</formula>
    </cfRule>
  </conditionalFormatting>
  <conditionalFormatting sqref="F6:H7 F10:H12">
    <cfRule type="cellIs" dxfId="11" priority="33" stopIfTrue="1" operator="equal">
      <formula>1</formula>
    </cfRule>
  </conditionalFormatting>
  <conditionalFormatting sqref="P6:P12">
    <cfRule type="dataBar" priority="28">
      <dataBar>
        <cfvo type="min"/>
        <cfvo type="num" val="1"/>
        <color theme="4" tint="0.39997558519241921"/>
      </dataBar>
      <extLst>
        <ext xmlns:x14="http://schemas.microsoft.com/office/spreadsheetml/2009/9/main" uri="{B025F937-C7B1-47D3-B67F-A62EFF666E3E}">
          <x14:id>{EA30E776-5031-4A14-AE5D-E49F3C018E17}</x14:id>
        </ext>
      </extLst>
    </cfRule>
  </conditionalFormatting>
  <conditionalFormatting sqref="F6:F7 F10:F12">
    <cfRule type="dataBar" priority="49">
      <dataBar>
        <cfvo type="min"/>
        <cfvo type="num" val="1"/>
        <color theme="4" tint="0.39997558519241921"/>
      </dataBar>
      <extLst>
        <ext xmlns:x14="http://schemas.microsoft.com/office/spreadsheetml/2009/9/main" uri="{B025F937-C7B1-47D3-B67F-A62EFF666E3E}">
          <x14:id>{D7E3CE2F-E467-4C77-BDCE-F9F727EE002E}</x14:id>
        </ext>
      </extLst>
    </cfRule>
  </conditionalFormatting>
  <conditionalFormatting sqref="G6:H7 G10:H12">
    <cfRule type="dataBar" priority="50">
      <dataBar>
        <cfvo type="min"/>
        <cfvo type="num" val="1"/>
        <color theme="4" tint="0.39997558519241921"/>
      </dataBar>
      <extLst>
        <ext xmlns:x14="http://schemas.microsoft.com/office/spreadsheetml/2009/9/main" uri="{B025F937-C7B1-47D3-B67F-A62EFF666E3E}">
          <x14:id>{E6EDC98C-9DF8-434C-BE6C-6D1962BEC29F}</x14:id>
        </ext>
      </extLst>
    </cfRule>
  </conditionalFormatting>
  <conditionalFormatting sqref="O4">
    <cfRule type="cellIs" dxfId="10" priority="1" stopIfTrue="1" operator="equal">
      <formula>1</formula>
    </cfRule>
  </conditionalFormatting>
  <conditionalFormatting sqref="F4:H4">
    <cfRule type="cellIs" dxfId="9" priority="3" stopIfTrue="1" operator="equal">
      <formula>1</formula>
    </cfRule>
  </conditionalFormatting>
  <conditionalFormatting sqref="L5:M5 G4:H4">
    <cfRule type="cellIs" dxfId="8" priority="7" stopIfTrue="1" operator="equal">
      <formula>1</formula>
    </cfRule>
  </conditionalFormatting>
  <conditionalFormatting sqref="F4">
    <cfRule type="dataBar" priority="6">
      <dataBar>
        <cfvo type="min"/>
        <cfvo type="num" val="1"/>
        <color theme="4" tint="0.39997558519241921"/>
      </dataBar>
      <extLst>
        <ext xmlns:x14="http://schemas.microsoft.com/office/spreadsheetml/2009/9/main" uri="{B025F937-C7B1-47D3-B67F-A62EFF666E3E}">
          <x14:id>{2665887A-C4ED-4B1B-AE3F-1A58D6477951}</x14:id>
        </ext>
      </extLst>
    </cfRule>
  </conditionalFormatting>
  <conditionalFormatting sqref="F4">
    <cfRule type="cellIs" dxfId="7" priority="5" stopIfTrue="1" operator="equal">
      <formula>1</formula>
    </cfRule>
  </conditionalFormatting>
  <conditionalFormatting sqref="G4:H4">
    <cfRule type="dataBar" priority="4">
      <dataBar>
        <cfvo type="min"/>
        <cfvo type="num" val="1"/>
        <color theme="4" tint="0.39997558519241921"/>
      </dataBar>
      <extLst>
        <ext xmlns:x14="http://schemas.microsoft.com/office/spreadsheetml/2009/9/main" uri="{B025F937-C7B1-47D3-B67F-A62EFF666E3E}">
          <x14:id>{9B16B88E-CFE3-4266-ACAC-A423A1E89785}</x14:id>
        </ext>
      </extLst>
    </cfRule>
  </conditionalFormatting>
  <conditionalFormatting sqref="L5:M5">
    <cfRule type="dataBar" priority="2">
      <dataBar>
        <cfvo type="min"/>
        <cfvo type="num" val="1"/>
        <color theme="4" tint="0.39997558519241921"/>
      </dataBar>
      <extLst>
        <ext xmlns:x14="http://schemas.microsoft.com/office/spreadsheetml/2009/9/main" uri="{B025F937-C7B1-47D3-B67F-A62EFF666E3E}">
          <x14:id>{A8512E2C-3C38-426B-A0A6-8E51C7B5F1FA}</x14:id>
        </ext>
      </extLst>
    </cfRule>
  </conditionalFormatting>
  <conditionalFormatting sqref="O4">
    <cfRule type="dataBar" priority="8">
      <dataBar>
        <cfvo type="min"/>
        <cfvo type="num" val="1"/>
        <color theme="4" tint="0.39997558519241921"/>
      </dataBar>
      <extLst>
        <ext xmlns:x14="http://schemas.microsoft.com/office/spreadsheetml/2009/9/main" uri="{B025F937-C7B1-47D3-B67F-A62EFF666E3E}">
          <x14:id>{765927D0-A05F-4022-BFE2-7115C6A9B52C}</x14:id>
        </ext>
      </extLst>
    </cfRule>
  </conditionalFormatting>
  <pageMargins left="0.7" right="0.7" top="0.75" bottom="0.75" header="0.3" footer="0.3"/>
  <pageSetup paperSize="8" scale="61" fitToHeight="0" orientation="landscape" r:id="rId1"/>
  <extLst>
    <ext xmlns:x14="http://schemas.microsoft.com/office/spreadsheetml/2009/9/main" uri="{78C0D931-6437-407d-A8EE-F0AAD7539E65}">
      <x14:conditionalFormattings>
        <x14:conditionalFormatting xmlns:xm="http://schemas.microsoft.com/office/excel/2006/main">
          <x14:cfRule type="dataBar" id="{EA30E776-5031-4A14-AE5D-E49F3C018E17}">
            <x14:dataBar minLength="0" maxLength="100" border="1" gradient="0" negativeBarBorderColorSameAsPositive="0">
              <x14:cfvo type="autoMin"/>
              <x14:cfvo type="num">
                <xm:f>1</xm:f>
              </x14:cfvo>
              <x14:borderColor rgb="FF638EC6"/>
              <x14:negativeFillColor rgb="FFFF0000"/>
              <x14:negativeBorderColor rgb="FFFF0000"/>
              <x14:axisColor rgb="FF000000"/>
            </x14:dataBar>
          </x14:cfRule>
          <xm:sqref>P6:P12</xm:sqref>
        </x14:conditionalFormatting>
        <x14:conditionalFormatting xmlns:xm="http://schemas.microsoft.com/office/excel/2006/main">
          <x14:cfRule type="dataBar" id="{D7E3CE2F-E467-4C77-BDCE-F9F727EE002E}">
            <x14:dataBar minLength="0" maxLength="100" border="1" gradient="0" negativeBarBorderColorSameAsPositive="0">
              <x14:cfvo type="autoMin"/>
              <x14:cfvo type="num">
                <xm:f>1</xm:f>
              </x14:cfvo>
              <x14:borderColor rgb="FF638EC6"/>
              <x14:negativeFillColor rgb="FFFF0000"/>
              <x14:negativeBorderColor rgb="FFFF0000"/>
              <x14:axisColor rgb="FF000000"/>
            </x14:dataBar>
          </x14:cfRule>
          <xm:sqref>F6:F7 F10:F12</xm:sqref>
        </x14:conditionalFormatting>
        <x14:conditionalFormatting xmlns:xm="http://schemas.microsoft.com/office/excel/2006/main">
          <x14:cfRule type="dataBar" id="{E6EDC98C-9DF8-434C-BE6C-6D1962BEC29F}">
            <x14:dataBar minLength="0" maxLength="100" border="1" gradient="0" negativeBarBorderColorSameAsPositive="0">
              <x14:cfvo type="autoMin"/>
              <x14:cfvo type="num">
                <xm:f>1</xm:f>
              </x14:cfvo>
              <x14:borderColor rgb="FF638EC6"/>
              <x14:negativeFillColor rgb="FFFF0000"/>
              <x14:negativeBorderColor rgb="FFFF0000"/>
              <x14:axisColor rgb="FF000000"/>
            </x14:dataBar>
          </x14:cfRule>
          <xm:sqref>G6:H7 G10:H12</xm:sqref>
        </x14:conditionalFormatting>
        <x14:conditionalFormatting xmlns:xm="http://schemas.microsoft.com/office/excel/2006/main">
          <x14:cfRule type="dataBar" id="{2665887A-C4ED-4B1B-AE3F-1A58D6477951}">
            <x14:dataBar minLength="0" maxLength="100" border="1" gradient="0" negativeBarBorderColorSameAsPositive="0">
              <x14:cfvo type="autoMin"/>
              <x14:cfvo type="num">
                <xm:f>1</xm:f>
              </x14:cfvo>
              <x14:borderColor rgb="FF638EC6"/>
              <x14:negativeFillColor rgb="FFFF0000"/>
              <x14:negativeBorderColor rgb="FFFF0000"/>
              <x14:axisColor rgb="FF000000"/>
            </x14:dataBar>
          </x14:cfRule>
          <xm:sqref>F4</xm:sqref>
        </x14:conditionalFormatting>
        <x14:conditionalFormatting xmlns:xm="http://schemas.microsoft.com/office/excel/2006/main">
          <x14:cfRule type="dataBar" id="{9B16B88E-CFE3-4266-ACAC-A423A1E89785}">
            <x14:dataBar minLength="0" maxLength="100" border="1" gradient="0" negativeBarBorderColorSameAsPositive="0">
              <x14:cfvo type="autoMin"/>
              <x14:cfvo type="num">
                <xm:f>1</xm:f>
              </x14:cfvo>
              <x14:borderColor rgb="FF638EC6"/>
              <x14:negativeFillColor rgb="FFFF0000"/>
              <x14:negativeBorderColor rgb="FFFF0000"/>
              <x14:axisColor rgb="FF000000"/>
            </x14:dataBar>
          </x14:cfRule>
          <xm:sqref>G4:H4</xm:sqref>
        </x14:conditionalFormatting>
        <x14:conditionalFormatting xmlns:xm="http://schemas.microsoft.com/office/excel/2006/main">
          <x14:cfRule type="dataBar" id="{A8512E2C-3C38-426B-A0A6-8E51C7B5F1FA}">
            <x14:dataBar minLength="0" maxLength="100" border="1" gradient="0" negativeBarBorderColorSameAsPositive="0">
              <x14:cfvo type="autoMin"/>
              <x14:cfvo type="num">
                <xm:f>1</xm:f>
              </x14:cfvo>
              <x14:borderColor rgb="FF638EC6"/>
              <x14:negativeFillColor rgb="FFFF0000"/>
              <x14:negativeBorderColor rgb="FFFF0000"/>
              <x14:axisColor rgb="FF000000"/>
            </x14:dataBar>
          </x14:cfRule>
          <xm:sqref>L5:M5</xm:sqref>
        </x14:conditionalFormatting>
        <x14:conditionalFormatting xmlns:xm="http://schemas.microsoft.com/office/excel/2006/main">
          <x14:cfRule type="dataBar" id="{765927D0-A05F-4022-BFE2-7115C6A9B52C}">
            <x14:dataBar minLength="0" maxLength="100" border="1" gradient="0" negativeBarBorderColorSameAsPositive="0">
              <x14:cfvo type="autoMin"/>
              <x14:cfvo type="num">
                <xm:f>1</xm:f>
              </x14:cfvo>
              <x14:borderColor rgb="FF638EC6"/>
              <x14:negativeFillColor rgb="FFFF0000"/>
              <x14:negativeBorderColor rgb="FFFF0000"/>
              <x14:axisColor rgb="FF000000"/>
            </x14:dataBar>
          </x14:cfRule>
          <xm:sqref>O4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5</vt:i4>
      </vt:variant>
    </vt:vector>
  </HeadingPairs>
  <TitlesOfParts>
    <vt:vector size="15" baseType="lpstr">
      <vt:lpstr>Всего детальный</vt:lpstr>
      <vt:lpstr>Для КП</vt:lpstr>
      <vt:lpstr>Курск детальный </vt:lpstr>
      <vt:lpstr>Пермь детальный</vt:lpstr>
      <vt:lpstr>Липецк детальный</vt:lpstr>
      <vt:lpstr>Ярославль детальный</vt:lpstr>
      <vt:lpstr>Курск</vt:lpstr>
      <vt:lpstr>Пермь</vt:lpstr>
      <vt:lpstr>Липецк</vt:lpstr>
      <vt:lpstr>Ярославль</vt:lpstr>
      <vt:lpstr>'Всего детальный'!Область_печати</vt:lpstr>
      <vt:lpstr>Курск!Область_печати</vt:lpstr>
      <vt:lpstr>Липецк!Область_печати</vt:lpstr>
      <vt:lpstr>Пермь!Область_печати</vt:lpstr>
      <vt:lpstr>Ярославль!Область_печати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m.kiatrov</dc:creator>
  <cp:lastModifiedBy>m.kiatrov</cp:lastModifiedBy>
  <cp:lastPrinted>2024-11-21T11:05:14Z</cp:lastPrinted>
  <dcterms:created xsi:type="dcterms:W3CDTF">2015-06-05T18:19:34Z</dcterms:created>
  <dcterms:modified xsi:type="dcterms:W3CDTF">2024-11-21T12:26:03Z</dcterms:modified>
</cp:coreProperties>
</file>