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0A4034F0-A704-46CC-B915-984B19AD4A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 кв.2024" sheetId="2" r:id="rId1"/>
    <sheet name="БЦ" sheetId="3" r:id="rId2"/>
  </sheets>
  <externalReferences>
    <externalReference r:id="rId3"/>
  </externalReferenc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5" i="2" l="1"/>
  <c r="M13" i="2"/>
  <c r="O52" i="3"/>
  <c r="S55" i="3"/>
  <c r="J54" i="3"/>
  <c r="G54" i="3"/>
  <c r="F54" i="3"/>
  <c r="M52" i="3"/>
  <c r="N52" i="3" s="1"/>
  <c r="I52" i="3"/>
  <c r="K52" i="3" s="1"/>
  <c r="G49" i="3"/>
  <c r="G50" i="3" s="1"/>
  <c r="F49" i="3"/>
  <c r="N48" i="3"/>
  <c r="M48" i="3"/>
  <c r="I48" i="3"/>
  <c r="J48" i="3" s="1"/>
  <c r="N47" i="3"/>
  <c r="M47" i="3"/>
  <c r="I47" i="3"/>
  <c r="K47" i="3" s="1"/>
  <c r="F45" i="3"/>
  <c r="N44" i="3"/>
  <c r="M44" i="3"/>
  <c r="J44" i="3"/>
  <c r="J45" i="3" s="1"/>
  <c r="I44" i="3"/>
  <c r="G44" i="3"/>
  <c r="G45" i="3" s="1"/>
  <c r="G42" i="3"/>
  <c r="F42" i="3"/>
  <c r="M41" i="3"/>
  <c r="N41" i="3" s="1"/>
  <c r="J41" i="3"/>
  <c r="O41" i="3" s="1"/>
  <c r="I41" i="3"/>
  <c r="K41" i="3" s="1"/>
  <c r="N40" i="3"/>
  <c r="M40" i="3"/>
  <c r="K40" i="3"/>
  <c r="P40" i="3" s="1"/>
  <c r="J40" i="3"/>
  <c r="O40" i="3" s="1"/>
  <c r="I40" i="3"/>
  <c r="M39" i="3"/>
  <c r="N39" i="3" s="1"/>
  <c r="K39" i="3"/>
  <c r="P39" i="3" s="1"/>
  <c r="I39" i="3"/>
  <c r="J39" i="3" s="1"/>
  <c r="N38" i="3"/>
  <c r="P38" i="3" s="1"/>
  <c r="M38" i="3"/>
  <c r="K38" i="3"/>
  <c r="R38" i="3" s="1"/>
  <c r="J38" i="3"/>
  <c r="I38" i="3"/>
  <c r="K36" i="3"/>
  <c r="G36" i="3"/>
  <c r="F36" i="3"/>
  <c r="N35" i="3"/>
  <c r="M35" i="3"/>
  <c r="K35" i="3"/>
  <c r="I35" i="3"/>
  <c r="J35" i="3" s="1"/>
  <c r="P34" i="3"/>
  <c r="N34" i="3"/>
  <c r="M34" i="3"/>
  <c r="K34" i="3"/>
  <c r="R34" i="3" s="1"/>
  <c r="J34" i="3"/>
  <c r="I34" i="3"/>
  <c r="G32" i="3"/>
  <c r="F32" i="3"/>
  <c r="M31" i="3"/>
  <c r="N31" i="3" s="1"/>
  <c r="J31" i="3"/>
  <c r="I31" i="3"/>
  <c r="K31" i="3" s="1"/>
  <c r="G29" i="3"/>
  <c r="F29" i="3"/>
  <c r="N28" i="3"/>
  <c r="M28" i="3"/>
  <c r="K28" i="3"/>
  <c r="P28" i="3" s="1"/>
  <c r="J28" i="3"/>
  <c r="O28" i="3" s="1"/>
  <c r="I28" i="3"/>
  <c r="N27" i="3"/>
  <c r="P27" i="3" s="1"/>
  <c r="M27" i="3"/>
  <c r="K27" i="3"/>
  <c r="J27" i="3"/>
  <c r="I27" i="3"/>
  <c r="M26" i="3"/>
  <c r="N26" i="3" s="1"/>
  <c r="I26" i="3"/>
  <c r="K26" i="3" s="1"/>
  <c r="M25" i="3"/>
  <c r="N25" i="3" s="1"/>
  <c r="I25" i="3"/>
  <c r="K25" i="3" s="1"/>
  <c r="N24" i="3"/>
  <c r="M24" i="3"/>
  <c r="K24" i="3"/>
  <c r="P24" i="3" s="1"/>
  <c r="J24" i="3"/>
  <c r="O24" i="3" s="1"/>
  <c r="I24" i="3"/>
  <c r="N23" i="3"/>
  <c r="P23" i="3" s="1"/>
  <c r="M23" i="3"/>
  <c r="K23" i="3"/>
  <c r="R23" i="3" s="1"/>
  <c r="J23" i="3"/>
  <c r="I23" i="3"/>
  <c r="G21" i="3"/>
  <c r="F21" i="3"/>
  <c r="M20" i="3"/>
  <c r="N20" i="3" s="1"/>
  <c r="I20" i="3"/>
  <c r="K20" i="3" s="1"/>
  <c r="M19" i="3"/>
  <c r="N19" i="3" s="1"/>
  <c r="I19" i="3"/>
  <c r="J19" i="3" s="1"/>
  <c r="N18" i="3"/>
  <c r="M18" i="3"/>
  <c r="K18" i="3"/>
  <c r="P18" i="3" s="1"/>
  <c r="J18" i="3"/>
  <c r="O18" i="3" s="1"/>
  <c r="I18" i="3"/>
  <c r="N17" i="3"/>
  <c r="P17" i="3" s="1"/>
  <c r="M17" i="3"/>
  <c r="K17" i="3"/>
  <c r="R17" i="3" s="1"/>
  <c r="J17" i="3"/>
  <c r="I17" i="3"/>
  <c r="M16" i="3"/>
  <c r="N16" i="3" s="1"/>
  <c r="I16" i="3"/>
  <c r="K16" i="3" s="1"/>
  <c r="M15" i="3"/>
  <c r="N15" i="3" s="1"/>
  <c r="I15" i="3"/>
  <c r="J15" i="3" s="1"/>
  <c r="A15" i="3"/>
  <c r="A16" i="3" s="1"/>
  <c r="A17" i="3" s="1"/>
  <c r="A18" i="3" s="1"/>
  <c r="A19" i="3" s="1"/>
  <c r="A20" i="3" s="1"/>
  <c r="A23" i="3" s="1"/>
  <c r="A24" i="3" s="1"/>
  <c r="A25" i="3" s="1"/>
  <c r="A26" i="3" s="1"/>
  <c r="A27" i="3" s="1"/>
  <c r="A28" i="3" s="1"/>
  <c r="A34" i="3" s="1"/>
  <c r="A35" i="3" s="1"/>
  <c r="N14" i="3"/>
  <c r="M14" i="3"/>
  <c r="K14" i="3"/>
  <c r="P14" i="3" s="1"/>
  <c r="J14" i="3"/>
  <c r="O14" i="3" s="1"/>
  <c r="I14" i="3"/>
  <c r="A14" i="3"/>
  <c r="M13" i="3"/>
  <c r="N13" i="3" s="1"/>
  <c r="P13" i="3" s="1"/>
  <c r="K13" i="3"/>
  <c r="R13" i="3" s="1"/>
  <c r="J13" i="3"/>
  <c r="I13" i="3"/>
  <c r="A13" i="3"/>
  <c r="M12" i="3"/>
  <c r="N12" i="3" s="1"/>
  <c r="I12" i="3"/>
  <c r="K12" i="3" s="1"/>
  <c r="A12" i="3"/>
  <c r="S11" i="3"/>
  <c r="M11" i="3"/>
  <c r="N11" i="3" s="1"/>
  <c r="J11" i="3"/>
  <c r="I11" i="3"/>
  <c r="K11" i="3" s="1"/>
  <c r="P47" i="2"/>
  <c r="P40" i="2"/>
  <c r="P39" i="2"/>
  <c r="P38" i="2"/>
  <c r="P35" i="2"/>
  <c r="P34" i="2"/>
  <c r="P24" i="2"/>
  <c r="P23" i="2"/>
  <c r="P19" i="2"/>
  <c r="P12" i="2"/>
  <c r="P11" i="2"/>
  <c r="O52" i="2"/>
  <c r="O48" i="2"/>
  <c r="O47" i="2"/>
  <c r="O41" i="2"/>
  <c r="O40" i="2"/>
  <c r="O39" i="2"/>
  <c r="O38" i="2"/>
  <c r="O35" i="2"/>
  <c r="O34" i="2"/>
  <c r="O28" i="2"/>
  <c r="O27" i="2"/>
  <c r="O26" i="2"/>
  <c r="O25" i="2"/>
  <c r="O24" i="2"/>
  <c r="O23" i="2"/>
  <c r="O20" i="2"/>
  <c r="O19" i="2"/>
  <c r="O18" i="2"/>
  <c r="O17" i="2"/>
  <c r="O16" i="2"/>
  <c r="J14" i="2"/>
  <c r="O14" i="2" s="1"/>
  <c r="O12" i="2"/>
  <c r="O11" i="2"/>
  <c r="J11" i="2"/>
  <c r="M52" i="2"/>
  <c r="F50" i="3" l="1"/>
  <c r="O31" i="3"/>
  <c r="O32" i="3" s="1"/>
  <c r="P25" i="3"/>
  <c r="R25" i="3"/>
  <c r="P20" i="3"/>
  <c r="R20" i="3" s="1"/>
  <c r="Q35" i="3"/>
  <c r="O35" i="3"/>
  <c r="Q52" i="3"/>
  <c r="Q54" i="3" s="1"/>
  <c r="O54" i="3"/>
  <c r="P52" i="3"/>
  <c r="P54" i="3" s="1"/>
  <c r="K54" i="3"/>
  <c r="P16" i="3"/>
  <c r="R16" i="3" s="1"/>
  <c r="R35" i="3"/>
  <c r="R36" i="3" s="1"/>
  <c r="F55" i="3"/>
  <c r="P47" i="3"/>
  <c r="Q27" i="3"/>
  <c r="O48" i="3"/>
  <c r="Q48" i="3" s="1"/>
  <c r="G55" i="3"/>
  <c r="O19" i="3"/>
  <c r="Q19" i="3" s="1"/>
  <c r="P29" i="3"/>
  <c r="P11" i="3"/>
  <c r="R27" i="3"/>
  <c r="J36" i="3"/>
  <c r="K32" i="3"/>
  <c r="P31" i="3"/>
  <c r="P32" i="3" s="1"/>
  <c r="O15" i="3"/>
  <c r="Q15" i="3" s="1"/>
  <c r="P26" i="3"/>
  <c r="R26" i="3"/>
  <c r="P12" i="3"/>
  <c r="R12" i="3" s="1"/>
  <c r="O11" i="3"/>
  <c r="J42" i="3"/>
  <c r="O39" i="3"/>
  <c r="Q39" i="3" s="1"/>
  <c r="P41" i="3"/>
  <c r="P42" i="3" s="1"/>
  <c r="K19" i="3"/>
  <c r="K29" i="3"/>
  <c r="Q14" i="3"/>
  <c r="Q18" i="3"/>
  <c r="Q24" i="3"/>
  <c r="Q28" i="3"/>
  <c r="R39" i="3"/>
  <c r="Q40" i="3"/>
  <c r="K48" i="3"/>
  <c r="K49" i="3" s="1"/>
  <c r="J32" i="3"/>
  <c r="R14" i="3"/>
  <c r="R18" i="3"/>
  <c r="R24" i="3"/>
  <c r="R29" i="3" s="1"/>
  <c r="R28" i="3"/>
  <c r="Q31" i="3"/>
  <c r="Q32" i="3" s="1"/>
  <c r="O34" i="3"/>
  <c r="R40" i="3"/>
  <c r="Q41" i="3"/>
  <c r="O44" i="3"/>
  <c r="O45" i="3" s="1"/>
  <c r="K15" i="3"/>
  <c r="K21" i="3" s="1"/>
  <c r="Q44" i="3"/>
  <c r="Q45" i="3" s="1"/>
  <c r="O13" i="3"/>
  <c r="Q13" i="3" s="1"/>
  <c r="O17" i="3"/>
  <c r="Q17" i="3" s="1"/>
  <c r="O23" i="3"/>
  <c r="J25" i="3"/>
  <c r="O27" i="3"/>
  <c r="J29" i="3"/>
  <c r="P35" i="3"/>
  <c r="P36" i="3" s="1"/>
  <c r="O38" i="3"/>
  <c r="O42" i="3" s="1"/>
  <c r="J12" i="3"/>
  <c r="J21" i="3" s="1"/>
  <c r="J16" i="3"/>
  <c r="J20" i="3"/>
  <c r="J26" i="3"/>
  <c r="K42" i="3"/>
  <c r="K44" i="3"/>
  <c r="K45" i="3" s="1"/>
  <c r="J47" i="3"/>
  <c r="G21" i="2"/>
  <c r="F21" i="2"/>
  <c r="M16" i="2"/>
  <c r="N16" i="2" s="1"/>
  <c r="K16" i="2"/>
  <c r="J16" i="2"/>
  <c r="I16" i="2"/>
  <c r="A35" i="2"/>
  <c r="A34" i="2"/>
  <c r="A25" i="2"/>
  <c r="A26" i="2" s="1"/>
  <c r="A27" i="2" s="1"/>
  <c r="A28" i="2" s="1"/>
  <c r="A24" i="2"/>
  <c r="A23" i="2"/>
  <c r="A16" i="2"/>
  <c r="A17" i="2" s="1"/>
  <c r="A18" i="2" s="1"/>
  <c r="A19" i="2" s="1"/>
  <c r="A20" i="2" s="1"/>
  <c r="K50" i="3" l="1"/>
  <c r="Q38" i="3"/>
  <c r="Q42" i="3" s="1"/>
  <c r="P44" i="3"/>
  <c r="P45" i="3" s="1"/>
  <c r="R41" i="3"/>
  <c r="R42" i="3" s="1"/>
  <c r="O21" i="3"/>
  <c r="R31" i="3"/>
  <c r="R32" i="3" s="1"/>
  <c r="K55" i="3"/>
  <c r="Q25" i="3"/>
  <c r="O25" i="3"/>
  <c r="Q11" i="3"/>
  <c r="Q47" i="3"/>
  <c r="Q49" i="3" s="1"/>
  <c r="O47" i="3"/>
  <c r="O49" i="3" s="1"/>
  <c r="J49" i="3"/>
  <c r="J50" i="3" s="1"/>
  <c r="J55" i="3" s="1"/>
  <c r="Q26" i="3"/>
  <c r="O26" i="3"/>
  <c r="O16" i="3"/>
  <c r="Q16" i="3" s="1"/>
  <c r="O29" i="3"/>
  <c r="R47" i="3"/>
  <c r="R52" i="3"/>
  <c r="R54" i="3" s="1"/>
  <c r="P15" i="3"/>
  <c r="R15" i="3" s="1"/>
  <c r="O20" i="3"/>
  <c r="Q20" i="3" s="1"/>
  <c r="O36" i="3"/>
  <c r="Q34" i="3"/>
  <c r="Q36" i="3" s="1"/>
  <c r="P48" i="3"/>
  <c r="R48" i="3" s="1"/>
  <c r="Q23" i="3"/>
  <c r="Q29" i="3" s="1"/>
  <c r="R11" i="3"/>
  <c r="O12" i="3"/>
  <c r="Q12" i="3" s="1"/>
  <c r="R44" i="3"/>
  <c r="R45" i="3" s="1"/>
  <c r="P19" i="3"/>
  <c r="R19" i="3"/>
  <c r="Q16" i="2"/>
  <c r="P16" i="2"/>
  <c r="R16" i="2" s="1"/>
  <c r="M28" i="2"/>
  <c r="N28" i="2" s="1"/>
  <c r="F29" i="2"/>
  <c r="I28" i="2"/>
  <c r="K28" i="2" s="1"/>
  <c r="A12" i="2"/>
  <c r="A13" i="2" s="1"/>
  <c r="A14" i="2" s="1"/>
  <c r="A15" i="2" s="1"/>
  <c r="S55" i="2"/>
  <c r="N52" i="2"/>
  <c r="G49" i="2"/>
  <c r="F49" i="2"/>
  <c r="F42" i="2"/>
  <c r="G42" i="2"/>
  <c r="M41" i="2"/>
  <c r="N41" i="2" s="1"/>
  <c r="I41" i="2"/>
  <c r="K41" i="2" s="1"/>
  <c r="G36" i="2"/>
  <c r="F36" i="2"/>
  <c r="M35" i="2"/>
  <c r="N35" i="2" s="1"/>
  <c r="I35" i="2"/>
  <c r="K35" i="2" s="1"/>
  <c r="G29" i="2"/>
  <c r="M12" i="2"/>
  <c r="N12" i="2" s="1"/>
  <c r="N13" i="2"/>
  <c r="M14" i="2"/>
  <c r="N14" i="2" s="1"/>
  <c r="M15" i="2"/>
  <c r="N15" i="2" s="1"/>
  <c r="M17" i="2"/>
  <c r="N17" i="2" s="1"/>
  <c r="M18" i="2"/>
  <c r="N18" i="2" s="1"/>
  <c r="M19" i="2"/>
  <c r="N19" i="2" s="1"/>
  <c r="M20" i="2"/>
  <c r="N20" i="2" s="1"/>
  <c r="M11" i="2"/>
  <c r="N11" i="2" s="1"/>
  <c r="M24" i="2"/>
  <c r="N24" i="2" s="1"/>
  <c r="M25" i="2"/>
  <c r="N25" i="2" s="1"/>
  <c r="M26" i="2"/>
  <c r="N26" i="2" s="1"/>
  <c r="M27" i="2"/>
  <c r="N27" i="2" s="1"/>
  <c r="M23" i="2"/>
  <c r="N23" i="2" s="1"/>
  <c r="I27" i="2"/>
  <c r="K27" i="2" s="1"/>
  <c r="I18" i="2"/>
  <c r="K18" i="2" s="1"/>
  <c r="I19" i="2"/>
  <c r="J19" i="2" s="1"/>
  <c r="I20" i="2"/>
  <c r="K20" i="2" s="1"/>
  <c r="I12" i="2"/>
  <c r="K12" i="2" s="1"/>
  <c r="I13" i="2"/>
  <c r="K13" i="2" s="1"/>
  <c r="G54" i="2"/>
  <c r="F54" i="2"/>
  <c r="I52" i="2"/>
  <c r="K52" i="2" s="1"/>
  <c r="M47" i="2"/>
  <c r="N47" i="2" s="1"/>
  <c r="I47" i="2"/>
  <c r="J47" i="2" s="1"/>
  <c r="M48" i="2"/>
  <c r="N48" i="2" s="1"/>
  <c r="I48" i="2"/>
  <c r="K48" i="2" s="1"/>
  <c r="F45" i="2"/>
  <c r="M44" i="2"/>
  <c r="N44" i="2" s="1"/>
  <c r="I44" i="2"/>
  <c r="G44" i="2"/>
  <c r="G45" i="2" s="1"/>
  <c r="M39" i="2"/>
  <c r="N39" i="2" s="1"/>
  <c r="I39" i="2"/>
  <c r="J39" i="2" s="1"/>
  <c r="M38" i="2"/>
  <c r="N38" i="2" s="1"/>
  <c r="I38" i="2"/>
  <c r="K38" i="2" s="1"/>
  <c r="M34" i="2"/>
  <c r="N34" i="2" s="1"/>
  <c r="I34" i="2"/>
  <c r="K34" i="2" s="1"/>
  <c r="G32" i="2"/>
  <c r="F32" i="2"/>
  <c r="M31" i="2"/>
  <c r="N31" i="2" s="1"/>
  <c r="I31" i="2"/>
  <c r="J31" i="2" s="1"/>
  <c r="I26" i="2"/>
  <c r="K26" i="2" s="1"/>
  <c r="I25" i="2"/>
  <c r="J25" i="2" s="1"/>
  <c r="I24" i="2"/>
  <c r="K24" i="2" s="1"/>
  <c r="I23" i="2"/>
  <c r="K23" i="2" s="1"/>
  <c r="I17" i="2"/>
  <c r="K17" i="2" s="1"/>
  <c r="I15" i="2"/>
  <c r="K15" i="2" s="1"/>
  <c r="I14" i="2"/>
  <c r="K14" i="2" s="1"/>
  <c r="M40" i="2"/>
  <c r="N40" i="2" s="1"/>
  <c r="I40" i="2"/>
  <c r="K40" i="2" s="1"/>
  <c r="S11" i="2"/>
  <c r="I11" i="2"/>
  <c r="P13" i="2" l="1"/>
  <c r="O13" i="2"/>
  <c r="O50" i="3"/>
  <c r="O55" i="3" s="1"/>
  <c r="P49" i="3"/>
  <c r="R49" i="3"/>
  <c r="R21" i="3"/>
  <c r="Q21" i="3"/>
  <c r="Q50" i="3" s="1"/>
  <c r="Q55" i="3" s="1"/>
  <c r="P21" i="3"/>
  <c r="P28" i="2"/>
  <c r="R28" i="2" s="1"/>
  <c r="J28" i="2"/>
  <c r="F50" i="2"/>
  <c r="F55" i="2" s="1"/>
  <c r="G50" i="2"/>
  <c r="G55" i="2" s="1"/>
  <c r="J41" i="2"/>
  <c r="Q41" i="2" s="1"/>
  <c r="J27" i="2"/>
  <c r="Q27" i="2" s="1"/>
  <c r="R24" i="2"/>
  <c r="J24" i="2"/>
  <c r="Q24" i="2" s="1"/>
  <c r="J35" i="2"/>
  <c r="K36" i="2"/>
  <c r="J18" i="2"/>
  <c r="J20" i="2"/>
  <c r="Q20" i="2" s="1"/>
  <c r="P27" i="2"/>
  <c r="R27" i="2" s="1"/>
  <c r="Q14" i="2"/>
  <c r="P41" i="2"/>
  <c r="R41" i="2" s="1"/>
  <c r="K11" i="2"/>
  <c r="J23" i="2"/>
  <c r="P26" i="2"/>
  <c r="R26" i="2" s="1"/>
  <c r="Q19" i="2"/>
  <c r="P17" i="2"/>
  <c r="R17" i="2" s="1"/>
  <c r="P20" i="2"/>
  <c r="R20" i="2" s="1"/>
  <c r="P15" i="2"/>
  <c r="R15" i="2" s="1"/>
  <c r="P18" i="2"/>
  <c r="R18" i="2" s="1"/>
  <c r="R12" i="2"/>
  <c r="Q25" i="2"/>
  <c r="R13" i="2"/>
  <c r="K25" i="2"/>
  <c r="K29" i="2" s="1"/>
  <c r="K19" i="2"/>
  <c r="K21" i="2" s="1"/>
  <c r="J17" i="2"/>
  <c r="J26" i="2"/>
  <c r="J15" i="2"/>
  <c r="O15" i="2" s="1"/>
  <c r="J13" i="2"/>
  <c r="J12" i="2"/>
  <c r="P14" i="2"/>
  <c r="R14" i="2" s="1"/>
  <c r="K39" i="2"/>
  <c r="K42" i="2" s="1"/>
  <c r="J34" i="2"/>
  <c r="K31" i="2"/>
  <c r="K32" i="2" s="1"/>
  <c r="K44" i="2"/>
  <c r="P44" i="2" s="1"/>
  <c r="P45" i="2" s="1"/>
  <c r="R40" i="2"/>
  <c r="O31" i="2"/>
  <c r="O32" i="2" s="1"/>
  <c r="J32" i="2"/>
  <c r="Q39" i="2"/>
  <c r="P48" i="2"/>
  <c r="R48" i="2" s="1"/>
  <c r="J44" i="2"/>
  <c r="J48" i="2"/>
  <c r="J49" i="2" s="1"/>
  <c r="K47" i="2"/>
  <c r="K49" i="2" s="1"/>
  <c r="J38" i="2"/>
  <c r="K54" i="2"/>
  <c r="P52" i="2"/>
  <c r="P54" i="2" s="1"/>
  <c r="J40" i="2"/>
  <c r="P50" i="3" l="1"/>
  <c r="P55" i="3" s="1"/>
  <c r="R50" i="3"/>
  <c r="R55" i="3" s="1"/>
  <c r="J21" i="2"/>
  <c r="J29" i="2"/>
  <c r="Q28" i="2"/>
  <c r="Q47" i="2"/>
  <c r="J42" i="2"/>
  <c r="J36" i="2"/>
  <c r="R23" i="2"/>
  <c r="R29" i="2" s="1"/>
  <c r="Q11" i="2"/>
  <c r="R11" i="2"/>
  <c r="Q35" i="2"/>
  <c r="R35" i="2"/>
  <c r="P36" i="2"/>
  <c r="Q15" i="2"/>
  <c r="Q26" i="2"/>
  <c r="Q13" i="2"/>
  <c r="P25" i="2"/>
  <c r="R25" i="2" s="1"/>
  <c r="P31" i="2"/>
  <c r="P32" i="2" s="1"/>
  <c r="R39" i="2"/>
  <c r="K45" i="2"/>
  <c r="O36" i="2"/>
  <c r="J54" i="2"/>
  <c r="R34" i="2"/>
  <c r="R52" i="2"/>
  <c r="R54" i="2" s="1"/>
  <c r="Q31" i="2"/>
  <c r="Q32" i="2" s="1"/>
  <c r="R44" i="2"/>
  <c r="R45" i="2" s="1"/>
  <c r="Q52" i="2"/>
  <c r="Q54" i="2" s="1"/>
  <c r="O54" i="2"/>
  <c r="R38" i="2"/>
  <c r="J45" i="2"/>
  <c r="O44" i="2"/>
  <c r="O45" i="2" s="1"/>
  <c r="O49" i="2"/>
  <c r="Q40" i="2"/>
  <c r="R19" i="2" l="1"/>
  <c r="R21" i="2" s="1"/>
  <c r="P21" i="2"/>
  <c r="Q18" i="2"/>
  <c r="O21" i="2"/>
  <c r="Q17" i="2"/>
  <c r="O29" i="2"/>
  <c r="P29" i="2"/>
  <c r="R42" i="2"/>
  <c r="O42" i="2"/>
  <c r="J50" i="2"/>
  <c r="J55" i="2" s="1"/>
  <c r="K50" i="2"/>
  <c r="K55" i="2" s="1"/>
  <c r="R47" i="2"/>
  <c r="R49" i="2" s="1"/>
  <c r="P49" i="2"/>
  <c r="Q23" i="2"/>
  <c r="Q29" i="2" s="1"/>
  <c r="Q12" i="2"/>
  <c r="R36" i="2"/>
  <c r="P42" i="2"/>
  <c r="R31" i="2"/>
  <c r="R32" i="2" s="1"/>
  <c r="Q34" i="2"/>
  <c r="Q36" i="2" s="1"/>
  <c r="Q48" i="2"/>
  <c r="Q49" i="2" s="1"/>
  <c r="Q38" i="2"/>
  <c r="Q42" i="2" s="1"/>
  <c r="Q44" i="2"/>
  <c r="Q45" i="2" s="1"/>
  <c r="O50" i="2" l="1"/>
  <c r="Q21" i="2"/>
  <c r="Q50" i="2" s="1"/>
  <c r="Q55" i="2" s="1"/>
  <c r="R50" i="2"/>
  <c r="R55" i="2" s="1"/>
  <c r="P50" i="2"/>
  <c r="P55" i="2" s="1"/>
</calcChain>
</file>

<file path=xl/sharedStrings.xml><?xml version="1.0" encoding="utf-8"?>
<sst xmlns="http://schemas.openxmlformats.org/spreadsheetml/2006/main" count="302" uniqueCount="108">
  <si>
    <t>на дополнительные затраты при производстве строительно-монтажных работ в зимнее время</t>
  </si>
  <si>
    <t>Составлен в ценах на 2 квартал 2023 г</t>
  </si>
  <si>
    <t>№  п/п</t>
  </si>
  <si>
    <t xml:space="preserve">Методика №332/пр </t>
  </si>
  <si>
    <t xml:space="preserve">Методика №325/пр </t>
  </si>
  <si>
    <t>Номер ЛС</t>
  </si>
  <si>
    <t>Наименование глав, объектов, работ и затрат</t>
  </si>
  <si>
    <t>Строительные работы, 
руб.</t>
  </si>
  <si>
    <t>Монтажные работы,
руб.</t>
  </si>
  <si>
    <t>Временные здания и сооружения</t>
  </si>
  <si>
    <t>Затраты при производстве строительно-монтажных работ в зимнее время</t>
  </si>
  <si>
    <t>Итого с учетом временных зданий и сооружений и затрат при производстве строительно-монтажных работ в зимнее время</t>
  </si>
  <si>
    <t>% от СМР ВЗиС</t>
  </si>
  <si>
    <t>Строительные работы, 
тыс. руб.</t>
  </si>
  <si>
    <t>Монтажные работы,
тыс. руб.</t>
  </si>
  <si>
    <t>% от СМР ЗУ</t>
  </si>
  <si>
    <t>1</t>
  </si>
  <si>
    <t>2</t>
  </si>
  <si>
    <t>4</t>
  </si>
  <si>
    <t>6</t>
  </si>
  <si>
    <t>8</t>
  </si>
  <si>
    <t>Глава 1. Подготовка территории строительства</t>
  </si>
  <si>
    <t>п.46</t>
  </si>
  <si>
    <t>п.54</t>
  </si>
  <si>
    <t>Мероприятия по обеспечению на линейном объекте безопасного движения в период его строительства</t>
  </si>
  <si>
    <t>Итого по главе 1</t>
  </si>
  <si>
    <t>Глава 2. Основные объекты строительства</t>
  </si>
  <si>
    <t>п.71</t>
  </si>
  <si>
    <t>п.77</t>
  </si>
  <si>
    <t>п.58</t>
  </si>
  <si>
    <t>Итого по главе 2</t>
  </si>
  <si>
    <t>Глава 3. Объекты подсобного и обслуживающего назначения</t>
  </si>
  <si>
    <t>Итого по главе 3</t>
  </si>
  <si>
    <t>Глава 4. Объекты энергетического хозяйства</t>
  </si>
  <si>
    <t>п.50</t>
  </si>
  <si>
    <t>ЛС 04-01-01</t>
  </si>
  <si>
    <t>Итого по главе 4</t>
  </si>
  <si>
    <t>Глава 5. Объекты транспортного хозяйства и связи</t>
  </si>
  <si>
    <t>п. 72</t>
  </si>
  <si>
    <t>ЛС 05-01-01</t>
  </si>
  <si>
    <t>Итого по главе 5</t>
  </si>
  <si>
    <t>Глава 6. Наружные сети и сооружения водоснабжения, водоотведения, теплоснабжения и газоснабжения</t>
  </si>
  <si>
    <t>Итого по главе 6</t>
  </si>
  <si>
    <t>Глава 7. Благоустройство и озеленение территории</t>
  </si>
  <si>
    <t>ЛС 07-01-01</t>
  </si>
  <si>
    <t>Наружное освещение</t>
  </si>
  <si>
    <t>п.60.3</t>
  </si>
  <si>
    <t>Благоустройство территории</t>
  </si>
  <si>
    <t>Итого по главе 7</t>
  </si>
  <si>
    <t>Итого по главам 1-7</t>
  </si>
  <si>
    <t>Глава 8. Временные здания и сооружения</t>
  </si>
  <si>
    <t>Итого по главе 8</t>
  </si>
  <si>
    <t>Итого по главам 1-8</t>
  </si>
  <si>
    <t>Составил:</t>
  </si>
  <si>
    <t>(должность, подпись, расшифровка)</t>
  </si>
  <si>
    <t>Проверил:</t>
  </si>
  <si>
    <t>Валка и выкорчевка зеленых насаждений.</t>
  </si>
  <si>
    <t>Трамвайные пути</t>
  </si>
  <si>
    <t>Строительство остановочных комплексов.</t>
  </si>
  <si>
    <t>Внешние каналы связи (Оптические линии по линейной части, поворотные камеры на опасных участках)</t>
  </si>
  <si>
    <t>Система управления остановочными пунктами. Информационные пилоны и видеонаблюдение.</t>
  </si>
  <si>
    <t>Электроснабжение и заземление остановок общественного транспорта</t>
  </si>
  <si>
    <t>Мероприятия по обеспечению на линейном объекте безопасного движения в период его эксплуатации</t>
  </si>
  <si>
    <t>Объект расположен в III температурной зоне область, (п.79 Ярославская область,  приложения №4, к=1,1)</t>
  </si>
  <si>
    <t>Расчет №01</t>
  </si>
  <si>
    <t xml:space="preserve"> с К =1,1 температурная зона</t>
  </si>
  <si>
    <t>К=1</t>
  </si>
  <si>
    <t>Контактная сеть</t>
  </si>
  <si>
    <t>п.76</t>
  </si>
  <si>
    <t>Защитные мероприятия по сохранению инженерных коммуникаций, находящихся в зоне строительства. Сети электроснабжения.</t>
  </si>
  <si>
    <t>Защитные мероприятия по сохранению инженерных коммуникаций, находящихся в зоне строительства. Сети водопровода.</t>
  </si>
  <si>
    <t>Защитные мероприятия по сохранению инженерных коммуникаций, находящихся в зоне строительства .Сети канализации.</t>
  </si>
  <si>
    <t>Защитные мероприятия по сохранению инженерных коммуникаций, находящихся в зоне строительства. Сети связи</t>
  </si>
  <si>
    <t>ЛСР-01-02-01</t>
  </si>
  <si>
    <t xml:space="preserve">ЛСР-01-03-01 </t>
  </si>
  <si>
    <t>ЛСР-01-03-02</t>
  </si>
  <si>
    <t>ЛСР-01-03-03</t>
  </si>
  <si>
    <t>ЛСР-01-03-04</t>
  </si>
  <si>
    <t xml:space="preserve">ЛСР-01-04-01 </t>
  </si>
  <si>
    <t>Демонтаж рельсошпальной решетки трамвайных путей</t>
  </si>
  <si>
    <t>Демонтаж  контактной сети на участке от трамвайного кольца «Больница № 9» (включая его) до разворотного круга на ул. Волгоградской.</t>
  </si>
  <si>
    <t>Демонтаж остановочных комплексов.</t>
  </si>
  <si>
    <t>ЛСР-01-05-01</t>
  </si>
  <si>
    <t>ЛСР-01-05-02</t>
  </si>
  <si>
    <t>ЛСР-01-05-03</t>
  </si>
  <si>
    <t>п.47</t>
  </si>
  <si>
    <t>ЛСР-02-01-01</t>
  </si>
  <si>
    <t>ЛСР-02-01-02</t>
  </si>
  <si>
    <t>ЛСР-02-01-03</t>
  </si>
  <si>
    <t>ЛСР-02-01-04</t>
  </si>
  <si>
    <t>ЛСР-02-01-05</t>
  </si>
  <si>
    <t>Водоотведение от трамвайных путей</t>
  </si>
  <si>
    <t>Мероприятия по обеспечению доступа инвалидов.</t>
  </si>
  <si>
    <t>ЛС 04-02-01</t>
  </si>
  <si>
    <t>Электроснабжение от тяговых подстанций</t>
  </si>
  <si>
    <t>Автоматизация и электрообогрев стрелочных переводов</t>
  </si>
  <si>
    <t>ЛС 05-02-01</t>
  </si>
  <si>
    <t>ЛС 05-03-01</t>
  </si>
  <si>
    <t>ЛС 05-04-01</t>
  </si>
  <si>
    <t>п.72</t>
  </si>
  <si>
    <t>п.60.1</t>
  </si>
  <si>
    <t>ЛСР-08-01-01</t>
  </si>
  <si>
    <t>Временные покрытие плит для строительства трамвайных путей</t>
  </si>
  <si>
    <t>п.60.2</t>
  </si>
  <si>
    <t>ЛСР-02-02-01</t>
  </si>
  <si>
    <t>Защитные мероприятия по сохранению инженерных коммуникаций, находящихся в зоне строительства. Сети газоснабжения.</t>
  </si>
  <si>
    <t>ЛСР-01-03-05</t>
  </si>
  <si>
    <t>Электроэнергия получаемая от ДЭС.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</si>
</sst>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00206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i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  <scheme val="minor"/>
    </font>
    <font>
      <b/>
      <sz val="10"/>
      <name val="Calibri"/>
      <family val="2"/>
      <charset val="204"/>
      <scheme val="minor"/>
    </font>
    <font>
      <b/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134">
    <xf numFmtId="0" fontId="0" fillId="0" borderId="0" xfId="0"/>
    <xf numFmtId="4" fontId="6" fillId="0" borderId="1" xfId="1" applyNumberFormat="1" applyFont="1" applyBorder="1" applyAlignment="1">
      <alignment vertical="center"/>
    </xf>
    <xf numFmtId="10" fontId="11" fillId="0" borderId="1" xfId="2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9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9" fillId="0" borderId="0" xfId="1" applyFont="1" applyAlignment="1">
      <alignment vertical="center"/>
    </xf>
    <xf numFmtId="0" fontId="6" fillId="0" borderId="1" xfId="1" applyFont="1" applyBorder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10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vertical="center" wrapText="1"/>
    </xf>
    <xf numFmtId="0" fontId="10" fillId="0" borderId="1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6" fillId="0" borderId="1" xfId="1" applyFont="1" applyBorder="1" applyAlignment="1">
      <alignment vertical="center" wrapText="1"/>
    </xf>
    <xf numFmtId="4" fontId="10" fillId="0" borderId="1" xfId="1" applyNumberFormat="1" applyFont="1" applyBorder="1" applyAlignment="1">
      <alignment vertical="center"/>
    </xf>
    <xf numFmtId="4" fontId="12" fillId="0" borderId="1" xfId="2" applyNumberFormat="1" applyFont="1" applyBorder="1" applyAlignment="1">
      <alignment horizontal="center" vertical="center"/>
    </xf>
    <xf numFmtId="4" fontId="13" fillId="0" borderId="1" xfId="2" applyNumberFormat="1" applyFont="1" applyBorder="1" applyAlignment="1">
      <alignment horizontal="center" vertical="center"/>
    </xf>
    <xf numFmtId="4" fontId="14" fillId="0" borderId="1" xfId="2" applyNumberFormat="1" applyFont="1" applyBorder="1" applyAlignment="1">
      <alignment horizontal="center" vertical="center"/>
    </xf>
    <xf numFmtId="0" fontId="6" fillId="0" borderId="1" xfId="1" applyFont="1" applyBorder="1" applyAlignment="1">
      <alignment vertical="center"/>
    </xf>
    <xf numFmtId="0" fontId="6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vertical="center"/>
    </xf>
    <xf numFmtId="0" fontId="9" fillId="0" borderId="0" xfId="1" applyFont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4" fontId="6" fillId="2" borderId="1" xfId="1" applyNumberFormat="1" applyFont="1" applyFill="1" applyBorder="1" applyAlignment="1">
      <alignment vertical="center"/>
    </xf>
    <xf numFmtId="10" fontId="11" fillId="2" borderId="1" xfId="2" applyNumberFormat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vertical="center" wrapText="1"/>
    </xf>
    <xf numFmtId="4" fontId="10" fillId="2" borderId="1" xfId="1" applyNumberFormat="1" applyFont="1" applyFill="1" applyBorder="1" applyAlignment="1">
      <alignment vertical="center"/>
    </xf>
    <xf numFmtId="4" fontId="13" fillId="2" borderId="1" xfId="2" applyNumberFormat="1" applyFont="1" applyFill="1" applyBorder="1" applyAlignment="1">
      <alignment horizontal="center" vertical="center"/>
    </xf>
    <xf numFmtId="0" fontId="16" fillId="2" borderId="1" xfId="1" applyFont="1" applyFill="1" applyBorder="1" applyAlignment="1">
      <alignment horizontal="center" vertical="center"/>
    </xf>
    <xf numFmtId="4" fontId="16" fillId="2" borderId="1" xfId="1" applyNumberFormat="1" applyFont="1" applyFill="1" applyBorder="1" applyAlignment="1">
      <alignment vertical="center"/>
    </xf>
    <xf numFmtId="10" fontId="17" fillId="2" borderId="1" xfId="2" applyNumberFormat="1" applyFont="1" applyFill="1" applyBorder="1" applyAlignment="1">
      <alignment horizontal="center" vertical="center" wrapText="1"/>
    </xf>
    <xf numFmtId="0" fontId="6" fillId="3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10" fontId="17" fillId="0" borderId="1" xfId="2" applyNumberFormat="1" applyFont="1" applyBorder="1" applyAlignment="1">
      <alignment horizontal="center" vertical="center" wrapText="1"/>
    </xf>
    <xf numFmtId="4" fontId="12" fillId="2" borderId="1" xfId="2" applyNumberFormat="1" applyFont="1" applyFill="1" applyBorder="1" applyAlignment="1">
      <alignment horizontal="center" vertical="center"/>
    </xf>
    <xf numFmtId="4" fontId="19" fillId="0" borderId="1" xfId="2" applyNumberFormat="1" applyFont="1" applyBorder="1" applyAlignment="1">
      <alignment horizontal="center" vertical="center"/>
    </xf>
    <xf numFmtId="4" fontId="16" fillId="3" borderId="1" xfId="1" applyNumberFormat="1" applyFont="1" applyFill="1" applyBorder="1" applyAlignment="1">
      <alignment vertical="center"/>
    </xf>
    <xf numFmtId="4" fontId="6" fillId="3" borderId="1" xfId="1" applyNumberFormat="1" applyFont="1" applyFill="1" applyBorder="1" applyAlignment="1">
      <alignment vertical="center"/>
    </xf>
    <xf numFmtId="0" fontId="6" fillId="4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/>
    </xf>
    <xf numFmtId="0" fontId="10" fillId="4" borderId="1" xfId="1" applyFont="1" applyFill="1" applyBorder="1" applyAlignment="1">
      <alignment vertical="center"/>
    </xf>
    <xf numFmtId="4" fontId="16" fillId="4" borderId="1" xfId="1" applyNumberFormat="1" applyFont="1" applyFill="1" applyBorder="1" applyAlignment="1">
      <alignment vertical="center"/>
    </xf>
    <xf numFmtId="4" fontId="10" fillId="4" borderId="1" xfId="1" applyNumberFormat="1" applyFont="1" applyFill="1" applyBorder="1" applyAlignment="1">
      <alignment vertical="center"/>
    </xf>
    <xf numFmtId="4" fontId="6" fillId="4" borderId="1" xfId="1" applyNumberFormat="1" applyFont="1" applyFill="1" applyBorder="1" applyAlignment="1">
      <alignment vertical="center"/>
    </xf>
    <xf numFmtId="0" fontId="16" fillId="2" borderId="1" xfId="1" applyFont="1" applyFill="1" applyBorder="1" applyAlignment="1">
      <alignment vertical="center" wrapText="1"/>
    </xf>
    <xf numFmtId="0" fontId="6" fillId="2" borderId="1" xfId="1" applyFont="1" applyFill="1" applyBorder="1" applyAlignment="1">
      <alignment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vertical="center"/>
    </xf>
    <xf numFmtId="4" fontId="10" fillId="3" borderId="1" xfId="1" applyNumberFormat="1" applyFont="1" applyFill="1" applyBorder="1" applyAlignment="1">
      <alignment vertical="center"/>
    </xf>
    <xf numFmtId="0" fontId="6" fillId="3" borderId="2" xfId="1" applyFont="1" applyFill="1" applyBorder="1" applyAlignment="1">
      <alignment vertical="center"/>
    </xf>
    <xf numFmtId="0" fontId="6" fillId="5" borderId="0" xfId="1" applyFont="1" applyFill="1" applyAlignment="1">
      <alignment vertical="center"/>
    </xf>
    <xf numFmtId="0" fontId="6" fillId="5" borderId="1" xfId="1" applyFont="1" applyFill="1" applyBorder="1" applyAlignment="1">
      <alignment horizontal="center" vertical="center"/>
    </xf>
    <xf numFmtId="0" fontId="10" fillId="5" borderId="1" xfId="1" applyFont="1" applyFill="1" applyBorder="1" applyAlignment="1">
      <alignment vertical="center"/>
    </xf>
    <xf numFmtId="4" fontId="16" fillId="5" borderId="1" xfId="1" applyNumberFormat="1" applyFont="1" applyFill="1" applyBorder="1" applyAlignment="1">
      <alignment vertical="center"/>
    </xf>
    <xf numFmtId="4" fontId="10" fillId="5" borderId="1" xfId="1" applyNumberFormat="1" applyFont="1" applyFill="1" applyBorder="1" applyAlignment="1">
      <alignment vertical="center"/>
    </xf>
    <xf numFmtId="4" fontId="6" fillId="5" borderId="1" xfId="1" applyNumberFormat="1" applyFont="1" applyFill="1" applyBorder="1" applyAlignment="1">
      <alignment vertical="center"/>
    </xf>
    <xf numFmtId="0" fontId="6" fillId="5" borderId="2" xfId="1" applyFont="1" applyFill="1" applyBorder="1" applyAlignment="1">
      <alignment vertical="center"/>
    </xf>
    <xf numFmtId="4" fontId="20" fillId="6" borderId="0" xfId="1" applyNumberFormat="1" applyFont="1" applyFill="1" applyAlignment="1">
      <alignment vertical="center"/>
    </xf>
    <xf numFmtId="4" fontId="10" fillId="6" borderId="1" xfId="1" applyNumberFormat="1" applyFont="1" applyFill="1" applyBorder="1" applyAlignment="1">
      <alignment vertical="center"/>
    </xf>
    <xf numFmtId="0" fontId="6" fillId="0" borderId="0" xfId="3" applyFont="1" applyAlignment="1">
      <alignment vertical="center"/>
    </xf>
    <xf numFmtId="0" fontId="9" fillId="0" borderId="0" xfId="3" applyFont="1" applyAlignment="1">
      <alignment horizontal="left" vertical="center"/>
    </xf>
    <xf numFmtId="0" fontId="6" fillId="0" borderId="0" xfId="3" applyFont="1" applyAlignment="1">
      <alignment horizontal="center" vertical="center"/>
    </xf>
    <xf numFmtId="0" fontId="6" fillId="5" borderId="0" xfId="3" applyFont="1" applyFill="1" applyAlignment="1">
      <alignment vertical="center"/>
    </xf>
    <xf numFmtId="0" fontId="6" fillId="3" borderId="0" xfId="3" applyFont="1" applyFill="1" applyAlignment="1">
      <alignment vertical="center"/>
    </xf>
    <xf numFmtId="0" fontId="9" fillId="0" borderId="0" xfId="3" applyFont="1" applyAlignment="1">
      <alignment vertical="center"/>
    </xf>
    <xf numFmtId="0" fontId="6" fillId="0" borderId="1" xfId="3" applyFont="1" applyBorder="1" applyAlignment="1">
      <alignment horizontal="center" vertical="center" wrapText="1"/>
    </xf>
    <xf numFmtId="0" fontId="6" fillId="3" borderId="1" xfId="3" applyFont="1" applyFill="1" applyBorder="1" applyAlignment="1">
      <alignment horizontal="center" vertical="center" wrapText="1"/>
    </xf>
    <xf numFmtId="0" fontId="6" fillId="4" borderId="1" xfId="3" applyFont="1" applyFill="1" applyBorder="1" applyAlignment="1">
      <alignment horizontal="center" vertical="center" wrapText="1"/>
    </xf>
    <xf numFmtId="0" fontId="6" fillId="0" borderId="0" xfId="3" applyFont="1" applyAlignment="1">
      <alignment vertical="center" wrapText="1"/>
    </xf>
    <xf numFmtId="0" fontId="6" fillId="0" borderId="1" xfId="3" applyFont="1" applyBorder="1" applyAlignment="1">
      <alignment horizontal="center" vertical="center"/>
    </xf>
    <xf numFmtId="0" fontId="6" fillId="5" borderId="1" xfId="3" applyFont="1" applyFill="1" applyBorder="1" applyAlignment="1">
      <alignment horizontal="center" vertical="center"/>
    </xf>
    <xf numFmtId="0" fontId="6" fillId="3" borderId="1" xfId="3" applyFont="1" applyFill="1" applyBorder="1" applyAlignment="1">
      <alignment horizontal="center" vertical="center"/>
    </xf>
    <xf numFmtId="0" fontId="6" fillId="4" borderId="1" xfId="3" applyFont="1" applyFill="1" applyBorder="1" applyAlignment="1">
      <alignment horizontal="center" vertical="center"/>
    </xf>
    <xf numFmtId="0" fontId="10" fillId="0" borderId="1" xfId="3" applyFont="1" applyBorder="1" applyAlignment="1">
      <alignment horizontal="center" vertical="center"/>
    </xf>
    <xf numFmtId="0" fontId="10" fillId="0" borderId="1" xfId="3" applyFont="1" applyBorder="1" applyAlignment="1">
      <alignment vertical="center" wrapText="1"/>
    </xf>
    <xf numFmtId="0" fontId="10" fillId="5" borderId="1" xfId="3" applyFont="1" applyFill="1" applyBorder="1" applyAlignment="1">
      <alignment vertical="center"/>
    </xf>
    <xf numFmtId="0" fontId="10" fillId="0" borderId="1" xfId="3" applyFont="1" applyBorder="1" applyAlignment="1">
      <alignment vertical="center"/>
    </xf>
    <xf numFmtId="0" fontId="10" fillId="3" borderId="1" xfId="3" applyFont="1" applyFill="1" applyBorder="1" applyAlignment="1">
      <alignment vertical="center"/>
    </xf>
    <xf numFmtId="0" fontId="10" fillId="4" borderId="1" xfId="3" applyFont="1" applyFill="1" applyBorder="1" applyAlignment="1">
      <alignment vertical="center"/>
    </xf>
    <xf numFmtId="0" fontId="10" fillId="0" borderId="0" xfId="3" applyFont="1" applyAlignment="1">
      <alignment vertical="center"/>
    </xf>
    <xf numFmtId="0" fontId="16" fillId="0" borderId="1" xfId="3" applyFont="1" applyBorder="1" applyAlignment="1">
      <alignment horizontal="center" vertical="center"/>
    </xf>
    <xf numFmtId="0" fontId="16" fillId="2" borderId="1" xfId="3" applyFont="1" applyFill="1" applyBorder="1" applyAlignment="1">
      <alignment vertical="center" wrapText="1"/>
    </xf>
    <xf numFmtId="4" fontId="16" fillId="5" borderId="1" xfId="3" applyNumberFormat="1" applyFont="1" applyFill="1" applyBorder="1" applyAlignment="1">
      <alignment vertical="center"/>
    </xf>
    <xf numFmtId="4" fontId="16" fillId="3" borderId="1" xfId="3" applyNumberFormat="1" applyFont="1" applyFill="1" applyBorder="1" applyAlignment="1">
      <alignment vertical="center"/>
    </xf>
    <xf numFmtId="4" fontId="16" fillId="4" borderId="1" xfId="3" applyNumberFormat="1" applyFont="1" applyFill="1" applyBorder="1" applyAlignment="1">
      <alignment vertical="center"/>
    </xf>
    <xf numFmtId="4" fontId="16" fillId="2" borderId="1" xfId="3" applyNumberFormat="1" applyFont="1" applyFill="1" applyBorder="1" applyAlignment="1">
      <alignment vertical="center"/>
    </xf>
    <xf numFmtId="0" fontId="6" fillId="2" borderId="0" xfId="3" applyFont="1" applyFill="1" applyAlignment="1">
      <alignment vertical="center"/>
    </xf>
    <xf numFmtId="0" fontId="16" fillId="0" borderId="1" xfId="3" applyFont="1" applyBorder="1" applyAlignment="1">
      <alignment vertical="center" wrapText="1"/>
    </xf>
    <xf numFmtId="4" fontId="10" fillId="5" borderId="1" xfId="3" applyNumberFormat="1" applyFont="1" applyFill="1" applyBorder="1" applyAlignment="1">
      <alignment vertical="center"/>
    </xf>
    <xf numFmtId="4" fontId="10" fillId="0" borderId="1" xfId="3" applyNumberFormat="1" applyFont="1" applyBorder="1" applyAlignment="1">
      <alignment vertical="center"/>
    </xf>
    <xf numFmtId="4" fontId="10" fillId="3" borderId="1" xfId="3" applyNumberFormat="1" applyFont="1" applyFill="1" applyBorder="1" applyAlignment="1">
      <alignment vertical="center"/>
    </xf>
    <xf numFmtId="4" fontId="10" fillId="4" borderId="1" xfId="3" applyNumberFormat="1" applyFont="1" applyFill="1" applyBorder="1" applyAlignment="1">
      <alignment vertical="center"/>
    </xf>
    <xf numFmtId="0" fontId="6" fillId="0" borderId="1" xfId="3" applyFont="1" applyBorder="1" applyAlignment="1">
      <alignment vertical="center" wrapText="1"/>
    </xf>
    <xf numFmtId="4" fontId="6" fillId="5" borderId="1" xfId="3" applyNumberFormat="1" applyFont="1" applyFill="1" applyBorder="1" applyAlignment="1">
      <alignment vertical="center"/>
    </xf>
    <xf numFmtId="4" fontId="6" fillId="3" borderId="1" xfId="3" applyNumberFormat="1" applyFont="1" applyFill="1" applyBorder="1" applyAlignment="1">
      <alignment vertical="center"/>
    </xf>
    <xf numFmtId="4" fontId="6" fillId="4" borderId="1" xfId="3" applyNumberFormat="1" applyFont="1" applyFill="1" applyBorder="1" applyAlignment="1">
      <alignment vertical="center"/>
    </xf>
    <xf numFmtId="4" fontId="6" fillId="0" borderId="1" xfId="3" applyNumberFormat="1" applyFont="1" applyBorder="1" applyAlignment="1">
      <alignment vertical="center"/>
    </xf>
    <xf numFmtId="0" fontId="10" fillId="2" borderId="1" xfId="3" applyFont="1" applyFill="1" applyBorder="1" applyAlignment="1">
      <alignment vertical="center" wrapText="1"/>
    </xf>
    <xf numFmtId="4" fontId="10" fillId="2" borderId="1" xfId="3" applyNumberFormat="1" applyFont="1" applyFill="1" applyBorder="1" applyAlignment="1">
      <alignment vertical="center"/>
    </xf>
    <xf numFmtId="0" fontId="6" fillId="2" borderId="1" xfId="3" applyFont="1" applyFill="1" applyBorder="1" applyAlignment="1">
      <alignment vertical="center" wrapText="1"/>
    </xf>
    <xf numFmtId="4" fontId="6" fillId="2" borderId="1" xfId="3" applyNumberFormat="1" applyFont="1" applyFill="1" applyBorder="1" applyAlignment="1">
      <alignment vertical="center"/>
    </xf>
    <xf numFmtId="0" fontId="6" fillId="0" borderId="1" xfId="3" applyFont="1" applyBorder="1" applyAlignment="1">
      <alignment vertical="center"/>
    </xf>
    <xf numFmtId="0" fontId="6" fillId="0" borderId="2" xfId="3" applyFont="1" applyBorder="1" applyAlignment="1">
      <alignment horizontal="center" vertical="center"/>
    </xf>
    <xf numFmtId="0" fontId="6" fillId="0" borderId="2" xfId="3" applyFont="1" applyBorder="1" applyAlignment="1">
      <alignment vertical="center"/>
    </xf>
    <xf numFmtId="0" fontId="6" fillId="5" borderId="2" xfId="3" applyFont="1" applyFill="1" applyBorder="1" applyAlignment="1">
      <alignment vertical="center"/>
    </xf>
    <xf numFmtId="0" fontId="6" fillId="3" borderId="2" xfId="3" applyFont="1" applyFill="1" applyBorder="1" applyAlignment="1">
      <alignment vertical="center"/>
    </xf>
    <xf numFmtId="0" fontId="9" fillId="0" borderId="0" xfId="3" applyFont="1" applyAlignment="1">
      <alignment horizontal="center" vertical="center"/>
    </xf>
    <xf numFmtId="0" fontId="16" fillId="2" borderId="1" xfId="3" applyFont="1" applyFill="1" applyBorder="1" applyAlignment="1">
      <alignment horizontal="center" vertical="center"/>
    </xf>
    <xf numFmtId="4" fontId="6" fillId="7" borderId="0" xfId="3" applyNumberFormat="1" applyFont="1" applyFill="1" applyAlignment="1">
      <alignment vertical="center"/>
    </xf>
    <xf numFmtId="4" fontId="6" fillId="7" borderId="1" xfId="3" applyNumberFormat="1" applyFont="1" applyFill="1" applyBorder="1" applyAlignment="1">
      <alignment vertical="center"/>
    </xf>
    <xf numFmtId="0" fontId="1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15" fillId="0" borderId="3" xfId="1" applyFont="1" applyBorder="1" applyAlignment="1">
      <alignment horizontal="center" vertical="center" wrapText="1"/>
    </xf>
    <xf numFmtId="0" fontId="2" fillId="0" borderId="3" xfId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6" fillId="5" borderId="1" xfId="1" applyFont="1" applyFill="1" applyBorder="1" applyAlignment="1">
      <alignment horizontal="center" vertical="center" wrapText="1"/>
    </xf>
    <xf numFmtId="0" fontId="2" fillId="5" borderId="1" xfId="1" applyFill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 wrapText="1"/>
    </xf>
    <xf numFmtId="0" fontId="1" fillId="0" borderId="1" xfId="3" applyBorder="1" applyAlignment="1">
      <alignment horizontal="center" vertical="center" wrapText="1"/>
    </xf>
    <xf numFmtId="0" fontId="15" fillId="0" borderId="3" xfId="3" applyFont="1" applyBorder="1" applyAlignment="1">
      <alignment horizontal="center" vertical="center" wrapText="1"/>
    </xf>
    <xf numFmtId="0" fontId="1" fillId="0" borderId="3" xfId="3" applyBorder="1" applyAlignment="1">
      <alignment horizontal="center" vertical="center" wrapText="1"/>
    </xf>
    <xf numFmtId="0" fontId="4" fillId="0" borderId="0" xfId="3" applyFont="1" applyAlignment="1">
      <alignment horizontal="center" vertical="center" wrapText="1"/>
    </xf>
    <xf numFmtId="0" fontId="5" fillId="0" borderId="0" xfId="3" applyFont="1" applyAlignment="1">
      <alignment vertical="center" wrapText="1"/>
    </xf>
    <xf numFmtId="0" fontId="7" fillId="0" borderId="0" xfId="3" applyFont="1" applyAlignment="1">
      <alignment horizontal="center" vertical="center" wrapText="1"/>
    </xf>
    <xf numFmtId="0" fontId="8" fillId="0" borderId="0" xfId="3" applyFont="1" applyAlignment="1">
      <alignment vertical="center" wrapText="1"/>
    </xf>
    <xf numFmtId="0" fontId="6" fillId="5" borderId="1" xfId="3" applyFont="1" applyFill="1" applyBorder="1" applyAlignment="1">
      <alignment horizontal="center" vertical="center" wrapText="1"/>
    </xf>
    <xf numFmtId="0" fontId="1" fillId="5" borderId="1" xfId="3" applyFill="1" applyBorder="1" applyAlignment="1">
      <alignment horizontal="center" vertical="center" wrapText="1"/>
    </xf>
  </cellXfs>
  <cellStyles count="4">
    <cellStyle name="Обычный" xfId="0" builtinId="0"/>
    <cellStyle name="Обычный 13" xfId="2" xr:uid="{00000000-0005-0000-0000-000001000000}"/>
    <cellStyle name="Обычный 2" xfId="1" xr:uid="{00000000-0005-0000-0000-000002000000}"/>
    <cellStyle name="Обычный 2 2" xfId="3" xr:uid="{F8BEC043-5A7A-4375-B91C-6E23A3583C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.Shekhareva/AppData/Local/Microsoft/Windows/INetCache/Content.Outlook/6WDYABXV/01&#1072;%20&#1057;&#1084;&#1077;&#1090;&#1072;%20&#1082;&#1086;&#1085;&#1090;&#1088;&#1072;&#1082;&#1090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УЦ руб"/>
      <sheetName val="ВЗиС и ЗУ баз"/>
      <sheetName val="ТУЦ руб"/>
      <sheetName val="ВЗиС и ЗУ тек"/>
      <sheetName val="Расчетный файл"/>
    </sheetNames>
    <sheetDataSet>
      <sheetData sheetId="0" refreshError="1"/>
      <sheetData sheetId="1" refreshError="1"/>
      <sheetData sheetId="2">
        <row r="31">
          <cell r="M31">
            <v>2234567.39</v>
          </cell>
        </row>
        <row r="125">
          <cell r="N125">
            <v>0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A601C-2D22-4AE8-92A5-81104DE7B38F}">
  <dimension ref="A1:EC63"/>
  <sheetViews>
    <sheetView tabSelected="1" topLeftCell="A49" zoomScale="80" zoomScaleNormal="80" workbookViewId="0">
      <selection activeCell="P57" sqref="P57"/>
    </sheetView>
  </sheetViews>
  <sheetFormatPr defaultColWidth="9.109375" defaultRowHeight="13.8" x14ac:dyDescent="0.3"/>
  <cols>
    <col min="1" max="1" width="5.33203125" style="6" customWidth="1"/>
    <col min="2" max="3" width="10.5546875" style="6" customWidth="1"/>
    <col min="4" max="4" width="16.44140625" style="6" customWidth="1"/>
    <col min="5" max="5" width="43.88671875" style="4" customWidth="1"/>
    <col min="6" max="6" width="17.109375" style="53" customWidth="1"/>
    <col min="7" max="7" width="16.109375" style="53" customWidth="1"/>
    <col min="8" max="9" width="12.33203125" style="4" customWidth="1"/>
    <col min="10" max="11" width="14.44140625" style="33" customWidth="1"/>
    <col min="12" max="12" width="11.109375" style="4" customWidth="1"/>
    <col min="13" max="14" width="14.6640625" style="4" customWidth="1"/>
    <col min="15" max="16" width="14.109375" style="4" customWidth="1"/>
    <col min="17" max="18" width="16.5546875" style="4" customWidth="1"/>
    <col min="19" max="16384" width="9.109375" style="4"/>
  </cols>
  <sheetData>
    <row r="1" spans="1:133" ht="18" x14ac:dyDescent="0.3">
      <c r="A1" s="118" t="s">
        <v>64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</row>
    <row r="2" spans="1:133" ht="15.6" x14ac:dyDescent="0.3">
      <c r="A2" s="120" t="s">
        <v>0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</row>
    <row r="4" spans="1:133" x14ac:dyDescent="0.3">
      <c r="A4" s="5" t="s">
        <v>63</v>
      </c>
    </row>
    <row r="6" spans="1:133" x14ac:dyDescent="0.3">
      <c r="P6" s="7" t="s">
        <v>1</v>
      </c>
    </row>
    <row r="7" spans="1:133" ht="57.75" customHeight="1" x14ac:dyDescent="0.3">
      <c r="A7" s="114" t="s">
        <v>2</v>
      </c>
      <c r="B7" s="114" t="s">
        <v>3</v>
      </c>
      <c r="C7" s="114" t="s">
        <v>4</v>
      </c>
      <c r="D7" s="114" t="s">
        <v>5</v>
      </c>
      <c r="E7" s="114" t="s">
        <v>6</v>
      </c>
      <c r="F7" s="122" t="s">
        <v>7</v>
      </c>
      <c r="G7" s="122" t="s">
        <v>8</v>
      </c>
      <c r="H7" s="114" t="s">
        <v>9</v>
      </c>
      <c r="I7" s="114"/>
      <c r="J7" s="115"/>
      <c r="K7" s="115"/>
      <c r="L7" s="114" t="s">
        <v>10</v>
      </c>
      <c r="M7" s="115"/>
      <c r="N7" s="115"/>
      <c r="O7" s="115"/>
      <c r="P7" s="115"/>
      <c r="Q7" s="114" t="s">
        <v>11</v>
      </c>
      <c r="R7" s="115"/>
    </row>
    <row r="8" spans="1:133" s="9" customFormat="1" ht="41.4" x14ac:dyDescent="0.3">
      <c r="A8" s="115"/>
      <c r="B8" s="115"/>
      <c r="C8" s="115"/>
      <c r="D8" s="115"/>
      <c r="E8" s="115"/>
      <c r="F8" s="123"/>
      <c r="G8" s="123"/>
      <c r="H8" s="8" t="s">
        <v>12</v>
      </c>
      <c r="I8" s="8" t="s">
        <v>66</v>
      </c>
      <c r="J8" s="48" t="s">
        <v>13</v>
      </c>
      <c r="K8" s="48" t="s">
        <v>14</v>
      </c>
      <c r="L8" s="8" t="s">
        <v>15</v>
      </c>
      <c r="M8" s="8" t="s">
        <v>65</v>
      </c>
      <c r="N8" s="8" t="s">
        <v>66</v>
      </c>
      <c r="O8" s="40" t="s">
        <v>13</v>
      </c>
      <c r="P8" s="40" t="s">
        <v>14</v>
      </c>
      <c r="Q8" s="8" t="s">
        <v>13</v>
      </c>
      <c r="R8" s="8" t="s">
        <v>14</v>
      </c>
    </row>
    <row r="9" spans="1:133" s="6" customFormat="1" x14ac:dyDescent="0.3">
      <c r="A9" s="3" t="s">
        <v>16</v>
      </c>
      <c r="B9" s="3" t="s">
        <v>17</v>
      </c>
      <c r="C9" s="3">
        <v>3</v>
      </c>
      <c r="D9" s="3" t="s">
        <v>18</v>
      </c>
      <c r="E9" s="3">
        <v>5</v>
      </c>
      <c r="F9" s="54" t="s">
        <v>19</v>
      </c>
      <c r="G9" s="54">
        <v>7</v>
      </c>
      <c r="H9" s="3" t="s">
        <v>20</v>
      </c>
      <c r="I9" s="3">
        <v>9</v>
      </c>
      <c r="J9" s="49">
        <v>10</v>
      </c>
      <c r="K9" s="49">
        <v>11</v>
      </c>
      <c r="L9" s="3">
        <v>12</v>
      </c>
      <c r="M9" s="3">
        <v>13</v>
      </c>
      <c r="N9" s="3">
        <v>14</v>
      </c>
      <c r="O9" s="41">
        <v>15</v>
      </c>
      <c r="P9" s="41">
        <v>16</v>
      </c>
      <c r="Q9" s="3">
        <v>17</v>
      </c>
      <c r="R9" s="3">
        <v>18</v>
      </c>
    </row>
    <row r="10" spans="1:133" s="13" customFormat="1" ht="27.6" x14ac:dyDescent="0.3">
      <c r="A10" s="10"/>
      <c r="B10" s="10"/>
      <c r="C10" s="10"/>
      <c r="D10" s="10"/>
      <c r="E10" s="11" t="s">
        <v>21</v>
      </c>
      <c r="F10" s="55"/>
      <c r="G10" s="55"/>
      <c r="H10" s="12"/>
      <c r="I10" s="12"/>
      <c r="J10" s="50"/>
      <c r="K10" s="50"/>
      <c r="L10" s="12"/>
      <c r="M10" s="12"/>
      <c r="N10" s="12"/>
      <c r="O10" s="42"/>
      <c r="P10" s="42"/>
      <c r="Q10" s="12"/>
      <c r="R10" s="12"/>
    </row>
    <row r="11" spans="1:133" ht="41.4" x14ac:dyDescent="0.3">
      <c r="A11" s="30">
        <v>1</v>
      </c>
      <c r="B11" s="30" t="s">
        <v>22</v>
      </c>
      <c r="C11" s="30" t="s">
        <v>23</v>
      </c>
      <c r="D11" s="30" t="s">
        <v>73</v>
      </c>
      <c r="E11" s="46" t="s">
        <v>24</v>
      </c>
      <c r="F11" s="56">
        <v>1779165.72</v>
      </c>
      <c r="G11" s="56">
        <v>0</v>
      </c>
      <c r="H11" s="32">
        <v>2.8000000000000001E-2</v>
      </c>
      <c r="I11" s="32">
        <f t="shared" ref="I11:I20" si="0">H11*1</f>
        <v>2.8000000000000001E-2</v>
      </c>
      <c r="J11" s="38">
        <f>ROUND(F11*I11,2)</f>
        <v>49816.639999999999</v>
      </c>
      <c r="K11" s="38">
        <f>ROUND(G11*I11,2)</f>
        <v>0</v>
      </c>
      <c r="L11" s="32">
        <v>2.7E-2</v>
      </c>
      <c r="M11" s="32">
        <f>L11*1.1</f>
        <v>2.9700000000000001E-2</v>
      </c>
      <c r="N11" s="32">
        <f t="shared" ref="N11:N20" si="1">M11*1</f>
        <v>2.9700000000000001E-2</v>
      </c>
      <c r="O11" s="43">
        <f t="shared" ref="O11:O20" si="2">ROUND((F11+J11)*N11,2)</f>
        <v>54320.78</v>
      </c>
      <c r="P11" s="43">
        <f>ROUND((G11+K11)*N11,2)</f>
        <v>0</v>
      </c>
      <c r="Q11" s="31">
        <f>F11+J11+O11</f>
        <v>1883303.14</v>
      </c>
      <c r="R11" s="31">
        <f t="shared" ref="R11:R20" si="3">G11+K11+P11</f>
        <v>0</v>
      </c>
      <c r="S11" s="4">
        <f>F11*0.0297</f>
        <v>52841.221883999999</v>
      </c>
    </row>
    <row r="12" spans="1:133" s="33" customFormat="1" ht="41.4" x14ac:dyDescent="0.3">
      <c r="A12" s="30">
        <f>A11+1</f>
        <v>2</v>
      </c>
      <c r="B12" s="30" t="s">
        <v>22</v>
      </c>
      <c r="C12" s="30" t="s">
        <v>38</v>
      </c>
      <c r="D12" s="30" t="s">
        <v>74</v>
      </c>
      <c r="E12" s="46" t="s">
        <v>72</v>
      </c>
      <c r="F12" s="56">
        <v>1205129.49</v>
      </c>
      <c r="G12" s="56">
        <v>58021.74</v>
      </c>
      <c r="H12" s="32">
        <v>2.8000000000000001E-2</v>
      </c>
      <c r="I12" s="32">
        <f t="shared" si="0"/>
        <v>2.8000000000000001E-2</v>
      </c>
      <c r="J12" s="38">
        <f t="shared" ref="J12:J20" si="4">ROUND(F12*I12,2)</f>
        <v>33743.629999999997</v>
      </c>
      <c r="K12" s="38">
        <f t="shared" ref="K12:K20" si="5">ROUND(G12*I12,2)</f>
        <v>1624.61</v>
      </c>
      <c r="L12" s="32">
        <v>3.1E-2</v>
      </c>
      <c r="M12" s="32">
        <f t="shared" ref="M12:M20" si="6">L12*1.1</f>
        <v>3.4100000000000005E-2</v>
      </c>
      <c r="N12" s="32">
        <f t="shared" si="1"/>
        <v>3.4100000000000005E-2</v>
      </c>
      <c r="O12" s="43">
        <f t="shared" si="2"/>
        <v>42245.57</v>
      </c>
      <c r="P12" s="43">
        <f>ROUND((G12+K12)*N12,2)</f>
        <v>2033.94</v>
      </c>
      <c r="Q12" s="31">
        <f t="shared" ref="Q12:Q20" si="7">F12+J12+O12</f>
        <v>1281118.69</v>
      </c>
      <c r="R12" s="31">
        <f t="shared" si="3"/>
        <v>61680.29</v>
      </c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</row>
    <row r="13" spans="1:133" s="33" customFormat="1" ht="41.4" x14ac:dyDescent="0.3">
      <c r="A13" s="30">
        <f t="shared" ref="A13:A20" si="8">A12+1</f>
        <v>3</v>
      </c>
      <c r="B13" s="30" t="s">
        <v>22</v>
      </c>
      <c r="C13" s="113" t="s">
        <v>27</v>
      </c>
      <c r="D13" s="30" t="s">
        <v>75</v>
      </c>
      <c r="E13" s="46" t="s">
        <v>69</v>
      </c>
      <c r="F13" s="56">
        <v>4085928.2</v>
      </c>
      <c r="G13" s="56">
        <v>218371.93</v>
      </c>
      <c r="H13" s="32">
        <v>2.8000000000000001E-2</v>
      </c>
      <c r="I13" s="32">
        <f t="shared" ref="I13" si="9">H13*1</f>
        <v>2.8000000000000001E-2</v>
      </c>
      <c r="J13" s="38">
        <f t="shared" si="4"/>
        <v>114405.99</v>
      </c>
      <c r="K13" s="38">
        <f t="shared" si="5"/>
        <v>6114.41</v>
      </c>
      <c r="L13" s="35">
        <v>0.02</v>
      </c>
      <c r="M13" s="35">
        <f>L13*1.1</f>
        <v>2.2000000000000002E-2</v>
      </c>
      <c r="N13" s="35">
        <f t="shared" si="1"/>
        <v>2.2000000000000002E-2</v>
      </c>
      <c r="O13" s="43">
        <f t="shared" si="2"/>
        <v>92407.35</v>
      </c>
      <c r="P13" s="43">
        <f>ROUND((G13+K13)*N13,2)</f>
        <v>4938.7</v>
      </c>
      <c r="Q13" s="31">
        <f t="shared" si="7"/>
        <v>4292741.54</v>
      </c>
      <c r="R13" s="31">
        <f t="shared" si="3"/>
        <v>229425.04</v>
      </c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</row>
    <row r="14" spans="1:133" ht="45.75" customHeight="1" x14ac:dyDescent="0.3">
      <c r="A14" s="30">
        <f t="shared" si="8"/>
        <v>4</v>
      </c>
      <c r="B14" s="30" t="s">
        <v>22</v>
      </c>
      <c r="C14" s="30" t="s">
        <v>68</v>
      </c>
      <c r="D14" s="30" t="s">
        <v>76</v>
      </c>
      <c r="E14" s="46" t="s">
        <v>70</v>
      </c>
      <c r="F14" s="56">
        <v>26692090.32</v>
      </c>
      <c r="G14" s="56">
        <v>0</v>
      </c>
      <c r="H14" s="32">
        <v>2.8000000000000001E-2</v>
      </c>
      <c r="I14" s="32">
        <f t="shared" si="0"/>
        <v>2.8000000000000001E-2</v>
      </c>
      <c r="J14" s="38">
        <f>ROUND(F14*I14,2)</f>
        <v>747378.53</v>
      </c>
      <c r="K14" s="38">
        <f t="shared" si="5"/>
        <v>0</v>
      </c>
      <c r="L14" s="32">
        <v>2.3E-2</v>
      </c>
      <c r="M14" s="32">
        <f t="shared" si="6"/>
        <v>2.5300000000000003E-2</v>
      </c>
      <c r="N14" s="32">
        <f t="shared" si="1"/>
        <v>2.5300000000000003E-2</v>
      </c>
      <c r="O14" s="43">
        <f t="shared" si="2"/>
        <v>694218.56</v>
      </c>
      <c r="P14" s="43">
        <f t="shared" ref="P14:P20" si="10">ROUND((G14+K14)*N14,2)</f>
        <v>0</v>
      </c>
      <c r="Q14" s="31">
        <f t="shared" si="7"/>
        <v>28133687.41</v>
      </c>
      <c r="R14" s="31">
        <f t="shared" si="3"/>
        <v>0</v>
      </c>
    </row>
    <row r="15" spans="1:133" ht="41.4" x14ac:dyDescent="0.3">
      <c r="A15" s="30">
        <f t="shared" si="8"/>
        <v>5</v>
      </c>
      <c r="B15" s="30" t="s">
        <v>22</v>
      </c>
      <c r="C15" s="30" t="s">
        <v>28</v>
      </c>
      <c r="D15" s="30" t="s">
        <v>77</v>
      </c>
      <c r="E15" s="46" t="s">
        <v>71</v>
      </c>
      <c r="F15" s="56">
        <v>26318276.949999999</v>
      </c>
      <c r="G15" s="56">
        <v>0</v>
      </c>
      <c r="H15" s="32">
        <v>2.8000000000000001E-2</v>
      </c>
      <c r="I15" s="32">
        <f t="shared" si="0"/>
        <v>2.8000000000000001E-2</v>
      </c>
      <c r="J15" s="38">
        <f t="shared" si="4"/>
        <v>736911.75</v>
      </c>
      <c r="K15" s="38">
        <f t="shared" si="5"/>
        <v>0</v>
      </c>
      <c r="L15" s="32">
        <v>2.5000000000000001E-2</v>
      </c>
      <c r="M15" s="32">
        <f t="shared" si="6"/>
        <v>2.7500000000000004E-2</v>
      </c>
      <c r="N15" s="32">
        <f t="shared" si="1"/>
        <v>2.7500000000000004E-2</v>
      </c>
      <c r="O15" s="43">
        <f t="shared" si="2"/>
        <v>744017.69</v>
      </c>
      <c r="P15" s="43">
        <f t="shared" si="10"/>
        <v>0</v>
      </c>
      <c r="Q15" s="31">
        <f t="shared" si="7"/>
        <v>27799206.390000001</v>
      </c>
      <c r="R15" s="31">
        <f t="shared" si="3"/>
        <v>0</v>
      </c>
    </row>
    <row r="16" spans="1:133" ht="41.4" x14ac:dyDescent="0.3">
      <c r="A16" s="30">
        <f t="shared" si="8"/>
        <v>6</v>
      </c>
      <c r="B16" s="30" t="s">
        <v>22</v>
      </c>
      <c r="C16" s="30" t="s">
        <v>68</v>
      </c>
      <c r="D16" s="30" t="s">
        <v>106</v>
      </c>
      <c r="E16" s="46" t="s">
        <v>105</v>
      </c>
      <c r="F16" s="56">
        <v>1762563.35</v>
      </c>
      <c r="G16" s="56">
        <v>0</v>
      </c>
      <c r="H16" s="32">
        <v>2.8000000000000001E-2</v>
      </c>
      <c r="I16" s="32">
        <f t="shared" si="0"/>
        <v>2.8000000000000001E-2</v>
      </c>
      <c r="J16" s="38">
        <f t="shared" si="4"/>
        <v>49351.77</v>
      </c>
      <c r="K16" s="38">
        <f t="shared" si="5"/>
        <v>0</v>
      </c>
      <c r="L16" s="32">
        <v>2.3E-2</v>
      </c>
      <c r="M16" s="32">
        <f t="shared" si="6"/>
        <v>2.5300000000000003E-2</v>
      </c>
      <c r="N16" s="32">
        <f t="shared" si="1"/>
        <v>2.5300000000000003E-2</v>
      </c>
      <c r="O16" s="43">
        <f t="shared" si="2"/>
        <v>45841.45</v>
      </c>
      <c r="P16" s="43">
        <f t="shared" si="10"/>
        <v>0</v>
      </c>
      <c r="Q16" s="31">
        <f t="shared" si="7"/>
        <v>1857756.57</v>
      </c>
      <c r="R16" s="31">
        <f t="shared" si="3"/>
        <v>0</v>
      </c>
    </row>
    <row r="17" spans="1:18" ht="24" customHeight="1" x14ac:dyDescent="0.3">
      <c r="A17" s="30">
        <f t="shared" si="8"/>
        <v>7</v>
      </c>
      <c r="B17" s="30" t="s">
        <v>22</v>
      </c>
      <c r="C17" s="30" t="s">
        <v>23</v>
      </c>
      <c r="D17" s="30" t="s">
        <v>78</v>
      </c>
      <c r="E17" s="46" t="s">
        <v>56</v>
      </c>
      <c r="F17" s="56">
        <v>377054.47</v>
      </c>
      <c r="G17" s="56">
        <v>0</v>
      </c>
      <c r="H17" s="32">
        <v>2.8000000000000001E-2</v>
      </c>
      <c r="I17" s="32">
        <f t="shared" si="0"/>
        <v>2.8000000000000001E-2</v>
      </c>
      <c r="J17" s="38">
        <f t="shared" si="4"/>
        <v>10557.53</v>
      </c>
      <c r="K17" s="38">
        <f t="shared" si="5"/>
        <v>0</v>
      </c>
      <c r="L17" s="32">
        <v>2.7E-2</v>
      </c>
      <c r="M17" s="32">
        <f t="shared" si="6"/>
        <v>2.9700000000000001E-2</v>
      </c>
      <c r="N17" s="32">
        <f t="shared" si="1"/>
        <v>2.9700000000000001E-2</v>
      </c>
      <c r="O17" s="43">
        <f t="shared" si="2"/>
        <v>11512.08</v>
      </c>
      <c r="P17" s="43">
        <f t="shared" si="10"/>
        <v>0</v>
      </c>
      <c r="Q17" s="31">
        <f t="shared" si="7"/>
        <v>399124.08</v>
      </c>
      <c r="R17" s="31">
        <f t="shared" si="3"/>
        <v>0</v>
      </c>
    </row>
    <row r="18" spans="1:18" ht="29.4" customHeight="1" x14ac:dyDescent="0.3">
      <c r="A18" s="30">
        <f t="shared" si="8"/>
        <v>8</v>
      </c>
      <c r="B18" s="30" t="s">
        <v>22</v>
      </c>
      <c r="C18" s="30" t="s">
        <v>29</v>
      </c>
      <c r="D18" s="30" t="s">
        <v>82</v>
      </c>
      <c r="E18" s="46" t="s">
        <v>79</v>
      </c>
      <c r="F18" s="56">
        <v>19989883.07</v>
      </c>
      <c r="G18" s="56">
        <v>0</v>
      </c>
      <c r="H18" s="32">
        <v>2.8000000000000001E-2</v>
      </c>
      <c r="I18" s="32">
        <f t="shared" si="0"/>
        <v>2.8000000000000001E-2</v>
      </c>
      <c r="J18" s="38">
        <f t="shared" si="4"/>
        <v>559716.73</v>
      </c>
      <c r="K18" s="38">
        <f t="shared" si="5"/>
        <v>0</v>
      </c>
      <c r="L18" s="32">
        <v>1.2999999999999999E-2</v>
      </c>
      <c r="M18" s="32">
        <f t="shared" si="6"/>
        <v>1.43E-2</v>
      </c>
      <c r="N18" s="32">
        <f t="shared" si="1"/>
        <v>1.43E-2</v>
      </c>
      <c r="O18" s="43">
        <f t="shared" si="2"/>
        <v>293859.28000000003</v>
      </c>
      <c r="P18" s="43">
        <f t="shared" si="10"/>
        <v>0</v>
      </c>
      <c r="Q18" s="31">
        <f t="shared" si="7"/>
        <v>20843459.080000002</v>
      </c>
      <c r="R18" s="31">
        <f t="shared" si="3"/>
        <v>0</v>
      </c>
    </row>
    <row r="19" spans="1:18" ht="61.95" customHeight="1" x14ac:dyDescent="0.3">
      <c r="A19" s="30">
        <f t="shared" si="8"/>
        <v>9</v>
      </c>
      <c r="B19" s="30" t="s">
        <v>22</v>
      </c>
      <c r="C19" s="30" t="s">
        <v>27</v>
      </c>
      <c r="D19" s="30" t="s">
        <v>83</v>
      </c>
      <c r="E19" s="46" t="s">
        <v>80</v>
      </c>
      <c r="F19" s="56">
        <v>467309.74</v>
      </c>
      <c r="G19" s="56">
        <v>1117815</v>
      </c>
      <c r="H19" s="32">
        <v>2.8000000000000001E-2</v>
      </c>
      <c r="I19" s="32">
        <f t="shared" si="0"/>
        <v>2.8000000000000001E-2</v>
      </c>
      <c r="J19" s="38">
        <f t="shared" si="4"/>
        <v>13084.67</v>
      </c>
      <c r="K19" s="38">
        <f t="shared" si="5"/>
        <v>31298.82</v>
      </c>
      <c r="L19" s="32">
        <v>0.02</v>
      </c>
      <c r="M19" s="32">
        <f t="shared" si="6"/>
        <v>2.2000000000000002E-2</v>
      </c>
      <c r="N19" s="32">
        <f t="shared" si="1"/>
        <v>2.2000000000000002E-2</v>
      </c>
      <c r="O19" s="43">
        <f t="shared" si="2"/>
        <v>10568.68</v>
      </c>
      <c r="P19" s="43">
        <f>ROUND((G19+K19)*N19,2)</f>
        <v>25280.5</v>
      </c>
      <c r="Q19" s="31">
        <f t="shared" si="7"/>
        <v>490963.08999999997</v>
      </c>
      <c r="R19" s="31">
        <f t="shared" si="3"/>
        <v>1174394.32</v>
      </c>
    </row>
    <row r="20" spans="1:18" ht="24" customHeight="1" x14ac:dyDescent="0.3">
      <c r="A20" s="30">
        <f t="shared" si="8"/>
        <v>10</v>
      </c>
      <c r="B20" s="30" t="s">
        <v>22</v>
      </c>
      <c r="C20" s="30" t="s">
        <v>23</v>
      </c>
      <c r="D20" s="30" t="s">
        <v>84</v>
      </c>
      <c r="E20" s="46" t="s">
        <v>81</v>
      </c>
      <c r="F20" s="56">
        <v>67606.259999999995</v>
      </c>
      <c r="G20" s="56">
        <v>0</v>
      </c>
      <c r="H20" s="32">
        <v>2.8000000000000001E-2</v>
      </c>
      <c r="I20" s="32">
        <f t="shared" si="0"/>
        <v>2.8000000000000001E-2</v>
      </c>
      <c r="J20" s="38">
        <f t="shared" si="4"/>
        <v>1892.98</v>
      </c>
      <c r="K20" s="38">
        <f t="shared" si="5"/>
        <v>0</v>
      </c>
      <c r="L20" s="32">
        <v>2.7E-2</v>
      </c>
      <c r="M20" s="32">
        <f t="shared" si="6"/>
        <v>2.9700000000000001E-2</v>
      </c>
      <c r="N20" s="32">
        <f t="shared" si="1"/>
        <v>2.9700000000000001E-2</v>
      </c>
      <c r="O20" s="43">
        <f t="shared" si="2"/>
        <v>2064.13</v>
      </c>
      <c r="P20" s="43">
        <f t="shared" si="10"/>
        <v>0</v>
      </c>
      <c r="Q20" s="31">
        <f t="shared" si="7"/>
        <v>71563.37</v>
      </c>
      <c r="R20" s="31">
        <f t="shared" si="3"/>
        <v>0</v>
      </c>
    </row>
    <row r="21" spans="1:18" s="13" customFormat="1" ht="23.25" customHeight="1" x14ac:dyDescent="0.3">
      <c r="A21" s="10"/>
      <c r="B21" s="10"/>
      <c r="C21" s="10"/>
      <c r="D21" s="10"/>
      <c r="E21" s="11" t="s">
        <v>25</v>
      </c>
      <c r="F21" s="57">
        <f>SUM(F11:F20)</f>
        <v>82745007.570000008</v>
      </c>
      <c r="G21" s="57">
        <f t="shared" ref="G21:R21" si="11">SUM(G11:G20)</f>
        <v>1394208.67</v>
      </c>
      <c r="H21" s="15"/>
      <c r="I21" s="15"/>
      <c r="J21" s="51">
        <f t="shared" si="11"/>
        <v>2316860.2200000002</v>
      </c>
      <c r="K21" s="51">
        <f t="shared" si="11"/>
        <v>39037.839999999997</v>
      </c>
      <c r="L21" s="15"/>
      <c r="M21" s="15"/>
      <c r="N21" s="15"/>
      <c r="O21" s="44">
        <f>SUM(O11:O20)</f>
        <v>1991055.5699999998</v>
      </c>
      <c r="P21" s="44">
        <f>SUM(P11:P20)</f>
        <v>32253.14</v>
      </c>
      <c r="Q21" s="15">
        <f t="shared" si="11"/>
        <v>87052923.360000014</v>
      </c>
      <c r="R21" s="15">
        <f t="shared" si="11"/>
        <v>1465499.6500000001</v>
      </c>
    </row>
    <row r="22" spans="1:18" s="13" customFormat="1" x14ac:dyDescent="0.3">
      <c r="A22" s="10"/>
      <c r="B22" s="10"/>
      <c r="C22" s="10"/>
      <c r="D22" s="10"/>
      <c r="E22" s="11" t="s">
        <v>26</v>
      </c>
      <c r="F22" s="57"/>
      <c r="G22" s="57"/>
      <c r="H22" s="16"/>
      <c r="I22" s="16"/>
      <c r="J22" s="51"/>
      <c r="K22" s="51"/>
      <c r="L22" s="16"/>
      <c r="M22" s="16"/>
      <c r="N22" s="16"/>
      <c r="O22" s="44"/>
      <c r="P22" s="44"/>
      <c r="Q22" s="15"/>
      <c r="R22" s="15"/>
    </row>
    <row r="23" spans="1:18" ht="31.5" customHeight="1" x14ac:dyDescent="0.3">
      <c r="A23" s="30">
        <f>A20+1</f>
        <v>11</v>
      </c>
      <c r="B23" s="30" t="s">
        <v>22</v>
      </c>
      <c r="C23" s="30" t="s">
        <v>29</v>
      </c>
      <c r="D23" s="30" t="s">
        <v>86</v>
      </c>
      <c r="E23" s="46" t="s">
        <v>57</v>
      </c>
      <c r="F23" s="56">
        <v>1142657334.48</v>
      </c>
      <c r="G23" s="56">
        <v>666757.64</v>
      </c>
      <c r="H23" s="32">
        <v>2.8000000000000001E-2</v>
      </c>
      <c r="I23" s="32">
        <f t="shared" ref="I23:I28" si="12">H23*1</f>
        <v>2.8000000000000001E-2</v>
      </c>
      <c r="J23" s="38">
        <f>ROUND(F23*I23,2)</f>
        <v>31994405.370000001</v>
      </c>
      <c r="K23" s="38">
        <f>ROUND(G23*I23,2)</f>
        <v>18669.21</v>
      </c>
      <c r="L23" s="32">
        <v>1.2999999999999999E-2</v>
      </c>
      <c r="M23" s="32">
        <f>L23*1.1</f>
        <v>1.43E-2</v>
      </c>
      <c r="N23" s="32">
        <f>M23*1</f>
        <v>1.43E-2</v>
      </c>
      <c r="O23" s="43">
        <f t="shared" ref="O23:O28" si="13">ROUND((F23+J23)*N23,2)</f>
        <v>16797519.879999999</v>
      </c>
      <c r="P23" s="43">
        <f>ROUND((G23+K23)*N23,2)</f>
        <v>9801.6</v>
      </c>
      <c r="Q23" s="31">
        <f>F23+J23+O23</f>
        <v>1191449259.73</v>
      </c>
      <c r="R23" s="31">
        <f t="shared" ref="R23:R28" si="14">G23+K23+P23</f>
        <v>695228.45</v>
      </c>
    </row>
    <row r="24" spans="1:18" ht="31.5" customHeight="1" x14ac:dyDescent="0.3">
      <c r="A24" s="30">
        <f>A23+1</f>
        <v>12</v>
      </c>
      <c r="B24" s="30" t="s">
        <v>22</v>
      </c>
      <c r="C24" s="30" t="s">
        <v>27</v>
      </c>
      <c r="D24" s="30" t="s">
        <v>87</v>
      </c>
      <c r="E24" s="46" t="s">
        <v>67</v>
      </c>
      <c r="F24" s="56">
        <v>32197978</v>
      </c>
      <c r="G24" s="56">
        <v>157497864.97999999</v>
      </c>
      <c r="H24" s="32">
        <v>2.8000000000000001E-2</v>
      </c>
      <c r="I24" s="32">
        <f t="shared" si="12"/>
        <v>2.8000000000000001E-2</v>
      </c>
      <c r="J24" s="38">
        <f t="shared" ref="J24:J28" si="15">ROUND(F24*I24,2)</f>
        <v>901543.38</v>
      </c>
      <c r="K24" s="38">
        <f t="shared" ref="K24:K28" si="16">ROUND(G24*I24,2)</f>
        <v>4409940.22</v>
      </c>
      <c r="L24" s="32">
        <v>0.02</v>
      </c>
      <c r="M24" s="32">
        <f t="shared" ref="M24:M28" si="17">L24*1.1</f>
        <v>2.2000000000000002E-2</v>
      </c>
      <c r="N24" s="32">
        <f t="shared" ref="N24:N28" si="18">M24*1</f>
        <v>2.2000000000000002E-2</v>
      </c>
      <c r="O24" s="43">
        <f t="shared" si="13"/>
        <v>728189.47</v>
      </c>
      <c r="P24" s="43">
        <f>ROUND((G24+K24)*N24,2)</f>
        <v>3561971.71</v>
      </c>
      <c r="Q24" s="31">
        <f t="shared" ref="Q24:Q28" si="19">F24+J24+O24</f>
        <v>33827710.850000001</v>
      </c>
      <c r="R24" s="31">
        <f t="shared" si="14"/>
        <v>165469776.91</v>
      </c>
    </row>
    <row r="25" spans="1:18" ht="35.25" customHeight="1" x14ac:dyDescent="0.3">
      <c r="A25" s="30">
        <f t="shared" ref="A25:A28" si="20">A24+1</f>
        <v>13</v>
      </c>
      <c r="B25" s="30" t="s">
        <v>22</v>
      </c>
      <c r="C25" s="30" t="s">
        <v>28</v>
      </c>
      <c r="D25" s="30" t="s">
        <v>88</v>
      </c>
      <c r="E25" s="46" t="s">
        <v>91</v>
      </c>
      <c r="F25" s="56">
        <v>26088393.32</v>
      </c>
      <c r="G25" s="56">
        <v>0</v>
      </c>
      <c r="H25" s="32">
        <v>2.8000000000000001E-2</v>
      </c>
      <c r="I25" s="32">
        <f t="shared" si="12"/>
        <v>2.8000000000000001E-2</v>
      </c>
      <c r="J25" s="38">
        <f t="shared" si="15"/>
        <v>730475.01</v>
      </c>
      <c r="K25" s="38">
        <f t="shared" si="16"/>
        <v>0</v>
      </c>
      <c r="L25" s="32">
        <v>2.5000000000000001E-2</v>
      </c>
      <c r="M25" s="32">
        <f t="shared" si="17"/>
        <v>2.7500000000000004E-2</v>
      </c>
      <c r="N25" s="32">
        <f t="shared" si="18"/>
        <v>2.7500000000000004E-2</v>
      </c>
      <c r="O25" s="43">
        <f t="shared" si="13"/>
        <v>737518.88</v>
      </c>
      <c r="P25" s="43">
        <f t="shared" ref="P25:P28" si="21">ROUND((G25+K25)*N25,2)</f>
        <v>0</v>
      </c>
      <c r="Q25" s="31">
        <f t="shared" si="19"/>
        <v>27556387.210000001</v>
      </c>
      <c r="R25" s="31">
        <f t="shared" si="14"/>
        <v>0</v>
      </c>
    </row>
    <row r="26" spans="1:18" ht="27" customHeight="1" x14ac:dyDescent="0.3">
      <c r="A26" s="30">
        <f t="shared" si="20"/>
        <v>14</v>
      </c>
      <c r="B26" s="30" t="s">
        <v>22</v>
      </c>
      <c r="C26" s="30" t="s">
        <v>103</v>
      </c>
      <c r="D26" s="30" t="s">
        <v>89</v>
      </c>
      <c r="E26" s="46" t="s">
        <v>58</v>
      </c>
      <c r="F26" s="56">
        <v>71518513.379999995</v>
      </c>
      <c r="G26" s="56">
        <v>0</v>
      </c>
      <c r="H26" s="32">
        <v>2.8000000000000001E-2</v>
      </c>
      <c r="I26" s="32">
        <f t="shared" si="12"/>
        <v>2.8000000000000001E-2</v>
      </c>
      <c r="J26" s="38">
        <f t="shared" si="15"/>
        <v>2002518.37</v>
      </c>
      <c r="K26" s="38">
        <f t="shared" si="16"/>
        <v>0</v>
      </c>
      <c r="L26" s="32">
        <v>1.2999999999999999E-2</v>
      </c>
      <c r="M26" s="32">
        <f t="shared" si="17"/>
        <v>1.43E-2</v>
      </c>
      <c r="N26" s="32">
        <f t="shared" si="18"/>
        <v>1.43E-2</v>
      </c>
      <c r="O26" s="43">
        <f t="shared" si="13"/>
        <v>1051350.75</v>
      </c>
      <c r="P26" s="43">
        <f t="shared" si="21"/>
        <v>0</v>
      </c>
      <c r="Q26" s="31">
        <f t="shared" si="19"/>
        <v>74572382.5</v>
      </c>
      <c r="R26" s="31">
        <f t="shared" si="14"/>
        <v>0</v>
      </c>
    </row>
    <row r="27" spans="1:18" ht="27" customHeight="1" x14ac:dyDescent="0.3">
      <c r="A27" s="30">
        <f t="shared" si="20"/>
        <v>15</v>
      </c>
      <c r="B27" s="30" t="s">
        <v>22</v>
      </c>
      <c r="C27" s="30" t="s">
        <v>29</v>
      </c>
      <c r="D27" s="30" t="s">
        <v>90</v>
      </c>
      <c r="E27" s="46" t="s">
        <v>92</v>
      </c>
      <c r="F27" s="56">
        <v>1838903.25</v>
      </c>
      <c r="G27" s="56">
        <v>0</v>
      </c>
      <c r="H27" s="32">
        <v>2.8000000000000001E-2</v>
      </c>
      <c r="I27" s="32">
        <f t="shared" si="12"/>
        <v>2.8000000000000001E-2</v>
      </c>
      <c r="J27" s="38">
        <f t="shared" si="15"/>
        <v>51489.29</v>
      </c>
      <c r="K27" s="38">
        <f t="shared" si="16"/>
        <v>0</v>
      </c>
      <c r="L27" s="32">
        <v>1.2999999999999999E-2</v>
      </c>
      <c r="M27" s="32">
        <f t="shared" si="17"/>
        <v>1.43E-2</v>
      </c>
      <c r="N27" s="32">
        <f t="shared" si="18"/>
        <v>1.43E-2</v>
      </c>
      <c r="O27" s="43">
        <f t="shared" si="13"/>
        <v>27032.61</v>
      </c>
      <c r="P27" s="43">
        <f t="shared" si="21"/>
        <v>0</v>
      </c>
      <c r="Q27" s="31">
        <f t="shared" si="19"/>
        <v>1917425.1500000001</v>
      </c>
      <c r="R27" s="31">
        <f t="shared" si="14"/>
        <v>0</v>
      </c>
    </row>
    <row r="28" spans="1:18" ht="27" customHeight="1" x14ac:dyDescent="0.3">
      <c r="A28" s="30">
        <f t="shared" si="20"/>
        <v>16</v>
      </c>
      <c r="B28" s="30" t="s">
        <v>85</v>
      </c>
      <c r="C28" s="30" t="s">
        <v>29</v>
      </c>
      <c r="D28" s="30" t="s">
        <v>104</v>
      </c>
      <c r="E28" s="46" t="s">
        <v>107</v>
      </c>
      <c r="F28" s="56">
        <v>337571.53</v>
      </c>
      <c r="G28" s="56">
        <v>0</v>
      </c>
      <c r="H28" s="32">
        <v>2.8000000000000001E-2</v>
      </c>
      <c r="I28" s="32">
        <f t="shared" si="12"/>
        <v>2.8000000000000001E-2</v>
      </c>
      <c r="J28" s="38">
        <f t="shared" si="15"/>
        <v>9452</v>
      </c>
      <c r="K28" s="38">
        <f t="shared" si="16"/>
        <v>0</v>
      </c>
      <c r="L28" s="32">
        <v>1.2999999999999999E-2</v>
      </c>
      <c r="M28" s="32">
        <f t="shared" si="17"/>
        <v>1.43E-2</v>
      </c>
      <c r="N28" s="32">
        <f t="shared" si="18"/>
        <v>1.43E-2</v>
      </c>
      <c r="O28" s="43">
        <f t="shared" si="13"/>
        <v>4962.4399999999996</v>
      </c>
      <c r="P28" s="43">
        <f t="shared" si="21"/>
        <v>0</v>
      </c>
      <c r="Q28" s="31">
        <f t="shared" si="19"/>
        <v>351985.97000000003</v>
      </c>
      <c r="R28" s="31">
        <f t="shared" si="14"/>
        <v>0</v>
      </c>
    </row>
    <row r="29" spans="1:18" s="13" customFormat="1" ht="27.75" customHeight="1" x14ac:dyDescent="0.3">
      <c r="A29" s="10"/>
      <c r="B29" s="10"/>
      <c r="C29" s="10"/>
      <c r="D29" s="10"/>
      <c r="E29" s="11" t="s">
        <v>30</v>
      </c>
      <c r="F29" s="57">
        <f>SUM(F23:F28)</f>
        <v>1274638693.9599998</v>
      </c>
      <c r="G29" s="57">
        <f>SUM(G23:G27)</f>
        <v>158164622.61999997</v>
      </c>
      <c r="H29" s="16"/>
      <c r="I29" s="16"/>
      <c r="J29" s="51">
        <f>SUM(J23:J28)</f>
        <v>35689883.419999994</v>
      </c>
      <c r="K29" s="51">
        <f>SUM(K23:K28)</f>
        <v>4428609.43</v>
      </c>
      <c r="L29" s="16"/>
      <c r="M29" s="16"/>
      <c r="N29" s="16"/>
      <c r="O29" s="44">
        <f>SUM(O23:O28)</f>
        <v>19346574.029999997</v>
      </c>
      <c r="P29" s="44">
        <f>SUM(P23:P28)</f>
        <v>3571773.31</v>
      </c>
      <c r="Q29" s="15">
        <f>SUM(Q23:Q28)</f>
        <v>1329675151.4100001</v>
      </c>
      <c r="R29" s="15">
        <f>SUM(R23:R28)</f>
        <v>166165005.35999998</v>
      </c>
    </row>
    <row r="30" spans="1:18" s="13" customFormat="1" ht="27.6" x14ac:dyDescent="0.3">
      <c r="A30" s="10"/>
      <c r="B30" s="10"/>
      <c r="C30" s="10"/>
      <c r="D30" s="10"/>
      <c r="E30" s="11" t="s">
        <v>31</v>
      </c>
      <c r="F30" s="57"/>
      <c r="G30" s="57"/>
      <c r="H30" s="17"/>
      <c r="I30" s="17"/>
      <c r="J30" s="51"/>
      <c r="K30" s="51"/>
      <c r="L30" s="16"/>
      <c r="M30" s="17"/>
      <c r="N30" s="17"/>
      <c r="O30" s="44"/>
      <c r="P30" s="44"/>
      <c r="Q30" s="15"/>
      <c r="R30" s="15"/>
    </row>
    <row r="31" spans="1:18" ht="21" customHeight="1" x14ac:dyDescent="0.3">
      <c r="A31" s="3"/>
      <c r="B31" s="3"/>
      <c r="C31" s="3"/>
      <c r="D31" s="3"/>
      <c r="E31" s="14"/>
      <c r="F31" s="58"/>
      <c r="G31" s="58"/>
      <c r="H31" s="2"/>
      <c r="I31" s="2">
        <f t="shared" ref="I31" si="22">H31*0.8</f>
        <v>0</v>
      </c>
      <c r="J31" s="39">
        <f t="shared" ref="J31" si="23">ROUND(F31*I31,2)</f>
        <v>0</v>
      </c>
      <c r="K31" s="39">
        <f t="shared" ref="K31" si="24">ROUND(G31*I31,2)</f>
        <v>0</v>
      </c>
      <c r="L31" s="35"/>
      <c r="M31" s="2">
        <f>L31*1.1</f>
        <v>0</v>
      </c>
      <c r="N31" s="2">
        <f>M31*1</f>
        <v>0</v>
      </c>
      <c r="O31" s="45">
        <f t="shared" ref="O31" si="25">ROUND((F31+J31)*N31,2)</f>
        <v>0</v>
      </c>
      <c r="P31" s="45">
        <f t="shared" ref="P31" si="26">ROUND((G31+K31)*N31,2)</f>
        <v>0</v>
      </c>
      <c r="Q31" s="1">
        <f>F31+J31+O31</f>
        <v>0</v>
      </c>
      <c r="R31" s="1">
        <f>G31+K31+P31</f>
        <v>0</v>
      </c>
    </row>
    <row r="32" spans="1:18" s="13" customFormat="1" ht="30.75" customHeight="1" x14ac:dyDescent="0.3">
      <c r="A32" s="10"/>
      <c r="B32" s="10"/>
      <c r="C32" s="10"/>
      <c r="D32" s="10"/>
      <c r="E32" s="11" t="s">
        <v>32</v>
      </c>
      <c r="F32" s="57">
        <f>SUM(F31:F31)</f>
        <v>0</v>
      </c>
      <c r="G32" s="57">
        <f>SUM(G31:G31)</f>
        <v>0</v>
      </c>
      <c r="H32" s="2"/>
      <c r="I32" s="2"/>
      <c r="J32" s="51">
        <f>SUM(J31:J31)</f>
        <v>0</v>
      </c>
      <c r="K32" s="51">
        <f>SUM(K31:K31)</f>
        <v>0</v>
      </c>
      <c r="L32" s="16"/>
      <c r="M32" s="16"/>
      <c r="N32" s="16"/>
      <c r="O32" s="44">
        <f>SUM(O31:O31)</f>
        <v>0</v>
      </c>
      <c r="P32" s="44">
        <f>SUM(P31:P31)</f>
        <v>0</v>
      </c>
      <c r="Q32" s="15">
        <f>SUM(Q31:Q31)</f>
        <v>0</v>
      </c>
      <c r="R32" s="15">
        <f>SUM(R31:R31)</f>
        <v>0</v>
      </c>
    </row>
    <row r="33" spans="1:18" s="13" customFormat="1" ht="27.6" x14ac:dyDescent="0.3">
      <c r="A33" s="10"/>
      <c r="B33" s="10"/>
      <c r="C33" s="10"/>
      <c r="D33" s="10"/>
      <c r="E33" s="11" t="s">
        <v>33</v>
      </c>
      <c r="F33" s="57"/>
      <c r="G33" s="57"/>
      <c r="H33" s="16"/>
      <c r="I33" s="16"/>
      <c r="J33" s="51"/>
      <c r="K33" s="51"/>
      <c r="L33" s="16"/>
      <c r="M33" s="16"/>
      <c r="N33" s="16"/>
      <c r="O33" s="44"/>
      <c r="P33" s="44"/>
      <c r="Q33" s="15"/>
      <c r="R33" s="15"/>
    </row>
    <row r="34" spans="1:18" ht="27.6" x14ac:dyDescent="0.3">
      <c r="A34" s="30">
        <f>A28+1</f>
        <v>17</v>
      </c>
      <c r="B34" s="30" t="s">
        <v>22</v>
      </c>
      <c r="C34" s="30" t="s">
        <v>34</v>
      </c>
      <c r="D34" s="30" t="s">
        <v>35</v>
      </c>
      <c r="E34" s="46" t="s">
        <v>61</v>
      </c>
      <c r="F34" s="56">
        <v>3476773.34</v>
      </c>
      <c r="G34" s="56">
        <v>2848784.44</v>
      </c>
      <c r="H34" s="32">
        <v>2.8000000000000001E-2</v>
      </c>
      <c r="I34" s="32">
        <f>H34*1</f>
        <v>2.8000000000000001E-2</v>
      </c>
      <c r="J34" s="38">
        <f t="shared" ref="J34:J35" si="27">ROUND(F34*I34,2)</f>
        <v>97349.65</v>
      </c>
      <c r="K34" s="38">
        <f t="shared" ref="K34:K35" si="28">ROUND(G34*I34,2)</f>
        <v>79765.960000000006</v>
      </c>
      <c r="L34" s="32">
        <v>1.9E-2</v>
      </c>
      <c r="M34" s="32">
        <f>L34*1.1</f>
        <v>2.0900000000000002E-2</v>
      </c>
      <c r="N34" s="32">
        <f>M34*1</f>
        <v>2.0900000000000002E-2</v>
      </c>
      <c r="O34" s="43">
        <f>ROUND((F34+J34)*N34,2)</f>
        <v>74699.17</v>
      </c>
      <c r="P34" s="43">
        <f>ROUND((G34+K34)*N34,2)</f>
        <v>61206.7</v>
      </c>
      <c r="Q34" s="31">
        <f>F34+J34+O34</f>
        <v>3648822.1599999997</v>
      </c>
      <c r="R34" s="31">
        <f>G34+K34+P34</f>
        <v>2989757.1</v>
      </c>
    </row>
    <row r="35" spans="1:18" x14ac:dyDescent="0.3">
      <c r="A35" s="30">
        <f>A34+1</f>
        <v>18</v>
      </c>
      <c r="B35" s="30" t="s">
        <v>22</v>
      </c>
      <c r="C35" s="30" t="s">
        <v>27</v>
      </c>
      <c r="D35" s="30" t="s">
        <v>93</v>
      </c>
      <c r="E35" s="46" t="s">
        <v>94</v>
      </c>
      <c r="F35" s="56">
        <v>233816.21</v>
      </c>
      <c r="G35" s="56">
        <v>3313570.19</v>
      </c>
      <c r="H35" s="32">
        <v>2.8000000000000001E-2</v>
      </c>
      <c r="I35" s="32">
        <f>H35*1</f>
        <v>2.8000000000000001E-2</v>
      </c>
      <c r="J35" s="38">
        <f t="shared" si="27"/>
        <v>6546.85</v>
      </c>
      <c r="K35" s="38">
        <f t="shared" si="28"/>
        <v>92779.97</v>
      </c>
      <c r="L35" s="32">
        <v>0.02</v>
      </c>
      <c r="M35" s="32">
        <f>L35*1.1</f>
        <v>2.2000000000000002E-2</v>
      </c>
      <c r="N35" s="32">
        <f>M35*1</f>
        <v>2.2000000000000002E-2</v>
      </c>
      <c r="O35" s="43">
        <f>ROUND((F35+J35)*N35,2)</f>
        <v>5287.99</v>
      </c>
      <c r="P35" s="43">
        <f>ROUND((G35+K35)*N35,2)</f>
        <v>74939.7</v>
      </c>
      <c r="Q35" s="31">
        <f>F35+J35+O35</f>
        <v>245651.05</v>
      </c>
      <c r="R35" s="31">
        <f>G35+K35+P35</f>
        <v>3481289.8600000003</v>
      </c>
    </row>
    <row r="36" spans="1:18" s="13" customFormat="1" ht="27" customHeight="1" x14ac:dyDescent="0.3">
      <c r="A36" s="10"/>
      <c r="B36" s="10"/>
      <c r="C36" s="10"/>
      <c r="D36" s="10"/>
      <c r="E36" s="11" t="s">
        <v>36</v>
      </c>
      <c r="F36" s="57">
        <f>SUM(F34:F35)</f>
        <v>3710589.55</v>
      </c>
      <c r="G36" s="57">
        <f>SUM(G34:G35)</f>
        <v>6162354.6299999999</v>
      </c>
      <c r="H36" s="16"/>
      <c r="I36" s="16"/>
      <c r="J36" s="51">
        <f>SUM(J34:J35)</f>
        <v>103896.5</v>
      </c>
      <c r="K36" s="51">
        <f>SUM(K34:K35)</f>
        <v>172545.93</v>
      </c>
      <c r="L36" s="16"/>
      <c r="M36" s="16"/>
      <c r="N36" s="16"/>
      <c r="O36" s="44">
        <f>SUM(O34:O35)</f>
        <v>79987.16</v>
      </c>
      <c r="P36" s="44">
        <f t="shared" ref="P36:R36" si="29">SUM(P34:P35)</f>
        <v>136146.4</v>
      </c>
      <c r="Q36" s="15">
        <f t="shared" si="29"/>
        <v>3894473.2099999995</v>
      </c>
      <c r="R36" s="15">
        <f t="shared" si="29"/>
        <v>6471046.9600000009</v>
      </c>
    </row>
    <row r="37" spans="1:18" s="13" customFormat="1" ht="27.6" x14ac:dyDescent="0.3">
      <c r="A37" s="26"/>
      <c r="B37" s="26"/>
      <c r="C37" s="26"/>
      <c r="D37" s="26"/>
      <c r="E37" s="27" t="s">
        <v>37</v>
      </c>
      <c r="F37" s="57"/>
      <c r="G37" s="57"/>
      <c r="H37" s="29"/>
      <c r="I37" s="29"/>
      <c r="J37" s="51"/>
      <c r="K37" s="51"/>
      <c r="L37" s="36"/>
      <c r="M37" s="29"/>
      <c r="N37" s="29"/>
      <c r="O37" s="44"/>
      <c r="P37" s="44"/>
      <c r="Q37" s="28"/>
      <c r="R37" s="28"/>
    </row>
    <row r="38" spans="1:18" ht="41.4" x14ac:dyDescent="0.3">
      <c r="A38" s="30">
        <v>19</v>
      </c>
      <c r="B38" s="30" t="s">
        <v>22</v>
      </c>
      <c r="C38" s="30" t="s">
        <v>38</v>
      </c>
      <c r="D38" s="30" t="s">
        <v>39</v>
      </c>
      <c r="E38" s="46" t="s">
        <v>59</v>
      </c>
      <c r="F38" s="56">
        <v>2935508.76</v>
      </c>
      <c r="G38" s="56">
        <v>5343213.42</v>
      </c>
      <c r="H38" s="32">
        <v>2.8000000000000001E-2</v>
      </c>
      <c r="I38" s="32">
        <f>H38*1</f>
        <v>2.8000000000000001E-2</v>
      </c>
      <c r="J38" s="38">
        <f t="shared" ref="J38:J39" si="30">ROUND(F38*I38,2)</f>
        <v>82194.25</v>
      </c>
      <c r="K38" s="38">
        <f t="shared" ref="K38:K39" si="31">ROUND(G38*I38,2)</f>
        <v>149609.98000000001</v>
      </c>
      <c r="L38" s="32">
        <v>3.1E-2</v>
      </c>
      <c r="M38" s="32">
        <f>L38*1.1</f>
        <v>3.4100000000000005E-2</v>
      </c>
      <c r="N38" s="32">
        <f>M38*1</f>
        <v>3.4100000000000005E-2</v>
      </c>
      <c r="O38" s="43">
        <f>ROUND((F38+J38)*N38,2)</f>
        <v>102903.67</v>
      </c>
      <c r="P38" s="43">
        <f>ROUND((G38+K38)*N38,2)</f>
        <v>187305.28</v>
      </c>
      <c r="Q38" s="31">
        <f t="shared" ref="Q38:R39" si="32">F38+J38+O38</f>
        <v>3120606.6799999997</v>
      </c>
      <c r="R38" s="31">
        <f t="shared" si="32"/>
        <v>5680128.6800000006</v>
      </c>
    </row>
    <row r="39" spans="1:18" ht="27.6" x14ac:dyDescent="0.3">
      <c r="A39" s="30">
        <v>20</v>
      </c>
      <c r="B39" s="30" t="s">
        <v>22</v>
      </c>
      <c r="C39" s="30" t="s">
        <v>38</v>
      </c>
      <c r="D39" s="30" t="s">
        <v>96</v>
      </c>
      <c r="E39" s="46" t="s">
        <v>60</v>
      </c>
      <c r="F39" s="56">
        <v>865266.54</v>
      </c>
      <c r="G39" s="56">
        <v>3050079.27</v>
      </c>
      <c r="H39" s="32">
        <v>2.8000000000000001E-2</v>
      </c>
      <c r="I39" s="32">
        <f>H39*1</f>
        <v>2.8000000000000001E-2</v>
      </c>
      <c r="J39" s="38">
        <f t="shared" si="30"/>
        <v>24227.46</v>
      </c>
      <c r="K39" s="38">
        <f t="shared" si="31"/>
        <v>85402.22</v>
      </c>
      <c r="L39" s="32">
        <v>3.1E-2</v>
      </c>
      <c r="M39" s="32">
        <f>L39*1.1</f>
        <v>3.4100000000000005E-2</v>
      </c>
      <c r="N39" s="32">
        <f>M39*1</f>
        <v>3.4100000000000005E-2</v>
      </c>
      <c r="O39" s="43">
        <f>ROUND((F39+J39)*N39,2)</f>
        <v>30331.75</v>
      </c>
      <c r="P39" s="43">
        <f>ROUND((G39+K39)*N39,2)</f>
        <v>106919.92</v>
      </c>
      <c r="Q39" s="31">
        <f t="shared" si="32"/>
        <v>919825.75</v>
      </c>
      <c r="R39" s="31">
        <f t="shared" si="32"/>
        <v>3242401.41</v>
      </c>
    </row>
    <row r="40" spans="1:18" ht="27.6" x14ac:dyDescent="0.3">
      <c r="A40" s="30">
        <v>21</v>
      </c>
      <c r="B40" s="30" t="s">
        <v>22</v>
      </c>
      <c r="C40" s="30" t="s">
        <v>99</v>
      </c>
      <c r="D40" s="30" t="s">
        <v>97</v>
      </c>
      <c r="E40" s="46" t="s">
        <v>95</v>
      </c>
      <c r="F40" s="56">
        <v>2952055.4</v>
      </c>
      <c r="G40" s="56">
        <v>3373579.29</v>
      </c>
      <c r="H40" s="32">
        <v>2.8000000000000001E-2</v>
      </c>
      <c r="I40" s="32">
        <f>H40*1</f>
        <v>2.8000000000000001E-2</v>
      </c>
      <c r="J40" s="38">
        <f>ROUND(F40*I40,2)</f>
        <v>82657.55</v>
      </c>
      <c r="K40" s="38">
        <f>ROUND(G40*I40,2)</f>
        <v>94460.22</v>
      </c>
      <c r="L40" s="32">
        <v>3.1E-2</v>
      </c>
      <c r="M40" s="32">
        <f>L40*1.1</f>
        <v>3.4100000000000005E-2</v>
      </c>
      <c r="N40" s="32">
        <f>M40*1</f>
        <v>3.4100000000000005E-2</v>
      </c>
      <c r="O40" s="43">
        <f>ROUND((F40+J40)*N40,2)</f>
        <v>103483.71</v>
      </c>
      <c r="P40" s="43">
        <f>ROUND((G40+K40)*N40,2)</f>
        <v>118260.15</v>
      </c>
      <c r="Q40" s="31">
        <f>F40+J40+O40</f>
        <v>3138196.6599999997</v>
      </c>
      <c r="R40" s="31">
        <f>G40+K40+P40</f>
        <v>3586299.66</v>
      </c>
    </row>
    <row r="41" spans="1:18" ht="41.4" x14ac:dyDescent="0.3">
      <c r="A41" s="30">
        <v>22</v>
      </c>
      <c r="B41" s="30" t="s">
        <v>22</v>
      </c>
      <c r="C41" s="30" t="s">
        <v>29</v>
      </c>
      <c r="D41" s="30" t="s">
        <v>98</v>
      </c>
      <c r="E41" s="46" t="s">
        <v>62</v>
      </c>
      <c r="F41" s="56">
        <v>783505.95</v>
      </c>
      <c r="G41" s="56">
        <v>0</v>
      </c>
      <c r="H41" s="32">
        <v>2.8000000000000001E-2</v>
      </c>
      <c r="I41" s="32">
        <f>H41*1</f>
        <v>2.8000000000000001E-2</v>
      </c>
      <c r="J41" s="38">
        <f>ROUND(F41*I41,2)</f>
        <v>21938.17</v>
      </c>
      <c r="K41" s="38">
        <f>ROUND(G41*I41,2)</f>
        <v>0</v>
      </c>
      <c r="L41" s="32">
        <v>1.2999999999999999E-2</v>
      </c>
      <c r="M41" s="32">
        <f>L41*1.1</f>
        <v>1.43E-2</v>
      </c>
      <c r="N41" s="32">
        <f>M41*1</f>
        <v>1.43E-2</v>
      </c>
      <c r="O41" s="43">
        <f>ROUND((F41+J41)*N41,2)</f>
        <v>11517.85</v>
      </c>
      <c r="P41" s="43">
        <f>ROUND((G41+K41)*N41,2)</f>
        <v>0</v>
      </c>
      <c r="Q41" s="31">
        <f>F41+J41+O41</f>
        <v>816961.97</v>
      </c>
      <c r="R41" s="31">
        <f>G41+K41+P41</f>
        <v>0</v>
      </c>
    </row>
    <row r="42" spans="1:18" s="13" customFormat="1" ht="32.25" customHeight="1" x14ac:dyDescent="0.3">
      <c r="A42" s="10"/>
      <c r="B42" s="10"/>
      <c r="C42" s="10"/>
      <c r="D42" s="10"/>
      <c r="E42" s="11" t="s">
        <v>40</v>
      </c>
      <c r="F42" s="57">
        <f>SUM(F38:F41)</f>
        <v>7536336.6499999994</v>
      </c>
      <c r="G42" s="57">
        <f>SUM(G38:G41)</f>
        <v>11766871.98</v>
      </c>
      <c r="H42" s="16"/>
      <c r="I42" s="16"/>
      <c r="J42" s="51">
        <f>SUM(J38:J41)</f>
        <v>211017.43</v>
      </c>
      <c r="K42" s="51">
        <f>SUM(K38:K41)</f>
        <v>329472.42000000004</v>
      </c>
      <c r="L42" s="16"/>
      <c r="M42" s="16"/>
      <c r="N42" s="16"/>
      <c r="O42" s="44">
        <f>SUM(O38:O41)</f>
        <v>248236.98</v>
      </c>
      <c r="P42" s="44">
        <f>SUM(P38:P41)</f>
        <v>412485.35</v>
      </c>
      <c r="Q42" s="15">
        <f>SUM(Q38:Q41)</f>
        <v>7995591.0599999996</v>
      </c>
      <c r="R42" s="15">
        <f>SUM(R38:R41)</f>
        <v>12508829.75</v>
      </c>
    </row>
    <row r="43" spans="1:18" s="13" customFormat="1" ht="41.4" x14ac:dyDescent="0.3">
      <c r="A43" s="10"/>
      <c r="B43" s="10"/>
      <c r="C43" s="10"/>
      <c r="D43" s="10"/>
      <c r="E43" s="11" t="s">
        <v>41</v>
      </c>
      <c r="F43" s="57"/>
      <c r="G43" s="57"/>
      <c r="H43" s="17"/>
      <c r="I43" s="17"/>
      <c r="J43" s="51"/>
      <c r="K43" s="51"/>
      <c r="L43" s="16"/>
      <c r="M43" s="17"/>
      <c r="N43" s="17"/>
      <c r="O43" s="44"/>
      <c r="P43" s="44"/>
      <c r="Q43" s="15"/>
      <c r="R43" s="15"/>
    </row>
    <row r="44" spans="1:18" x14ac:dyDescent="0.3">
      <c r="A44" s="3"/>
      <c r="B44" s="3"/>
      <c r="C44" s="3"/>
      <c r="D44" s="3"/>
      <c r="E44" s="14"/>
      <c r="F44" s="58"/>
      <c r="G44" s="58">
        <f>'[1]ТУЦ руб'!N125</f>
        <v>0</v>
      </c>
      <c r="H44" s="2"/>
      <c r="I44" s="2">
        <f t="shared" ref="I44" si="33">H44*0.8</f>
        <v>0</v>
      </c>
      <c r="J44" s="39">
        <f t="shared" ref="J44" si="34">ROUND(F44*I44,2)</f>
        <v>0</v>
      </c>
      <c r="K44" s="39">
        <f t="shared" ref="K44" si="35">ROUND(G44*I44,2)</f>
        <v>0</v>
      </c>
      <c r="L44" s="35"/>
      <c r="M44" s="2">
        <f>L44*1.1</f>
        <v>0</v>
      </c>
      <c r="N44" s="2">
        <f t="shared" ref="N44" si="36">M44*0.8</f>
        <v>0</v>
      </c>
      <c r="O44" s="45">
        <f t="shared" ref="O44" si="37">ROUND((F44+J44)*N44,2)</f>
        <v>0</v>
      </c>
      <c r="P44" s="45">
        <f t="shared" ref="P44" si="38">ROUND((G44+K44)*N44,2)</f>
        <v>0</v>
      </c>
      <c r="Q44" s="1">
        <f>F44+J44+O44</f>
        <v>0</v>
      </c>
      <c r="R44" s="1">
        <f>G44+K44+P44</f>
        <v>0</v>
      </c>
    </row>
    <row r="45" spans="1:18" s="13" customFormat="1" ht="23.25" customHeight="1" x14ac:dyDescent="0.3">
      <c r="A45" s="10"/>
      <c r="B45" s="10"/>
      <c r="C45" s="10"/>
      <c r="D45" s="10"/>
      <c r="E45" s="11" t="s">
        <v>42</v>
      </c>
      <c r="F45" s="57">
        <f>SUM(F44:F44)</f>
        <v>0</v>
      </c>
      <c r="G45" s="57">
        <f>SUM(G44:G44)</f>
        <v>0</v>
      </c>
      <c r="H45" s="16"/>
      <c r="I45" s="16"/>
      <c r="J45" s="51">
        <f>SUM(J44:J44)</f>
        <v>0</v>
      </c>
      <c r="K45" s="51">
        <f>SUM(K44:K44)</f>
        <v>0</v>
      </c>
      <c r="L45" s="16"/>
      <c r="M45" s="16"/>
      <c r="N45" s="16"/>
      <c r="O45" s="44">
        <f>SUM(O44:O44)</f>
        <v>0</v>
      </c>
      <c r="P45" s="44">
        <f>SUM(P44:P44)</f>
        <v>0</v>
      </c>
      <c r="Q45" s="15">
        <f>SUM(Q44:Q44)</f>
        <v>0</v>
      </c>
      <c r="R45" s="15">
        <f>SUM(R44:R44)</f>
        <v>0</v>
      </c>
    </row>
    <row r="46" spans="1:18" s="13" customFormat="1" ht="27.6" x14ac:dyDescent="0.3">
      <c r="A46" s="10"/>
      <c r="B46" s="10"/>
      <c r="C46" s="10"/>
      <c r="D46" s="10"/>
      <c r="E46" s="11" t="s">
        <v>43</v>
      </c>
      <c r="F46" s="57"/>
      <c r="G46" s="57"/>
      <c r="H46" s="18"/>
      <c r="I46" s="18"/>
      <c r="J46" s="51"/>
      <c r="K46" s="51"/>
      <c r="L46" s="37"/>
      <c r="M46" s="18"/>
      <c r="N46" s="18"/>
      <c r="O46" s="44"/>
      <c r="P46" s="44"/>
      <c r="Q46" s="15"/>
      <c r="R46" s="15"/>
    </row>
    <row r="47" spans="1:18" ht="23.25" customHeight="1" x14ac:dyDescent="0.3">
      <c r="A47" s="23">
        <v>23</v>
      </c>
      <c r="B47" s="23" t="s">
        <v>22</v>
      </c>
      <c r="C47" s="23" t="s">
        <v>34</v>
      </c>
      <c r="D47" s="23" t="s">
        <v>44</v>
      </c>
      <c r="E47" s="47" t="s">
        <v>45</v>
      </c>
      <c r="F47" s="58">
        <v>3701468.78</v>
      </c>
      <c r="G47" s="58">
        <v>10145126.68</v>
      </c>
      <c r="H47" s="25">
        <v>2.8000000000000001E-2</v>
      </c>
      <c r="I47" s="25">
        <f>H47*1</f>
        <v>2.8000000000000001E-2</v>
      </c>
      <c r="J47" s="39">
        <f t="shared" ref="J47" si="39">ROUND(F47*I47,2)</f>
        <v>103641.13</v>
      </c>
      <c r="K47" s="39">
        <f t="shared" ref="K47" si="40">ROUND(G47*I47,2)</f>
        <v>284063.55</v>
      </c>
      <c r="L47" s="32">
        <v>1.9E-2</v>
      </c>
      <c r="M47" s="25">
        <f>L47*1.1</f>
        <v>2.0900000000000002E-2</v>
      </c>
      <c r="N47" s="25">
        <f>M47*1</f>
        <v>2.0900000000000002E-2</v>
      </c>
      <c r="O47" s="45">
        <f>ROUND((F47+J47)*N47,2)</f>
        <v>79526.8</v>
      </c>
      <c r="P47" s="45">
        <f>ROUND((G47+K47)*N47,2)</f>
        <v>217970.08</v>
      </c>
      <c r="Q47" s="24">
        <f>F47+J47+O47</f>
        <v>3884636.7099999995</v>
      </c>
      <c r="R47" s="24">
        <f>G47+K47+P47</f>
        <v>10647160.310000001</v>
      </c>
    </row>
    <row r="48" spans="1:18" ht="23.25" customHeight="1" x14ac:dyDescent="0.3">
      <c r="A48" s="30">
        <v>24</v>
      </c>
      <c r="B48" s="30" t="s">
        <v>22</v>
      </c>
      <c r="C48" s="30" t="s">
        <v>46</v>
      </c>
      <c r="D48" s="30" t="s">
        <v>44</v>
      </c>
      <c r="E48" s="46" t="s">
        <v>47</v>
      </c>
      <c r="F48" s="56">
        <v>13880334.08</v>
      </c>
      <c r="G48" s="56">
        <v>0</v>
      </c>
      <c r="H48" s="32">
        <v>2.8000000000000001E-2</v>
      </c>
      <c r="I48" s="32">
        <f>H48*1</f>
        <v>2.8000000000000001E-2</v>
      </c>
      <c r="J48" s="38">
        <f>ROUND(F48*I48,2)</f>
        <v>388649.35</v>
      </c>
      <c r="K48" s="38">
        <f>ROUND(G48*I48,2)</f>
        <v>0</v>
      </c>
      <c r="L48" s="32">
        <v>1.6E-2</v>
      </c>
      <c r="M48" s="32">
        <f>L48*1.1</f>
        <v>1.7600000000000001E-2</v>
      </c>
      <c r="N48" s="32">
        <f>M48*1</f>
        <v>1.7600000000000001E-2</v>
      </c>
      <c r="O48" s="43">
        <f>ROUND((F48+J48)*N48,2)</f>
        <v>251134.11</v>
      </c>
      <c r="P48" s="43">
        <f>ROUND((G48+K48)*N48,2)</f>
        <v>0</v>
      </c>
      <c r="Q48" s="31">
        <f>F48+J48+O48</f>
        <v>14520117.539999999</v>
      </c>
      <c r="R48" s="31">
        <f>G48+K48+P48</f>
        <v>0</v>
      </c>
    </row>
    <row r="49" spans="1:19" s="13" customFormat="1" ht="28.5" customHeight="1" x14ac:dyDescent="0.3">
      <c r="A49" s="10"/>
      <c r="B49" s="10"/>
      <c r="C49" s="10"/>
      <c r="D49" s="10"/>
      <c r="E49" s="11" t="s">
        <v>48</v>
      </c>
      <c r="F49" s="57">
        <f>SUM(F47:F48)</f>
        <v>17581802.859999999</v>
      </c>
      <c r="G49" s="57">
        <f>SUM(G47:G48)</f>
        <v>10145126.68</v>
      </c>
      <c r="H49" s="12"/>
      <c r="I49" s="12"/>
      <c r="J49" s="51">
        <f>SUM(J47:J48)</f>
        <v>492290.48</v>
      </c>
      <c r="K49" s="51">
        <f>SUM(K47:K48)</f>
        <v>284063.55</v>
      </c>
      <c r="L49" s="35"/>
      <c r="M49" s="2"/>
      <c r="N49" s="2"/>
      <c r="O49" s="44">
        <f>SUM(O47:O48)</f>
        <v>330660.90999999997</v>
      </c>
      <c r="P49" s="44">
        <f t="shared" ref="P49:R49" si="41">SUM(P47:P48)</f>
        <v>217970.08</v>
      </c>
      <c r="Q49" s="15">
        <f t="shared" si="41"/>
        <v>18404754.25</v>
      </c>
      <c r="R49" s="15">
        <f t="shared" si="41"/>
        <v>10647160.310000001</v>
      </c>
    </row>
    <row r="50" spans="1:19" s="13" customFormat="1" ht="28.5" customHeight="1" x14ac:dyDescent="0.3">
      <c r="A50" s="10"/>
      <c r="B50" s="10"/>
      <c r="C50" s="10"/>
      <c r="D50" s="10"/>
      <c r="E50" s="11" t="s">
        <v>49</v>
      </c>
      <c r="F50" s="57">
        <f>F49+F45+F42+F36+F32+F29+F21</f>
        <v>1386212430.5899997</v>
      </c>
      <c r="G50" s="57">
        <f>G49+G45+G42+G36+G32+G29+G21</f>
        <v>187633184.57999995</v>
      </c>
      <c r="H50" s="12"/>
      <c r="I50" s="12"/>
      <c r="J50" s="51">
        <f>J49+J45+J42+J36+J32+J29+J21</f>
        <v>38813948.04999999</v>
      </c>
      <c r="K50" s="51">
        <f>K49+K45+K42+K36+K32+K29+K21</f>
        <v>5253729.17</v>
      </c>
      <c r="L50" s="35"/>
      <c r="M50" s="2"/>
      <c r="N50" s="2"/>
      <c r="O50" s="44">
        <f>O49+O45+O42+O36+O32+O29+O21</f>
        <v>21996514.649999999</v>
      </c>
      <c r="P50" s="44">
        <f t="shared" ref="P50:R50" si="42">P49+P45+P42+P36+P32+P29+P21</f>
        <v>4370628.2799999993</v>
      </c>
      <c r="Q50" s="15">
        <f t="shared" si="42"/>
        <v>1447022893.29</v>
      </c>
      <c r="R50" s="15">
        <f t="shared" si="42"/>
        <v>197257542.03</v>
      </c>
    </row>
    <row r="51" spans="1:19" s="13" customFormat="1" x14ac:dyDescent="0.3">
      <c r="A51" s="10"/>
      <c r="B51" s="10"/>
      <c r="C51" s="10"/>
      <c r="D51" s="10"/>
      <c r="E51" s="11" t="s">
        <v>50</v>
      </c>
      <c r="F51" s="57"/>
      <c r="G51" s="57"/>
      <c r="H51" s="12"/>
      <c r="I51" s="12"/>
      <c r="J51" s="51"/>
      <c r="K51" s="51"/>
      <c r="L51" s="16"/>
      <c r="M51" s="16"/>
      <c r="N51" s="16"/>
      <c r="O51" s="44"/>
      <c r="P51" s="44"/>
      <c r="Q51" s="15"/>
      <c r="R51" s="15"/>
    </row>
    <row r="52" spans="1:19" ht="26.4" customHeight="1" x14ac:dyDescent="0.3">
      <c r="A52" s="3">
        <v>25</v>
      </c>
      <c r="B52" s="3"/>
      <c r="C52" s="30" t="s">
        <v>100</v>
      </c>
      <c r="D52" s="3" t="s">
        <v>101</v>
      </c>
      <c r="E52" s="47" t="s">
        <v>102</v>
      </c>
      <c r="F52" s="58">
        <v>5861870.8799999999</v>
      </c>
      <c r="G52" s="58">
        <v>0</v>
      </c>
      <c r="H52" s="19"/>
      <c r="I52" s="2">
        <f t="shared" ref="I52" si="43">H52*0.8</f>
        <v>0</v>
      </c>
      <c r="J52" s="39">
        <v>0</v>
      </c>
      <c r="K52" s="39">
        <f t="shared" ref="K52" si="44">ROUND(G52*I52,2)</f>
        <v>0</v>
      </c>
      <c r="L52" s="35">
        <v>6.0000000000000001E-3</v>
      </c>
      <c r="M52" s="2">
        <f>L52*1.1</f>
        <v>6.6000000000000008E-3</v>
      </c>
      <c r="N52" s="2">
        <f>M52*1</f>
        <v>6.6000000000000008E-3</v>
      </c>
      <c r="O52" s="45">
        <f>F52*N52</f>
        <v>38688.347808000006</v>
      </c>
      <c r="P52" s="45">
        <f t="shared" ref="P52" si="45">ROUND((G52+K52)*N52,2)</f>
        <v>0</v>
      </c>
      <c r="Q52" s="1">
        <f>F52+J52+O52</f>
        <v>5900559.2278079996</v>
      </c>
      <c r="R52" s="1">
        <f>G52+K52+P52</f>
        <v>0</v>
      </c>
    </row>
    <row r="53" spans="1:19" ht="14.25" customHeight="1" x14ac:dyDescent="0.3">
      <c r="A53" s="3"/>
      <c r="B53" s="3"/>
      <c r="C53" s="3"/>
      <c r="D53" s="3"/>
      <c r="E53" s="14"/>
      <c r="F53" s="58"/>
      <c r="G53" s="58"/>
      <c r="H53" s="19"/>
      <c r="I53" s="2"/>
      <c r="J53" s="39"/>
      <c r="K53" s="39"/>
      <c r="L53" s="2"/>
      <c r="M53" s="2"/>
      <c r="N53" s="2"/>
      <c r="O53" s="45"/>
      <c r="P53" s="45"/>
      <c r="Q53" s="1"/>
      <c r="R53" s="1"/>
    </row>
    <row r="54" spans="1:19" s="13" customFormat="1" ht="28.5" customHeight="1" x14ac:dyDescent="0.3">
      <c r="A54" s="10"/>
      <c r="B54" s="10"/>
      <c r="C54" s="10"/>
      <c r="D54" s="10"/>
      <c r="E54" s="11" t="s">
        <v>51</v>
      </c>
      <c r="F54" s="57">
        <f>F52</f>
        <v>5861870.8799999999</v>
      </c>
      <c r="G54" s="57">
        <f>G52</f>
        <v>0</v>
      </c>
      <c r="H54" s="12"/>
      <c r="I54" s="12"/>
      <c r="J54" s="51">
        <f t="shared" ref="J54:K54" si="46">J52</f>
        <v>0</v>
      </c>
      <c r="K54" s="51">
        <f t="shared" si="46"/>
        <v>0</v>
      </c>
      <c r="L54" s="12"/>
      <c r="M54" s="12"/>
      <c r="N54" s="12"/>
      <c r="O54" s="44">
        <f t="shared" ref="O54:R54" si="47">O52</f>
        <v>38688.347808000006</v>
      </c>
      <c r="P54" s="44">
        <f t="shared" si="47"/>
        <v>0</v>
      </c>
      <c r="Q54" s="15">
        <f t="shared" si="47"/>
        <v>5900559.2278079996</v>
      </c>
      <c r="R54" s="15">
        <f t="shared" si="47"/>
        <v>0</v>
      </c>
    </row>
    <row r="55" spans="1:19" s="13" customFormat="1" ht="28.5" customHeight="1" x14ac:dyDescent="0.3">
      <c r="A55" s="10"/>
      <c r="B55" s="10"/>
      <c r="C55" s="10"/>
      <c r="D55" s="10"/>
      <c r="E55" s="11" t="s">
        <v>52</v>
      </c>
      <c r="F55" s="57">
        <f>F54+F50</f>
        <v>1392074301.4699998</v>
      </c>
      <c r="G55" s="57">
        <f>G54+G50</f>
        <v>187633184.57999995</v>
      </c>
      <c r="H55" s="12"/>
      <c r="I55" s="12"/>
      <c r="J55" s="51">
        <f>J54+J50</f>
        <v>38813948.04999999</v>
      </c>
      <c r="K55" s="51">
        <f>K54+K50</f>
        <v>5253729.17</v>
      </c>
      <c r="L55" s="12"/>
      <c r="M55" s="12"/>
      <c r="N55" s="12"/>
      <c r="O55" s="44">
        <f>O54+O50</f>
        <v>22035202.997807998</v>
      </c>
      <c r="P55" s="44">
        <f>P54+P50</f>
        <v>4370628.2799999993</v>
      </c>
      <c r="Q55" s="15">
        <f t="shared" ref="Q55:S55" si="48">Q54+Q50</f>
        <v>1452923452.517808</v>
      </c>
      <c r="R55" s="15">
        <f t="shared" si="48"/>
        <v>197257542.03</v>
      </c>
      <c r="S55" s="15">
        <f t="shared" si="48"/>
        <v>0</v>
      </c>
    </row>
    <row r="57" spans="1:19" x14ac:dyDescent="0.3">
      <c r="O57" s="61">
        <v>22035202.997807998</v>
      </c>
      <c r="P57" s="60">
        <v>4370628.28</v>
      </c>
    </row>
    <row r="59" spans="1:19" x14ac:dyDescent="0.3">
      <c r="C59" s="6" t="s">
        <v>53</v>
      </c>
      <c r="D59" s="20"/>
      <c r="E59" s="21"/>
      <c r="F59" s="59"/>
      <c r="G59" s="59"/>
      <c r="H59" s="21"/>
      <c r="I59" s="21"/>
      <c r="J59" s="52"/>
    </row>
    <row r="60" spans="1:19" ht="14.4" x14ac:dyDescent="0.3">
      <c r="C60" s="22"/>
      <c r="D60" s="116" t="s">
        <v>54</v>
      </c>
      <c r="E60" s="117"/>
      <c r="F60" s="117"/>
      <c r="G60" s="117"/>
      <c r="H60" s="117"/>
      <c r="I60" s="117"/>
      <c r="J60" s="117"/>
    </row>
    <row r="62" spans="1:19" x14ac:dyDescent="0.3">
      <c r="C62" s="6" t="s">
        <v>55</v>
      </c>
      <c r="D62" s="20"/>
      <c r="E62" s="21"/>
      <c r="F62" s="59"/>
      <c r="G62" s="59"/>
      <c r="H62" s="21"/>
      <c r="I62" s="21"/>
      <c r="J62" s="52"/>
    </row>
    <row r="63" spans="1:19" ht="14.4" x14ac:dyDescent="0.3">
      <c r="C63" s="22"/>
      <c r="D63" s="116" t="s">
        <v>54</v>
      </c>
      <c r="E63" s="117"/>
      <c r="F63" s="117"/>
      <c r="G63" s="117"/>
      <c r="H63" s="117"/>
      <c r="I63" s="117"/>
      <c r="J63" s="117"/>
    </row>
  </sheetData>
  <mergeCells count="14">
    <mergeCell ref="L7:P7"/>
    <mergeCell ref="Q7:R7"/>
    <mergeCell ref="D60:J60"/>
    <mergeCell ref="D63:J63"/>
    <mergeCell ref="A1:R1"/>
    <mergeCell ref="A2:R2"/>
    <mergeCell ref="A7:A8"/>
    <mergeCell ref="B7:B8"/>
    <mergeCell ref="C7:C8"/>
    <mergeCell ref="D7:D8"/>
    <mergeCell ref="E7:E8"/>
    <mergeCell ref="F7:F8"/>
    <mergeCell ref="G7:G8"/>
    <mergeCell ref="H7:K7"/>
  </mergeCells>
  <phoneticPr fontId="18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26C77-8228-4DB6-BED7-9C2986C5A32F}">
  <dimension ref="A1:EC63"/>
  <sheetViews>
    <sheetView topLeftCell="A52" zoomScale="80" zoomScaleNormal="80" workbookViewId="0">
      <selection activeCell="O55" sqref="O55"/>
    </sheetView>
  </sheetViews>
  <sheetFormatPr defaultColWidth="9.109375" defaultRowHeight="13.8" x14ac:dyDescent="0.3"/>
  <cols>
    <col min="1" max="1" width="5.33203125" style="64" customWidth="1"/>
    <col min="2" max="3" width="10.5546875" style="64" customWidth="1"/>
    <col min="4" max="4" width="16.44140625" style="64" customWidth="1"/>
    <col min="5" max="5" width="43.88671875" style="62" customWidth="1"/>
    <col min="6" max="6" width="17.109375" style="65" customWidth="1"/>
    <col min="7" max="7" width="16.109375" style="65" customWidth="1"/>
    <col min="8" max="9" width="12.33203125" style="62" customWidth="1"/>
    <col min="10" max="11" width="14.44140625" style="66" customWidth="1"/>
    <col min="12" max="12" width="11.109375" style="62" customWidth="1"/>
    <col min="13" max="14" width="14.6640625" style="62" customWidth="1"/>
    <col min="15" max="16" width="14.109375" style="62" customWidth="1"/>
    <col min="17" max="18" width="16.5546875" style="62" customWidth="1"/>
    <col min="19" max="16384" width="9.109375" style="62"/>
  </cols>
  <sheetData>
    <row r="1" spans="1:133" ht="18" x14ac:dyDescent="0.3">
      <c r="A1" s="128" t="s">
        <v>64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</row>
    <row r="2" spans="1:133" ht="15.6" x14ac:dyDescent="0.3">
      <c r="A2" s="130" t="s">
        <v>0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</row>
    <row r="4" spans="1:133" x14ac:dyDescent="0.3">
      <c r="A4" s="63" t="s">
        <v>63</v>
      </c>
    </row>
    <row r="6" spans="1:133" x14ac:dyDescent="0.3">
      <c r="P6" s="67" t="s">
        <v>1</v>
      </c>
    </row>
    <row r="7" spans="1:133" ht="57.75" customHeight="1" x14ac:dyDescent="0.3">
      <c r="A7" s="124" t="s">
        <v>2</v>
      </c>
      <c r="B7" s="124" t="s">
        <v>3</v>
      </c>
      <c r="C7" s="124" t="s">
        <v>4</v>
      </c>
      <c r="D7" s="124" t="s">
        <v>5</v>
      </c>
      <c r="E7" s="124" t="s">
        <v>6</v>
      </c>
      <c r="F7" s="132" t="s">
        <v>7</v>
      </c>
      <c r="G7" s="132" t="s">
        <v>8</v>
      </c>
      <c r="H7" s="124" t="s">
        <v>9</v>
      </c>
      <c r="I7" s="124"/>
      <c r="J7" s="125"/>
      <c r="K7" s="125"/>
      <c r="L7" s="124" t="s">
        <v>10</v>
      </c>
      <c r="M7" s="125"/>
      <c r="N7" s="125"/>
      <c r="O7" s="125"/>
      <c r="P7" s="125"/>
      <c r="Q7" s="124" t="s">
        <v>11</v>
      </c>
      <c r="R7" s="125"/>
    </row>
    <row r="8" spans="1:133" s="71" customFormat="1" ht="41.4" x14ac:dyDescent="0.3">
      <c r="A8" s="125"/>
      <c r="B8" s="125"/>
      <c r="C8" s="125"/>
      <c r="D8" s="125"/>
      <c r="E8" s="125"/>
      <c r="F8" s="133"/>
      <c r="G8" s="133"/>
      <c r="H8" s="68" t="s">
        <v>12</v>
      </c>
      <c r="I8" s="68" t="s">
        <v>66</v>
      </c>
      <c r="J8" s="69" t="s">
        <v>13</v>
      </c>
      <c r="K8" s="69" t="s">
        <v>14</v>
      </c>
      <c r="L8" s="68" t="s">
        <v>15</v>
      </c>
      <c r="M8" s="68" t="s">
        <v>65</v>
      </c>
      <c r="N8" s="68" t="s">
        <v>66</v>
      </c>
      <c r="O8" s="70" t="s">
        <v>13</v>
      </c>
      <c r="P8" s="70" t="s">
        <v>14</v>
      </c>
      <c r="Q8" s="68" t="s">
        <v>13</v>
      </c>
      <c r="R8" s="68" t="s">
        <v>14</v>
      </c>
    </row>
    <row r="9" spans="1:133" s="64" customFormat="1" x14ac:dyDescent="0.3">
      <c r="A9" s="72" t="s">
        <v>16</v>
      </c>
      <c r="B9" s="72" t="s">
        <v>17</v>
      </c>
      <c r="C9" s="72">
        <v>3</v>
      </c>
      <c r="D9" s="72" t="s">
        <v>18</v>
      </c>
      <c r="E9" s="72">
        <v>5</v>
      </c>
      <c r="F9" s="73" t="s">
        <v>19</v>
      </c>
      <c r="G9" s="73">
        <v>7</v>
      </c>
      <c r="H9" s="72" t="s">
        <v>20</v>
      </c>
      <c r="I9" s="72">
        <v>9</v>
      </c>
      <c r="J9" s="74">
        <v>10</v>
      </c>
      <c r="K9" s="74">
        <v>11</v>
      </c>
      <c r="L9" s="72">
        <v>12</v>
      </c>
      <c r="M9" s="72">
        <v>13</v>
      </c>
      <c r="N9" s="72">
        <v>14</v>
      </c>
      <c r="O9" s="75">
        <v>15</v>
      </c>
      <c r="P9" s="75">
        <v>16</v>
      </c>
      <c r="Q9" s="72">
        <v>17</v>
      </c>
      <c r="R9" s="72">
        <v>18</v>
      </c>
    </row>
    <row r="10" spans="1:133" s="82" customFormat="1" ht="27.6" x14ac:dyDescent="0.3">
      <c r="A10" s="76"/>
      <c r="B10" s="76"/>
      <c r="C10" s="76"/>
      <c r="D10" s="76"/>
      <c r="E10" s="77" t="s">
        <v>21</v>
      </c>
      <c r="F10" s="78"/>
      <c r="G10" s="78"/>
      <c r="H10" s="79"/>
      <c r="I10" s="79"/>
      <c r="J10" s="80"/>
      <c r="K10" s="80"/>
      <c r="L10" s="79"/>
      <c r="M10" s="79"/>
      <c r="N10" s="79"/>
      <c r="O10" s="81"/>
      <c r="P10" s="81"/>
      <c r="Q10" s="79"/>
      <c r="R10" s="79"/>
    </row>
    <row r="11" spans="1:133" ht="41.4" x14ac:dyDescent="0.3">
      <c r="A11" s="83">
        <v>1</v>
      </c>
      <c r="B11" s="83" t="s">
        <v>22</v>
      </c>
      <c r="C11" s="83" t="s">
        <v>23</v>
      </c>
      <c r="D11" s="83" t="s">
        <v>73</v>
      </c>
      <c r="E11" s="84" t="s">
        <v>24</v>
      </c>
      <c r="F11" s="85">
        <v>117488.24</v>
      </c>
      <c r="G11" s="85">
        <v>0</v>
      </c>
      <c r="H11" s="32">
        <v>2.8000000000000001E-2</v>
      </c>
      <c r="I11" s="32">
        <f t="shared" ref="I11:I20" si="0">H11*1</f>
        <v>2.8000000000000001E-2</v>
      </c>
      <c r="J11" s="86">
        <f>ROUND(F11*I11,2)</f>
        <v>3289.67</v>
      </c>
      <c r="K11" s="86">
        <f>ROUND(G11*I11,2)</f>
        <v>0</v>
      </c>
      <c r="L11" s="32">
        <v>2.7E-2</v>
      </c>
      <c r="M11" s="32">
        <f>L11*1.1</f>
        <v>2.9700000000000001E-2</v>
      </c>
      <c r="N11" s="32">
        <f t="shared" ref="N11:N20" si="1">M11*1</f>
        <v>2.9700000000000001E-2</v>
      </c>
      <c r="O11" s="87">
        <f t="shared" ref="O11:O20" si="2">ROUND((F11+J11)*N11,2)</f>
        <v>3587.1</v>
      </c>
      <c r="P11" s="87">
        <f>ROUND((G11+K11)*N11,2)</f>
        <v>0</v>
      </c>
      <c r="Q11" s="88">
        <f>F11+J11+O11</f>
        <v>124365.01000000001</v>
      </c>
      <c r="R11" s="88">
        <f t="shared" ref="R11:R20" si="3">G11+K11+P11</f>
        <v>0</v>
      </c>
      <c r="S11" s="62">
        <f>F11*0.0297</f>
        <v>3489.4007280000001</v>
      </c>
    </row>
    <row r="12" spans="1:133" s="66" customFormat="1" ht="41.4" x14ac:dyDescent="0.3">
      <c r="A12" s="83">
        <f>A11+1</f>
        <v>2</v>
      </c>
      <c r="B12" s="83" t="s">
        <v>22</v>
      </c>
      <c r="C12" s="83" t="s">
        <v>38</v>
      </c>
      <c r="D12" s="83" t="s">
        <v>74</v>
      </c>
      <c r="E12" s="84" t="s">
        <v>72</v>
      </c>
      <c r="F12" s="85">
        <v>105037.24</v>
      </c>
      <c r="G12" s="85">
        <v>4362.8999999999996</v>
      </c>
      <c r="H12" s="32">
        <v>2.8000000000000001E-2</v>
      </c>
      <c r="I12" s="32">
        <f t="shared" si="0"/>
        <v>2.8000000000000001E-2</v>
      </c>
      <c r="J12" s="86">
        <f t="shared" ref="J12:J20" si="4">ROUND(F12*I12,2)</f>
        <v>2941.04</v>
      </c>
      <c r="K12" s="86">
        <f t="shared" ref="K12:K20" si="5">ROUND(G12*I12,2)</f>
        <v>122.16</v>
      </c>
      <c r="L12" s="32">
        <v>3.1E-2</v>
      </c>
      <c r="M12" s="32">
        <f t="shared" ref="M12:M20" si="6">L12*1.1</f>
        <v>3.4100000000000005E-2</v>
      </c>
      <c r="N12" s="32">
        <f t="shared" si="1"/>
        <v>3.4100000000000005E-2</v>
      </c>
      <c r="O12" s="87">
        <f t="shared" si="2"/>
        <v>3682.06</v>
      </c>
      <c r="P12" s="87">
        <f>ROUND((G12+K12)*N12,2)</f>
        <v>152.94</v>
      </c>
      <c r="Q12" s="88">
        <f t="shared" ref="Q12:Q20" si="7">F12+J12+O12</f>
        <v>111660.34</v>
      </c>
      <c r="R12" s="88">
        <f t="shared" si="3"/>
        <v>4637.9999999999991</v>
      </c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s="89"/>
      <c r="CO12" s="89"/>
      <c r="CP12" s="89"/>
      <c r="CQ12" s="89"/>
      <c r="CR12" s="89"/>
      <c r="CS12" s="89"/>
      <c r="CT12" s="89"/>
      <c r="CU12" s="89"/>
      <c r="CV12" s="89"/>
      <c r="CW12" s="89"/>
      <c r="CX12" s="89"/>
      <c r="CY12" s="89"/>
      <c r="CZ12" s="89"/>
      <c r="DA12" s="89"/>
      <c r="DB12" s="89"/>
      <c r="DC12" s="89"/>
      <c r="DD12" s="89"/>
      <c r="DE12" s="89"/>
      <c r="DF12" s="89"/>
      <c r="DG12" s="89"/>
      <c r="DH12" s="89"/>
      <c r="DI12" s="89"/>
      <c r="DJ12" s="89"/>
      <c r="DK12" s="89"/>
      <c r="DL12" s="89"/>
      <c r="DM12" s="89"/>
      <c r="DN12" s="89"/>
      <c r="DO12" s="89"/>
      <c r="DP12" s="89"/>
      <c r="DQ12" s="89"/>
      <c r="DR12" s="89"/>
      <c r="DS12" s="89"/>
      <c r="DT12" s="89"/>
      <c r="DU12" s="89"/>
      <c r="DV12" s="89"/>
      <c r="DW12" s="89"/>
      <c r="DX12" s="89"/>
      <c r="DY12" s="89"/>
      <c r="DZ12" s="89"/>
      <c r="EA12" s="89"/>
      <c r="EB12" s="89"/>
      <c r="EC12" s="89"/>
    </row>
    <row r="13" spans="1:133" s="66" customFormat="1" ht="41.4" x14ac:dyDescent="0.3">
      <c r="A13" s="83">
        <f t="shared" ref="A13:A20" si="8">A12+1</f>
        <v>3</v>
      </c>
      <c r="B13" s="83" t="s">
        <v>22</v>
      </c>
      <c r="C13" s="83" t="s">
        <v>27</v>
      </c>
      <c r="D13" s="83" t="s">
        <v>75</v>
      </c>
      <c r="E13" s="84" t="s">
        <v>69</v>
      </c>
      <c r="F13" s="85">
        <v>384204.74</v>
      </c>
      <c r="G13" s="85">
        <v>16423.18</v>
      </c>
      <c r="H13" s="32">
        <v>2.8000000000000001E-2</v>
      </c>
      <c r="I13" s="32">
        <f t="shared" si="0"/>
        <v>2.8000000000000001E-2</v>
      </c>
      <c r="J13" s="86">
        <f t="shared" si="4"/>
        <v>10757.73</v>
      </c>
      <c r="K13" s="86">
        <f t="shared" si="5"/>
        <v>459.85</v>
      </c>
      <c r="L13" s="32">
        <v>0.02</v>
      </c>
      <c r="M13" s="32">
        <f t="shared" si="6"/>
        <v>2.2000000000000002E-2</v>
      </c>
      <c r="N13" s="32">
        <f t="shared" si="1"/>
        <v>2.2000000000000002E-2</v>
      </c>
      <c r="O13" s="87">
        <f t="shared" si="2"/>
        <v>8689.17</v>
      </c>
      <c r="P13" s="87">
        <f>ROUND((G13+K13)*N13,2)</f>
        <v>371.43</v>
      </c>
      <c r="Q13" s="88">
        <f t="shared" si="7"/>
        <v>403651.63999999996</v>
      </c>
      <c r="R13" s="88">
        <f t="shared" si="3"/>
        <v>17254.46</v>
      </c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89"/>
      <c r="CS13" s="89"/>
      <c r="CT13" s="89"/>
      <c r="CU13" s="89"/>
      <c r="CV13" s="89"/>
      <c r="CW13" s="89"/>
      <c r="CX13" s="89"/>
      <c r="CY13" s="89"/>
      <c r="CZ13" s="89"/>
      <c r="DA13" s="89"/>
      <c r="DB13" s="89"/>
      <c r="DC13" s="89"/>
      <c r="DD13" s="89"/>
      <c r="DE13" s="89"/>
      <c r="DF13" s="89"/>
      <c r="DG13" s="89"/>
      <c r="DH13" s="89"/>
      <c r="DI13" s="89"/>
      <c r="DJ13" s="89"/>
      <c r="DK13" s="89"/>
      <c r="DL13" s="89"/>
      <c r="DM13" s="89"/>
      <c r="DN13" s="89"/>
      <c r="DO13" s="89"/>
      <c r="DP13" s="89"/>
      <c r="DQ13" s="89"/>
      <c r="DR13" s="89"/>
      <c r="DS13" s="89"/>
      <c r="DT13" s="89"/>
      <c r="DU13" s="89"/>
      <c r="DV13" s="89"/>
      <c r="DW13" s="89"/>
      <c r="DX13" s="89"/>
      <c r="DY13" s="89"/>
      <c r="DZ13" s="89"/>
      <c r="EA13" s="89"/>
      <c r="EB13" s="89"/>
      <c r="EC13" s="89"/>
    </row>
    <row r="14" spans="1:133" ht="45.75" customHeight="1" x14ac:dyDescent="0.3">
      <c r="A14" s="83">
        <f t="shared" si="8"/>
        <v>4</v>
      </c>
      <c r="B14" s="83" t="s">
        <v>22</v>
      </c>
      <c r="C14" s="83" t="s">
        <v>68</v>
      </c>
      <c r="D14" s="83" t="s">
        <v>76</v>
      </c>
      <c r="E14" s="84" t="s">
        <v>70</v>
      </c>
      <c r="F14" s="85">
        <v>4754183.68</v>
      </c>
      <c r="G14" s="85">
        <v>0</v>
      </c>
      <c r="H14" s="32">
        <v>2.8000000000000001E-2</v>
      </c>
      <c r="I14" s="32">
        <f t="shared" si="0"/>
        <v>2.8000000000000001E-2</v>
      </c>
      <c r="J14" s="86">
        <f>ROUND(F14*I14,2)</f>
        <v>133117.14000000001</v>
      </c>
      <c r="K14" s="86">
        <f t="shared" si="5"/>
        <v>0</v>
      </c>
      <c r="L14" s="32">
        <v>2.3E-2</v>
      </c>
      <c r="M14" s="32">
        <f t="shared" si="6"/>
        <v>2.5300000000000003E-2</v>
      </c>
      <c r="N14" s="32">
        <f t="shared" si="1"/>
        <v>2.5300000000000003E-2</v>
      </c>
      <c r="O14" s="87">
        <f t="shared" si="2"/>
        <v>123648.71</v>
      </c>
      <c r="P14" s="87">
        <f t="shared" ref="P14:P20" si="9">ROUND((G14+K14)*N14,2)</f>
        <v>0</v>
      </c>
      <c r="Q14" s="88">
        <f t="shared" si="7"/>
        <v>5010949.5299999993</v>
      </c>
      <c r="R14" s="88">
        <f t="shared" si="3"/>
        <v>0</v>
      </c>
    </row>
    <row r="15" spans="1:133" ht="41.4" x14ac:dyDescent="0.3">
      <c r="A15" s="83">
        <f t="shared" si="8"/>
        <v>5</v>
      </c>
      <c r="B15" s="83" t="s">
        <v>22</v>
      </c>
      <c r="C15" s="83" t="s">
        <v>28</v>
      </c>
      <c r="D15" s="83" t="s">
        <v>77</v>
      </c>
      <c r="E15" s="84" t="s">
        <v>71</v>
      </c>
      <c r="F15" s="85">
        <v>2713682.77</v>
      </c>
      <c r="G15" s="85">
        <v>0</v>
      </c>
      <c r="H15" s="32">
        <v>2.8000000000000001E-2</v>
      </c>
      <c r="I15" s="32">
        <f t="shared" si="0"/>
        <v>2.8000000000000001E-2</v>
      </c>
      <c r="J15" s="86">
        <f t="shared" si="4"/>
        <v>75983.12</v>
      </c>
      <c r="K15" s="86">
        <f t="shared" si="5"/>
        <v>0</v>
      </c>
      <c r="L15" s="32">
        <v>2.5000000000000001E-2</v>
      </c>
      <c r="M15" s="32">
        <f t="shared" si="6"/>
        <v>2.7500000000000004E-2</v>
      </c>
      <c r="N15" s="32">
        <f t="shared" si="1"/>
        <v>2.7500000000000004E-2</v>
      </c>
      <c r="O15" s="87">
        <f t="shared" si="2"/>
        <v>76715.81</v>
      </c>
      <c r="P15" s="87">
        <f t="shared" si="9"/>
        <v>0</v>
      </c>
      <c r="Q15" s="88">
        <f t="shared" si="7"/>
        <v>2866381.7</v>
      </c>
      <c r="R15" s="88">
        <f t="shared" si="3"/>
        <v>0</v>
      </c>
    </row>
    <row r="16" spans="1:133" ht="41.4" x14ac:dyDescent="0.3">
      <c r="A16" s="83">
        <f t="shared" si="8"/>
        <v>6</v>
      </c>
      <c r="B16" s="83" t="s">
        <v>22</v>
      </c>
      <c r="C16" s="83" t="s">
        <v>68</v>
      </c>
      <c r="D16" s="83" t="s">
        <v>106</v>
      </c>
      <c r="E16" s="90" t="s">
        <v>105</v>
      </c>
      <c r="F16" s="85">
        <v>251597.86</v>
      </c>
      <c r="G16" s="85">
        <v>0</v>
      </c>
      <c r="H16" s="32">
        <v>2.8000000000000001E-2</v>
      </c>
      <c r="I16" s="32">
        <f t="shared" si="0"/>
        <v>2.8000000000000001E-2</v>
      </c>
      <c r="J16" s="86">
        <f t="shared" si="4"/>
        <v>7044.74</v>
      </c>
      <c r="K16" s="86">
        <f t="shared" si="5"/>
        <v>0</v>
      </c>
      <c r="L16" s="32">
        <v>2.3E-2</v>
      </c>
      <c r="M16" s="32">
        <f t="shared" si="6"/>
        <v>2.5300000000000003E-2</v>
      </c>
      <c r="N16" s="32">
        <f t="shared" si="1"/>
        <v>2.5300000000000003E-2</v>
      </c>
      <c r="O16" s="87">
        <f t="shared" si="2"/>
        <v>6543.66</v>
      </c>
      <c r="P16" s="87">
        <f t="shared" si="9"/>
        <v>0</v>
      </c>
      <c r="Q16" s="88">
        <f t="shared" si="7"/>
        <v>265186.25999999995</v>
      </c>
      <c r="R16" s="88">
        <f t="shared" si="3"/>
        <v>0</v>
      </c>
    </row>
    <row r="17" spans="1:18" ht="24" customHeight="1" x14ac:dyDescent="0.3">
      <c r="A17" s="83">
        <f t="shared" si="8"/>
        <v>7</v>
      </c>
      <c r="B17" s="83" t="s">
        <v>22</v>
      </c>
      <c r="C17" s="83" t="s">
        <v>23</v>
      </c>
      <c r="D17" s="83" t="s">
        <v>78</v>
      </c>
      <c r="E17" s="84" t="s">
        <v>56</v>
      </c>
      <c r="F17" s="85">
        <v>26275.71</v>
      </c>
      <c r="G17" s="85">
        <v>0</v>
      </c>
      <c r="H17" s="32">
        <v>2.8000000000000001E-2</v>
      </c>
      <c r="I17" s="32">
        <f t="shared" si="0"/>
        <v>2.8000000000000001E-2</v>
      </c>
      <c r="J17" s="86">
        <f t="shared" si="4"/>
        <v>735.72</v>
      </c>
      <c r="K17" s="86">
        <f t="shared" si="5"/>
        <v>0</v>
      </c>
      <c r="L17" s="32">
        <v>2.7E-2</v>
      </c>
      <c r="M17" s="32">
        <f t="shared" si="6"/>
        <v>2.9700000000000001E-2</v>
      </c>
      <c r="N17" s="32">
        <f t="shared" si="1"/>
        <v>2.9700000000000001E-2</v>
      </c>
      <c r="O17" s="87">
        <f t="shared" si="2"/>
        <v>802.24</v>
      </c>
      <c r="P17" s="87">
        <f t="shared" si="9"/>
        <v>0</v>
      </c>
      <c r="Q17" s="88">
        <f t="shared" si="7"/>
        <v>27813.670000000002</v>
      </c>
      <c r="R17" s="88">
        <f t="shared" si="3"/>
        <v>0</v>
      </c>
    </row>
    <row r="18" spans="1:18" ht="29.4" customHeight="1" x14ac:dyDescent="0.3">
      <c r="A18" s="83">
        <f t="shared" si="8"/>
        <v>8</v>
      </c>
      <c r="B18" s="83" t="s">
        <v>22</v>
      </c>
      <c r="C18" s="83" t="s">
        <v>29</v>
      </c>
      <c r="D18" s="83" t="s">
        <v>82</v>
      </c>
      <c r="E18" s="84" t="s">
        <v>79</v>
      </c>
      <c r="F18" s="85">
        <v>808227.15</v>
      </c>
      <c r="G18" s="85">
        <v>0</v>
      </c>
      <c r="H18" s="32">
        <v>2.8000000000000001E-2</v>
      </c>
      <c r="I18" s="32">
        <f t="shared" si="0"/>
        <v>2.8000000000000001E-2</v>
      </c>
      <c r="J18" s="86">
        <f t="shared" si="4"/>
        <v>22630.36</v>
      </c>
      <c r="K18" s="86">
        <f t="shared" si="5"/>
        <v>0</v>
      </c>
      <c r="L18" s="32">
        <v>1.2999999999999999E-2</v>
      </c>
      <c r="M18" s="32">
        <f t="shared" si="6"/>
        <v>1.43E-2</v>
      </c>
      <c r="N18" s="32">
        <f t="shared" si="1"/>
        <v>1.43E-2</v>
      </c>
      <c r="O18" s="87">
        <f t="shared" si="2"/>
        <v>11881.26</v>
      </c>
      <c r="P18" s="87">
        <f t="shared" si="9"/>
        <v>0</v>
      </c>
      <c r="Q18" s="88">
        <f t="shared" si="7"/>
        <v>842738.77</v>
      </c>
      <c r="R18" s="88">
        <f t="shared" si="3"/>
        <v>0</v>
      </c>
    </row>
    <row r="19" spans="1:18" ht="61.95" customHeight="1" x14ac:dyDescent="0.3">
      <c r="A19" s="83">
        <f t="shared" si="8"/>
        <v>9</v>
      </c>
      <c r="B19" s="83" t="s">
        <v>22</v>
      </c>
      <c r="C19" s="83" t="s">
        <v>27</v>
      </c>
      <c r="D19" s="83" t="s">
        <v>83</v>
      </c>
      <c r="E19" s="84" t="s">
        <v>80</v>
      </c>
      <c r="F19" s="85">
        <v>24193.33</v>
      </c>
      <c r="G19" s="85">
        <v>54376.71</v>
      </c>
      <c r="H19" s="32">
        <v>2.8000000000000001E-2</v>
      </c>
      <c r="I19" s="32">
        <f t="shared" si="0"/>
        <v>2.8000000000000001E-2</v>
      </c>
      <c r="J19" s="86">
        <f t="shared" si="4"/>
        <v>677.41</v>
      </c>
      <c r="K19" s="86">
        <f t="shared" si="5"/>
        <v>1522.55</v>
      </c>
      <c r="L19" s="32">
        <v>0.02</v>
      </c>
      <c r="M19" s="32">
        <f t="shared" si="6"/>
        <v>2.2000000000000002E-2</v>
      </c>
      <c r="N19" s="32">
        <f t="shared" si="1"/>
        <v>2.2000000000000002E-2</v>
      </c>
      <c r="O19" s="87">
        <f t="shared" si="2"/>
        <v>547.16</v>
      </c>
      <c r="P19" s="87">
        <f>ROUND((G19+K19)*N19,2)</f>
        <v>1229.78</v>
      </c>
      <c r="Q19" s="88">
        <f t="shared" si="7"/>
        <v>25417.9</v>
      </c>
      <c r="R19" s="88">
        <f t="shared" si="3"/>
        <v>57129.04</v>
      </c>
    </row>
    <row r="20" spans="1:18" ht="24" customHeight="1" x14ac:dyDescent="0.3">
      <c r="A20" s="83">
        <f t="shared" si="8"/>
        <v>10</v>
      </c>
      <c r="B20" s="83" t="s">
        <v>22</v>
      </c>
      <c r="C20" s="83" t="s">
        <v>23</v>
      </c>
      <c r="D20" s="83" t="s">
        <v>84</v>
      </c>
      <c r="E20" s="84" t="s">
        <v>81</v>
      </c>
      <c r="F20" s="85">
        <v>2717.13</v>
      </c>
      <c r="G20" s="85">
        <v>0</v>
      </c>
      <c r="H20" s="32">
        <v>2.8000000000000001E-2</v>
      </c>
      <c r="I20" s="32">
        <f t="shared" si="0"/>
        <v>2.8000000000000001E-2</v>
      </c>
      <c r="J20" s="86">
        <f t="shared" si="4"/>
        <v>76.08</v>
      </c>
      <c r="K20" s="86">
        <f t="shared" si="5"/>
        <v>0</v>
      </c>
      <c r="L20" s="32">
        <v>2.7E-2</v>
      </c>
      <c r="M20" s="32">
        <f t="shared" si="6"/>
        <v>2.9700000000000001E-2</v>
      </c>
      <c r="N20" s="32">
        <f t="shared" si="1"/>
        <v>2.9700000000000001E-2</v>
      </c>
      <c r="O20" s="87">
        <f t="shared" si="2"/>
        <v>82.96</v>
      </c>
      <c r="P20" s="87">
        <f t="shared" si="9"/>
        <v>0</v>
      </c>
      <c r="Q20" s="88">
        <f t="shared" si="7"/>
        <v>2876.17</v>
      </c>
      <c r="R20" s="88">
        <f t="shared" si="3"/>
        <v>0</v>
      </c>
    </row>
    <row r="21" spans="1:18" s="82" customFormat="1" ht="23.25" customHeight="1" x14ac:dyDescent="0.3">
      <c r="A21" s="76"/>
      <c r="B21" s="76"/>
      <c r="C21" s="76"/>
      <c r="D21" s="76"/>
      <c r="E21" s="77" t="s">
        <v>25</v>
      </c>
      <c r="F21" s="91">
        <f>SUM(F11:F20)</f>
        <v>9187607.8500000015</v>
      </c>
      <c r="G21" s="91">
        <f t="shared" ref="G21:R21" si="10">SUM(G11:G20)</f>
        <v>75162.790000000008</v>
      </c>
      <c r="H21" s="92"/>
      <c r="I21" s="92"/>
      <c r="J21" s="93">
        <f t="shared" si="10"/>
        <v>257253.01</v>
      </c>
      <c r="K21" s="93">
        <f t="shared" si="10"/>
        <v>2104.56</v>
      </c>
      <c r="L21" s="92"/>
      <c r="M21" s="92"/>
      <c r="N21" s="92"/>
      <c r="O21" s="94">
        <f>SUM(O11:O20)</f>
        <v>236180.13</v>
      </c>
      <c r="P21" s="94">
        <f>SUM(P11:P20)</f>
        <v>1754.15</v>
      </c>
      <c r="Q21" s="92">
        <f t="shared" si="10"/>
        <v>9681040.9899999984</v>
      </c>
      <c r="R21" s="92">
        <f t="shared" si="10"/>
        <v>79021.5</v>
      </c>
    </row>
    <row r="22" spans="1:18" s="82" customFormat="1" x14ac:dyDescent="0.3">
      <c r="A22" s="76"/>
      <c r="B22" s="76"/>
      <c r="C22" s="76"/>
      <c r="D22" s="76"/>
      <c r="E22" s="77" t="s">
        <v>26</v>
      </c>
      <c r="F22" s="91"/>
      <c r="G22" s="91"/>
      <c r="H22" s="16"/>
      <c r="I22" s="16"/>
      <c r="J22" s="93"/>
      <c r="K22" s="93"/>
      <c r="L22" s="16"/>
      <c r="M22" s="16"/>
      <c r="N22" s="16"/>
      <c r="O22" s="94"/>
      <c r="P22" s="94"/>
      <c r="Q22" s="92"/>
      <c r="R22" s="92"/>
    </row>
    <row r="23" spans="1:18" ht="31.5" customHeight="1" x14ac:dyDescent="0.3">
      <c r="A23" s="83">
        <f>A20+1</f>
        <v>11</v>
      </c>
      <c r="B23" s="83" t="s">
        <v>22</v>
      </c>
      <c r="C23" s="83" t="s">
        <v>29</v>
      </c>
      <c r="D23" s="83" t="s">
        <v>86</v>
      </c>
      <c r="E23" s="84" t="s">
        <v>57</v>
      </c>
      <c r="F23" s="85">
        <v>123951091.2</v>
      </c>
      <c r="G23" s="85">
        <v>29187.5</v>
      </c>
      <c r="H23" s="32">
        <v>2.8000000000000001E-2</v>
      </c>
      <c r="I23" s="32">
        <f t="shared" ref="I23:I28" si="11">H23*1</f>
        <v>2.8000000000000001E-2</v>
      </c>
      <c r="J23" s="86">
        <f>ROUND(F23*I23,2)</f>
        <v>3470630.55</v>
      </c>
      <c r="K23" s="86">
        <f>ROUND(G23*I23,2)</f>
        <v>817.25</v>
      </c>
      <c r="L23" s="32">
        <v>1.2999999999999999E-2</v>
      </c>
      <c r="M23" s="32">
        <f>L23*1.1</f>
        <v>1.43E-2</v>
      </c>
      <c r="N23" s="32">
        <f>M23*1</f>
        <v>1.43E-2</v>
      </c>
      <c r="O23" s="87">
        <f t="shared" ref="O23:O28" si="12">ROUND((F23+J23)*N23,2)</f>
        <v>1822130.62</v>
      </c>
      <c r="P23" s="87">
        <f>ROUND((G23+K23)*N23,2)</f>
        <v>429.07</v>
      </c>
      <c r="Q23" s="88">
        <f>F23+J23+O23</f>
        <v>129243852.37</v>
      </c>
      <c r="R23" s="88">
        <f t="shared" ref="R23:R28" si="13">G23+K23+P23</f>
        <v>30433.82</v>
      </c>
    </row>
    <row r="24" spans="1:18" ht="31.5" customHeight="1" x14ac:dyDescent="0.3">
      <c r="A24" s="83">
        <f>A23+1</f>
        <v>12</v>
      </c>
      <c r="B24" s="83" t="s">
        <v>22</v>
      </c>
      <c r="C24" s="83" t="s">
        <v>27</v>
      </c>
      <c r="D24" s="83" t="s">
        <v>87</v>
      </c>
      <c r="E24" s="84" t="s">
        <v>67</v>
      </c>
      <c r="F24" s="85">
        <v>2888031.68</v>
      </c>
      <c r="G24" s="85">
        <v>18070386.079999998</v>
      </c>
      <c r="H24" s="32">
        <v>2.8000000000000001E-2</v>
      </c>
      <c r="I24" s="32">
        <f t="shared" si="11"/>
        <v>2.8000000000000001E-2</v>
      </c>
      <c r="J24" s="86">
        <f t="shared" ref="J24:J28" si="14">ROUND(F24*I24,2)</f>
        <v>80864.89</v>
      </c>
      <c r="K24" s="86">
        <f t="shared" ref="K24:K28" si="15">ROUND(G24*I24,2)</f>
        <v>505970.81</v>
      </c>
      <c r="L24" s="32">
        <v>0.02</v>
      </c>
      <c r="M24" s="32">
        <f t="shared" ref="M24:M28" si="16">L24*1.1</f>
        <v>2.2000000000000002E-2</v>
      </c>
      <c r="N24" s="32">
        <f t="shared" ref="N24:N28" si="17">M24*1</f>
        <v>2.2000000000000002E-2</v>
      </c>
      <c r="O24" s="87">
        <f t="shared" si="12"/>
        <v>65315.72</v>
      </c>
      <c r="P24" s="87">
        <f>ROUND((G24+K24)*N24,2)</f>
        <v>408679.85</v>
      </c>
      <c r="Q24" s="88">
        <f t="shared" ref="Q24:Q28" si="18">F24+J24+O24</f>
        <v>3034212.2900000005</v>
      </c>
      <c r="R24" s="88">
        <f t="shared" si="13"/>
        <v>18985036.739999998</v>
      </c>
    </row>
    <row r="25" spans="1:18" ht="35.25" customHeight="1" x14ac:dyDescent="0.3">
      <c r="A25" s="83">
        <f t="shared" ref="A25:A28" si="19">A24+1</f>
        <v>13</v>
      </c>
      <c r="B25" s="83" t="s">
        <v>22</v>
      </c>
      <c r="C25" s="83" t="s">
        <v>28</v>
      </c>
      <c r="D25" s="83" t="s">
        <v>88</v>
      </c>
      <c r="E25" s="84" t="s">
        <v>91</v>
      </c>
      <c r="F25" s="85">
        <v>2460618.2999999998</v>
      </c>
      <c r="G25" s="85">
        <v>0</v>
      </c>
      <c r="H25" s="32">
        <v>2.8000000000000001E-2</v>
      </c>
      <c r="I25" s="32">
        <f t="shared" si="11"/>
        <v>2.8000000000000001E-2</v>
      </c>
      <c r="J25" s="86">
        <f t="shared" si="14"/>
        <v>68897.31</v>
      </c>
      <c r="K25" s="86">
        <f t="shared" si="15"/>
        <v>0</v>
      </c>
      <c r="L25" s="32">
        <v>2.5000000000000001E-2</v>
      </c>
      <c r="M25" s="32">
        <f t="shared" si="16"/>
        <v>2.7500000000000004E-2</v>
      </c>
      <c r="N25" s="32">
        <f t="shared" si="17"/>
        <v>2.7500000000000004E-2</v>
      </c>
      <c r="O25" s="87">
        <f t="shared" si="12"/>
        <v>69561.679999999993</v>
      </c>
      <c r="P25" s="87">
        <f t="shared" ref="P25:P28" si="20">ROUND((G25+K25)*N25,2)</f>
        <v>0</v>
      </c>
      <c r="Q25" s="88">
        <f t="shared" si="18"/>
        <v>2599077.29</v>
      </c>
      <c r="R25" s="88">
        <f t="shared" si="13"/>
        <v>0</v>
      </c>
    </row>
    <row r="26" spans="1:18" ht="27" customHeight="1" x14ac:dyDescent="0.3">
      <c r="A26" s="83">
        <f t="shared" si="19"/>
        <v>14</v>
      </c>
      <c r="B26" s="83" t="s">
        <v>22</v>
      </c>
      <c r="C26" s="83" t="s">
        <v>103</v>
      </c>
      <c r="D26" s="83" t="s">
        <v>89</v>
      </c>
      <c r="E26" s="84" t="s">
        <v>58</v>
      </c>
      <c r="F26" s="85">
        <v>7772358.5800000001</v>
      </c>
      <c r="G26" s="85">
        <v>0</v>
      </c>
      <c r="H26" s="32">
        <v>2.8000000000000001E-2</v>
      </c>
      <c r="I26" s="32">
        <f t="shared" si="11"/>
        <v>2.8000000000000001E-2</v>
      </c>
      <c r="J26" s="86">
        <f t="shared" si="14"/>
        <v>217626.04</v>
      </c>
      <c r="K26" s="86">
        <f t="shared" si="15"/>
        <v>0</v>
      </c>
      <c r="L26" s="32">
        <v>1.2999999999999999E-2</v>
      </c>
      <c r="M26" s="32">
        <f t="shared" si="16"/>
        <v>1.43E-2</v>
      </c>
      <c r="N26" s="32">
        <f t="shared" si="17"/>
        <v>1.43E-2</v>
      </c>
      <c r="O26" s="87">
        <f t="shared" si="12"/>
        <v>114256.78</v>
      </c>
      <c r="P26" s="87">
        <f t="shared" si="20"/>
        <v>0</v>
      </c>
      <c r="Q26" s="88">
        <f t="shared" si="18"/>
        <v>8104241.4000000004</v>
      </c>
      <c r="R26" s="88">
        <f t="shared" si="13"/>
        <v>0</v>
      </c>
    </row>
    <row r="27" spans="1:18" ht="27" customHeight="1" x14ac:dyDescent="0.3">
      <c r="A27" s="83">
        <f t="shared" si="19"/>
        <v>15</v>
      </c>
      <c r="B27" s="83" t="s">
        <v>22</v>
      </c>
      <c r="C27" s="83" t="s">
        <v>29</v>
      </c>
      <c r="D27" s="83" t="s">
        <v>90</v>
      </c>
      <c r="E27" s="84" t="s">
        <v>92</v>
      </c>
      <c r="F27" s="85">
        <v>166772.15</v>
      </c>
      <c r="G27" s="85">
        <v>0</v>
      </c>
      <c r="H27" s="32">
        <v>2.8000000000000001E-2</v>
      </c>
      <c r="I27" s="32">
        <f t="shared" si="11"/>
        <v>2.8000000000000001E-2</v>
      </c>
      <c r="J27" s="86">
        <f t="shared" si="14"/>
        <v>4669.62</v>
      </c>
      <c r="K27" s="86">
        <f t="shared" si="15"/>
        <v>0</v>
      </c>
      <c r="L27" s="32">
        <v>1.2999999999999999E-2</v>
      </c>
      <c r="M27" s="32">
        <f t="shared" si="16"/>
        <v>1.43E-2</v>
      </c>
      <c r="N27" s="32">
        <f t="shared" si="17"/>
        <v>1.43E-2</v>
      </c>
      <c r="O27" s="87">
        <f t="shared" si="12"/>
        <v>2451.62</v>
      </c>
      <c r="P27" s="87">
        <f t="shared" si="20"/>
        <v>0</v>
      </c>
      <c r="Q27" s="88">
        <f t="shared" si="18"/>
        <v>173893.38999999998</v>
      </c>
      <c r="R27" s="88">
        <f t="shared" si="13"/>
        <v>0</v>
      </c>
    </row>
    <row r="28" spans="1:18" ht="27" customHeight="1" x14ac:dyDescent="0.3">
      <c r="A28" s="110">
        <f t="shared" si="19"/>
        <v>16</v>
      </c>
      <c r="B28" s="110" t="s">
        <v>85</v>
      </c>
      <c r="C28" s="110" t="s">
        <v>29</v>
      </c>
      <c r="D28" s="110" t="s">
        <v>104</v>
      </c>
      <c r="E28" s="84" t="s">
        <v>107</v>
      </c>
      <c r="F28" s="85">
        <v>39482.050000000003</v>
      </c>
      <c r="G28" s="85">
        <v>0</v>
      </c>
      <c r="H28" s="32">
        <v>2.8000000000000001E-2</v>
      </c>
      <c r="I28" s="32">
        <f t="shared" si="11"/>
        <v>2.8000000000000001E-2</v>
      </c>
      <c r="J28" s="86">
        <f t="shared" si="14"/>
        <v>1105.5</v>
      </c>
      <c r="K28" s="86">
        <f t="shared" si="15"/>
        <v>0</v>
      </c>
      <c r="L28" s="32">
        <v>1.2999999999999999E-2</v>
      </c>
      <c r="M28" s="32">
        <f t="shared" si="16"/>
        <v>1.43E-2</v>
      </c>
      <c r="N28" s="32">
        <f t="shared" si="17"/>
        <v>1.43E-2</v>
      </c>
      <c r="O28" s="87">
        <f t="shared" si="12"/>
        <v>580.4</v>
      </c>
      <c r="P28" s="87">
        <f t="shared" si="20"/>
        <v>0</v>
      </c>
      <c r="Q28" s="88">
        <f t="shared" si="18"/>
        <v>41167.950000000004</v>
      </c>
      <c r="R28" s="88">
        <f t="shared" si="13"/>
        <v>0</v>
      </c>
    </row>
    <row r="29" spans="1:18" s="82" customFormat="1" ht="27.75" customHeight="1" x14ac:dyDescent="0.3">
      <c r="A29" s="76"/>
      <c r="B29" s="76"/>
      <c r="C29" s="76"/>
      <c r="D29" s="76"/>
      <c r="E29" s="77" t="s">
        <v>30</v>
      </c>
      <c r="F29" s="91">
        <f>SUM(F23:F28)</f>
        <v>137278353.96000004</v>
      </c>
      <c r="G29" s="91">
        <f>SUM(G23:G27)</f>
        <v>18099573.579999998</v>
      </c>
      <c r="H29" s="16"/>
      <c r="I29" s="16"/>
      <c r="J29" s="93">
        <f>SUM(J23:J28)</f>
        <v>3843793.91</v>
      </c>
      <c r="K29" s="93">
        <f>SUM(K23:K28)</f>
        <v>506788.06</v>
      </c>
      <c r="L29" s="16"/>
      <c r="M29" s="16"/>
      <c r="N29" s="16"/>
      <c r="O29" s="94">
        <f>SUM(O23:O28)</f>
        <v>2074296.82</v>
      </c>
      <c r="P29" s="94">
        <f>SUM(P23:P28)</f>
        <v>409108.92</v>
      </c>
      <c r="Q29" s="92">
        <f>SUM(Q23:Q28)</f>
        <v>143196444.69</v>
      </c>
      <c r="R29" s="92">
        <f>SUM(R23:R28)</f>
        <v>19015470.559999999</v>
      </c>
    </row>
    <row r="30" spans="1:18" s="82" customFormat="1" ht="27.6" x14ac:dyDescent="0.3">
      <c r="A30" s="76"/>
      <c r="B30" s="76"/>
      <c r="C30" s="76"/>
      <c r="D30" s="76"/>
      <c r="E30" s="77" t="s">
        <v>31</v>
      </c>
      <c r="F30" s="91"/>
      <c r="G30" s="91"/>
      <c r="H30" s="17"/>
      <c r="I30" s="17"/>
      <c r="J30" s="93"/>
      <c r="K30" s="93"/>
      <c r="L30" s="16"/>
      <c r="M30" s="17"/>
      <c r="N30" s="17"/>
      <c r="O30" s="94"/>
      <c r="P30" s="94"/>
      <c r="Q30" s="92"/>
      <c r="R30" s="92"/>
    </row>
    <row r="31" spans="1:18" ht="21" customHeight="1" x14ac:dyDescent="0.3">
      <c r="A31" s="72"/>
      <c r="B31" s="72"/>
      <c r="C31" s="72"/>
      <c r="D31" s="72"/>
      <c r="E31" s="95"/>
      <c r="F31" s="96"/>
      <c r="G31" s="96"/>
      <c r="H31" s="2"/>
      <c r="I31" s="2">
        <f t="shared" ref="I31" si="21">H31*0.8</f>
        <v>0</v>
      </c>
      <c r="J31" s="97">
        <f t="shared" ref="J31" si="22">ROUND(F31*I31,2)</f>
        <v>0</v>
      </c>
      <c r="K31" s="97">
        <f t="shared" ref="K31" si="23">ROUND(G31*I31,2)</f>
        <v>0</v>
      </c>
      <c r="L31" s="35"/>
      <c r="M31" s="2">
        <f>L31*1.1</f>
        <v>0</v>
      </c>
      <c r="N31" s="2">
        <f>M31*1</f>
        <v>0</v>
      </c>
      <c r="O31" s="98">
        <f t="shared" ref="O31" si="24">ROUND((F31+J31)*N31,2)</f>
        <v>0</v>
      </c>
      <c r="P31" s="98">
        <f t="shared" ref="P31" si="25">ROUND((G31+K31)*N31,2)</f>
        <v>0</v>
      </c>
      <c r="Q31" s="99">
        <f>F31+J31+O31</f>
        <v>0</v>
      </c>
      <c r="R31" s="99">
        <f>G31+K31+P31</f>
        <v>0</v>
      </c>
    </row>
    <row r="32" spans="1:18" s="82" customFormat="1" ht="30.75" customHeight="1" x14ac:dyDescent="0.3">
      <c r="A32" s="76"/>
      <c r="B32" s="76"/>
      <c r="C32" s="76"/>
      <c r="D32" s="76"/>
      <c r="E32" s="77" t="s">
        <v>32</v>
      </c>
      <c r="F32" s="91">
        <f>SUM(F31:F31)</f>
        <v>0</v>
      </c>
      <c r="G32" s="91">
        <f>SUM(G31:G31)</f>
        <v>0</v>
      </c>
      <c r="H32" s="2"/>
      <c r="I32" s="2"/>
      <c r="J32" s="93">
        <f>SUM(J31:J31)</f>
        <v>0</v>
      </c>
      <c r="K32" s="93">
        <f>SUM(K31:K31)</f>
        <v>0</v>
      </c>
      <c r="L32" s="16"/>
      <c r="M32" s="16"/>
      <c r="N32" s="16"/>
      <c r="O32" s="94">
        <f>SUM(O31:O31)</f>
        <v>0</v>
      </c>
      <c r="P32" s="94">
        <f>SUM(P31:P31)</f>
        <v>0</v>
      </c>
      <c r="Q32" s="92">
        <f>SUM(Q31:Q31)</f>
        <v>0</v>
      </c>
      <c r="R32" s="92">
        <f>SUM(R31:R31)</f>
        <v>0</v>
      </c>
    </row>
    <row r="33" spans="1:18" s="82" customFormat="1" ht="27.6" x14ac:dyDescent="0.3">
      <c r="A33" s="76"/>
      <c r="B33" s="76"/>
      <c r="C33" s="76"/>
      <c r="D33" s="76"/>
      <c r="E33" s="77" t="s">
        <v>33</v>
      </c>
      <c r="F33" s="91"/>
      <c r="G33" s="91"/>
      <c r="H33" s="16"/>
      <c r="I33" s="16"/>
      <c r="J33" s="93"/>
      <c r="K33" s="93"/>
      <c r="L33" s="16"/>
      <c r="M33" s="16"/>
      <c r="N33" s="16"/>
      <c r="O33" s="94"/>
      <c r="P33" s="94"/>
      <c r="Q33" s="92"/>
      <c r="R33" s="92"/>
    </row>
    <row r="34" spans="1:18" ht="27.6" x14ac:dyDescent="0.3">
      <c r="A34" s="83">
        <f>A28+1</f>
        <v>17</v>
      </c>
      <c r="B34" s="83" t="s">
        <v>22</v>
      </c>
      <c r="C34" s="83" t="s">
        <v>34</v>
      </c>
      <c r="D34" s="83" t="s">
        <v>35</v>
      </c>
      <c r="E34" s="84" t="s">
        <v>61</v>
      </c>
      <c r="F34" s="85">
        <v>321008.14</v>
      </c>
      <c r="G34" s="85">
        <v>277703.94</v>
      </c>
      <c r="H34" s="32">
        <v>2.8000000000000001E-2</v>
      </c>
      <c r="I34" s="32">
        <f>H34*1</f>
        <v>2.8000000000000001E-2</v>
      </c>
      <c r="J34" s="86">
        <f t="shared" ref="J34:J35" si="26">ROUND(F34*I34,2)</f>
        <v>8988.23</v>
      </c>
      <c r="K34" s="86">
        <f t="shared" ref="K34:K35" si="27">ROUND(G34*I34,2)</f>
        <v>7775.71</v>
      </c>
      <c r="L34" s="32">
        <v>1.9E-2</v>
      </c>
      <c r="M34" s="32">
        <f>L34*1.1</f>
        <v>2.0900000000000002E-2</v>
      </c>
      <c r="N34" s="32">
        <f>M34*1</f>
        <v>2.0900000000000002E-2</v>
      </c>
      <c r="O34" s="87">
        <f>ROUND((F34+J34)*N34,2)</f>
        <v>6896.92</v>
      </c>
      <c r="P34" s="87">
        <f>ROUND((G34+K34)*N34,2)</f>
        <v>5966.52</v>
      </c>
      <c r="Q34" s="88">
        <f>F34+J34+O34</f>
        <v>336893.29</v>
      </c>
      <c r="R34" s="88">
        <f>G34+K34+P34</f>
        <v>291446.17000000004</v>
      </c>
    </row>
    <row r="35" spans="1:18" x14ac:dyDescent="0.3">
      <c r="A35" s="83">
        <f>A34+1</f>
        <v>18</v>
      </c>
      <c r="B35" s="83" t="s">
        <v>22</v>
      </c>
      <c r="C35" s="83" t="s">
        <v>27</v>
      </c>
      <c r="D35" s="83" t="s">
        <v>93</v>
      </c>
      <c r="E35" s="84" t="s">
        <v>94</v>
      </c>
      <c r="F35" s="85">
        <v>16187.89</v>
      </c>
      <c r="G35" s="85">
        <v>359670.92</v>
      </c>
      <c r="H35" s="32">
        <v>2.8000000000000001E-2</v>
      </c>
      <c r="I35" s="32">
        <f>H35*1</f>
        <v>2.8000000000000001E-2</v>
      </c>
      <c r="J35" s="86">
        <f t="shared" si="26"/>
        <v>453.26</v>
      </c>
      <c r="K35" s="86">
        <f t="shared" si="27"/>
        <v>10070.790000000001</v>
      </c>
      <c r="L35" s="32">
        <v>0.02</v>
      </c>
      <c r="M35" s="32">
        <f>L35*1.1</f>
        <v>2.2000000000000002E-2</v>
      </c>
      <c r="N35" s="32">
        <f>M35*1</f>
        <v>2.2000000000000002E-2</v>
      </c>
      <c r="O35" s="87">
        <f>ROUND((F35+J35)*N35,2)</f>
        <v>366.11</v>
      </c>
      <c r="P35" s="87">
        <f>ROUND((G35+K35)*N35,2)</f>
        <v>8134.32</v>
      </c>
      <c r="Q35" s="88">
        <f>F35+J35+O35</f>
        <v>17007.259999999998</v>
      </c>
      <c r="R35" s="88">
        <f>G35+K35+P35</f>
        <v>377876.02999999997</v>
      </c>
    </row>
    <row r="36" spans="1:18" s="82" customFormat="1" ht="27" customHeight="1" x14ac:dyDescent="0.3">
      <c r="A36" s="76"/>
      <c r="B36" s="76"/>
      <c r="C36" s="76"/>
      <c r="D36" s="76"/>
      <c r="E36" s="77" t="s">
        <v>36</v>
      </c>
      <c r="F36" s="91">
        <f>SUM(F34:F35)</f>
        <v>337196.03</v>
      </c>
      <c r="G36" s="91">
        <f>SUM(G34:G35)</f>
        <v>637374.86</v>
      </c>
      <c r="H36" s="16"/>
      <c r="I36" s="16"/>
      <c r="J36" s="93">
        <f>SUM(J34:J35)</f>
        <v>9441.49</v>
      </c>
      <c r="K36" s="93">
        <f>SUM(K34:K35)</f>
        <v>17846.5</v>
      </c>
      <c r="L36" s="16"/>
      <c r="M36" s="16"/>
      <c r="N36" s="16"/>
      <c r="O36" s="94">
        <f>SUM(O34:O35)</f>
        <v>7263.03</v>
      </c>
      <c r="P36" s="94">
        <f t="shared" ref="P36:R36" si="28">SUM(P34:P35)</f>
        <v>14100.84</v>
      </c>
      <c r="Q36" s="92">
        <f t="shared" si="28"/>
        <v>353900.55</v>
      </c>
      <c r="R36" s="92">
        <f t="shared" si="28"/>
        <v>669322.19999999995</v>
      </c>
    </row>
    <row r="37" spans="1:18" s="82" customFormat="1" ht="27.6" x14ac:dyDescent="0.3">
      <c r="A37" s="76"/>
      <c r="B37" s="76"/>
      <c r="C37" s="76"/>
      <c r="D37" s="76"/>
      <c r="E37" s="100" t="s">
        <v>37</v>
      </c>
      <c r="F37" s="91"/>
      <c r="G37" s="91"/>
      <c r="H37" s="29"/>
      <c r="I37" s="29"/>
      <c r="J37" s="93"/>
      <c r="K37" s="93"/>
      <c r="L37" s="36"/>
      <c r="M37" s="29"/>
      <c r="N37" s="29"/>
      <c r="O37" s="94"/>
      <c r="P37" s="94"/>
      <c r="Q37" s="101"/>
      <c r="R37" s="101"/>
    </row>
    <row r="38" spans="1:18" ht="41.4" x14ac:dyDescent="0.3">
      <c r="A38" s="83">
        <v>19</v>
      </c>
      <c r="B38" s="83" t="s">
        <v>22</v>
      </c>
      <c r="C38" s="83" t="s">
        <v>38</v>
      </c>
      <c r="D38" s="83" t="s">
        <v>39</v>
      </c>
      <c r="E38" s="84" t="s">
        <v>59</v>
      </c>
      <c r="F38" s="85">
        <v>204619</v>
      </c>
      <c r="G38" s="85">
        <v>397310.91</v>
      </c>
      <c r="H38" s="32">
        <v>2.8000000000000001E-2</v>
      </c>
      <c r="I38" s="32">
        <f>H38*1</f>
        <v>2.8000000000000001E-2</v>
      </c>
      <c r="J38" s="86">
        <f t="shared" ref="J38:J39" si="29">ROUND(F38*I38,2)</f>
        <v>5729.33</v>
      </c>
      <c r="K38" s="86">
        <f t="shared" ref="K38:K39" si="30">ROUND(G38*I38,2)</f>
        <v>11124.71</v>
      </c>
      <c r="L38" s="32">
        <v>3.1E-2</v>
      </c>
      <c r="M38" s="32">
        <f>L38*1.1</f>
        <v>3.4100000000000005E-2</v>
      </c>
      <c r="N38" s="32">
        <f>M38*1</f>
        <v>3.4100000000000005E-2</v>
      </c>
      <c r="O38" s="87">
        <f>ROUND((F38+J38)*N38,2)</f>
        <v>7172.88</v>
      </c>
      <c r="P38" s="87">
        <f>ROUND((G38+K38)*N38,2)</f>
        <v>13927.65</v>
      </c>
      <c r="Q38" s="88">
        <f t="shared" ref="Q38:R39" si="31">F38+J38+O38</f>
        <v>217521.21</v>
      </c>
      <c r="R38" s="88">
        <f t="shared" si="31"/>
        <v>422363.27</v>
      </c>
    </row>
    <row r="39" spans="1:18" ht="27.6" x14ac:dyDescent="0.3">
      <c r="A39" s="83">
        <v>20</v>
      </c>
      <c r="B39" s="83" t="s">
        <v>22</v>
      </c>
      <c r="C39" s="83" t="s">
        <v>38</v>
      </c>
      <c r="D39" s="83" t="s">
        <v>96</v>
      </c>
      <c r="E39" s="84" t="s">
        <v>60</v>
      </c>
      <c r="F39" s="85">
        <v>61981.42</v>
      </c>
      <c r="G39" s="85">
        <v>273722.67</v>
      </c>
      <c r="H39" s="32">
        <v>2.8000000000000001E-2</v>
      </c>
      <c r="I39" s="32">
        <f>H39*1</f>
        <v>2.8000000000000001E-2</v>
      </c>
      <c r="J39" s="86">
        <f t="shared" si="29"/>
        <v>1735.48</v>
      </c>
      <c r="K39" s="86">
        <f t="shared" si="30"/>
        <v>7664.23</v>
      </c>
      <c r="L39" s="32">
        <v>3.1E-2</v>
      </c>
      <c r="M39" s="32">
        <f>L39*1.1</f>
        <v>3.4100000000000005E-2</v>
      </c>
      <c r="N39" s="32">
        <f>M39*1</f>
        <v>3.4100000000000005E-2</v>
      </c>
      <c r="O39" s="87">
        <f>ROUND((F39+J39)*N39,2)</f>
        <v>2172.75</v>
      </c>
      <c r="P39" s="87">
        <f>ROUND((G39+K39)*N39,2)</f>
        <v>9595.2900000000009</v>
      </c>
      <c r="Q39" s="88">
        <f t="shared" si="31"/>
        <v>65889.649999999994</v>
      </c>
      <c r="R39" s="88">
        <f t="shared" si="31"/>
        <v>290982.18999999994</v>
      </c>
    </row>
    <row r="40" spans="1:18" ht="27.6" x14ac:dyDescent="0.3">
      <c r="A40" s="83">
        <v>21</v>
      </c>
      <c r="B40" s="83" t="s">
        <v>22</v>
      </c>
      <c r="C40" s="83" t="s">
        <v>99</v>
      </c>
      <c r="D40" s="83" t="s">
        <v>97</v>
      </c>
      <c r="E40" s="84" t="s">
        <v>95</v>
      </c>
      <c r="F40" s="85">
        <v>322011.31</v>
      </c>
      <c r="G40" s="85">
        <v>250140.14</v>
      </c>
      <c r="H40" s="32">
        <v>2.8000000000000001E-2</v>
      </c>
      <c r="I40" s="32">
        <f>H40*1</f>
        <v>2.8000000000000001E-2</v>
      </c>
      <c r="J40" s="86">
        <f>ROUND(F40*I40,2)</f>
        <v>9016.32</v>
      </c>
      <c r="K40" s="86">
        <f>ROUND(G40*I40,2)</f>
        <v>7003.92</v>
      </c>
      <c r="L40" s="32">
        <v>3.1E-2</v>
      </c>
      <c r="M40" s="32">
        <f>L40*1.1</f>
        <v>3.4100000000000005E-2</v>
      </c>
      <c r="N40" s="32">
        <f>M40*1</f>
        <v>3.4100000000000005E-2</v>
      </c>
      <c r="O40" s="87">
        <f>ROUND((F40+J40)*N40,2)</f>
        <v>11288.04</v>
      </c>
      <c r="P40" s="87">
        <f>ROUND((G40+K40)*N40,2)</f>
        <v>8768.61</v>
      </c>
      <c r="Q40" s="88">
        <f>F40+J40+O40</f>
        <v>342315.67</v>
      </c>
      <c r="R40" s="88">
        <f>G40+K40+P40</f>
        <v>265912.67000000004</v>
      </c>
    </row>
    <row r="41" spans="1:18" ht="41.4" x14ac:dyDescent="0.3">
      <c r="A41" s="83">
        <v>22</v>
      </c>
      <c r="B41" s="83" t="s">
        <v>22</v>
      </c>
      <c r="C41" s="83" t="s">
        <v>29</v>
      </c>
      <c r="D41" s="83" t="s">
        <v>98</v>
      </c>
      <c r="E41" s="84" t="s">
        <v>62</v>
      </c>
      <c r="F41" s="85">
        <v>61387.7</v>
      </c>
      <c r="G41" s="85">
        <v>0</v>
      </c>
      <c r="H41" s="32">
        <v>2.8000000000000001E-2</v>
      </c>
      <c r="I41" s="32">
        <f>H41*1</f>
        <v>2.8000000000000001E-2</v>
      </c>
      <c r="J41" s="86">
        <f>ROUND(F41*I41,2)</f>
        <v>1718.86</v>
      </c>
      <c r="K41" s="86">
        <f>ROUND(G41*I41,2)</f>
        <v>0</v>
      </c>
      <c r="L41" s="32">
        <v>1.2999999999999999E-2</v>
      </c>
      <c r="M41" s="32">
        <f>L41*1.1</f>
        <v>1.43E-2</v>
      </c>
      <c r="N41" s="32">
        <f>M41*1</f>
        <v>1.43E-2</v>
      </c>
      <c r="O41" s="87">
        <f>ROUND((F41+J41)*N41,2)</f>
        <v>902.42</v>
      </c>
      <c r="P41" s="87">
        <f>ROUND((G41+K41)*N41,2)</f>
        <v>0</v>
      </c>
      <c r="Q41" s="88">
        <f>F41+J41+O41</f>
        <v>64008.979999999996</v>
      </c>
      <c r="R41" s="88">
        <f>G41+K41+P41</f>
        <v>0</v>
      </c>
    </row>
    <row r="42" spans="1:18" s="82" customFormat="1" ht="32.25" customHeight="1" x14ac:dyDescent="0.3">
      <c r="A42" s="76"/>
      <c r="B42" s="76"/>
      <c r="C42" s="76"/>
      <c r="D42" s="76"/>
      <c r="E42" s="77" t="s">
        <v>40</v>
      </c>
      <c r="F42" s="91">
        <f>SUM(F38:F41)</f>
        <v>649999.42999999993</v>
      </c>
      <c r="G42" s="91">
        <f>SUM(G38:G41)</f>
        <v>921173.72</v>
      </c>
      <c r="H42" s="16"/>
      <c r="I42" s="16"/>
      <c r="J42" s="93">
        <f>SUM(J38:J41)</f>
        <v>18199.989999999998</v>
      </c>
      <c r="K42" s="93">
        <f>SUM(K38:K41)</f>
        <v>25792.86</v>
      </c>
      <c r="L42" s="16"/>
      <c r="M42" s="16"/>
      <c r="N42" s="16"/>
      <c r="O42" s="94">
        <f>SUM(O38:O41)</f>
        <v>21536.09</v>
      </c>
      <c r="P42" s="94">
        <f>SUM(P38:P41)</f>
        <v>32291.550000000003</v>
      </c>
      <c r="Q42" s="92">
        <f>SUM(Q38:Q41)</f>
        <v>689735.51</v>
      </c>
      <c r="R42" s="92">
        <f>SUM(R38:R41)</f>
        <v>979258.13</v>
      </c>
    </row>
    <row r="43" spans="1:18" s="82" customFormat="1" ht="41.4" x14ac:dyDescent="0.3">
      <c r="A43" s="76"/>
      <c r="B43" s="76"/>
      <c r="C43" s="76"/>
      <c r="D43" s="76"/>
      <c r="E43" s="77" t="s">
        <v>41</v>
      </c>
      <c r="F43" s="91"/>
      <c r="G43" s="91"/>
      <c r="H43" s="17"/>
      <c r="I43" s="17"/>
      <c r="J43" s="93"/>
      <c r="K43" s="93"/>
      <c r="L43" s="16"/>
      <c r="M43" s="17"/>
      <c r="N43" s="17"/>
      <c r="O43" s="94"/>
      <c r="P43" s="94"/>
      <c r="Q43" s="92"/>
      <c r="R43" s="92"/>
    </row>
    <row r="44" spans="1:18" x14ac:dyDescent="0.3">
      <c r="A44" s="72"/>
      <c r="B44" s="72"/>
      <c r="C44" s="72"/>
      <c r="D44" s="72"/>
      <c r="E44" s="95"/>
      <c r="F44" s="96"/>
      <c r="G44" s="96">
        <f>'[1]ТУЦ руб'!N125</f>
        <v>0</v>
      </c>
      <c r="H44" s="2"/>
      <c r="I44" s="2">
        <f t="shared" ref="I44" si="32">H44*0.8</f>
        <v>0</v>
      </c>
      <c r="J44" s="97">
        <f t="shared" ref="J44" si="33">ROUND(F44*I44,2)</f>
        <v>0</v>
      </c>
      <c r="K44" s="97">
        <f t="shared" ref="K44" si="34">ROUND(G44*I44,2)</f>
        <v>0</v>
      </c>
      <c r="L44" s="35"/>
      <c r="M44" s="2">
        <f>L44*1.1</f>
        <v>0</v>
      </c>
      <c r="N44" s="2">
        <f t="shared" ref="N44" si="35">M44*0.8</f>
        <v>0</v>
      </c>
      <c r="O44" s="98">
        <f t="shared" ref="O44" si="36">ROUND((F44+J44)*N44,2)</f>
        <v>0</v>
      </c>
      <c r="P44" s="98">
        <f t="shared" ref="P44" si="37">ROUND((G44+K44)*N44,2)</f>
        <v>0</v>
      </c>
      <c r="Q44" s="99">
        <f>F44+J44+O44</f>
        <v>0</v>
      </c>
      <c r="R44" s="99">
        <f>G44+K44+P44</f>
        <v>0</v>
      </c>
    </row>
    <row r="45" spans="1:18" s="82" customFormat="1" ht="23.25" customHeight="1" x14ac:dyDescent="0.3">
      <c r="A45" s="76"/>
      <c r="B45" s="76"/>
      <c r="C45" s="76"/>
      <c r="D45" s="76"/>
      <c r="E45" s="77" t="s">
        <v>42</v>
      </c>
      <c r="F45" s="91">
        <f>SUM(F44:F44)</f>
        <v>0</v>
      </c>
      <c r="G45" s="91">
        <f>SUM(G44:G44)</f>
        <v>0</v>
      </c>
      <c r="H45" s="16"/>
      <c r="I45" s="16"/>
      <c r="J45" s="93">
        <f>SUM(J44:J44)</f>
        <v>0</v>
      </c>
      <c r="K45" s="93">
        <f>SUM(K44:K44)</f>
        <v>0</v>
      </c>
      <c r="L45" s="16"/>
      <c r="M45" s="16"/>
      <c r="N45" s="16"/>
      <c r="O45" s="94">
        <f>SUM(O44:O44)</f>
        <v>0</v>
      </c>
      <c r="P45" s="94">
        <f>SUM(P44:P44)</f>
        <v>0</v>
      </c>
      <c r="Q45" s="92">
        <f>SUM(Q44:Q44)</f>
        <v>0</v>
      </c>
      <c r="R45" s="92">
        <f>SUM(R44:R44)</f>
        <v>0</v>
      </c>
    </row>
    <row r="46" spans="1:18" s="82" customFormat="1" ht="27.6" x14ac:dyDescent="0.3">
      <c r="A46" s="76"/>
      <c r="B46" s="76"/>
      <c r="C46" s="76"/>
      <c r="D46" s="76"/>
      <c r="E46" s="77" t="s">
        <v>43</v>
      </c>
      <c r="F46" s="91"/>
      <c r="G46" s="91"/>
      <c r="H46" s="18"/>
      <c r="I46" s="18"/>
      <c r="J46" s="93"/>
      <c r="K46" s="93"/>
      <c r="L46" s="37"/>
      <c r="M46" s="18"/>
      <c r="N46" s="18"/>
      <c r="O46" s="94"/>
      <c r="P46" s="94"/>
      <c r="Q46" s="92"/>
      <c r="R46" s="92"/>
    </row>
    <row r="47" spans="1:18" ht="23.25" customHeight="1" x14ac:dyDescent="0.3">
      <c r="A47" s="72">
        <v>23</v>
      </c>
      <c r="B47" s="72" t="s">
        <v>22</v>
      </c>
      <c r="C47" s="72" t="s">
        <v>34</v>
      </c>
      <c r="D47" s="72" t="s">
        <v>44</v>
      </c>
      <c r="E47" s="102" t="s">
        <v>45</v>
      </c>
      <c r="F47" s="96">
        <v>341511.16</v>
      </c>
      <c r="G47" s="96">
        <v>1020730.16</v>
      </c>
      <c r="H47" s="25">
        <v>2.8000000000000001E-2</v>
      </c>
      <c r="I47" s="25">
        <f>H47*1</f>
        <v>2.8000000000000001E-2</v>
      </c>
      <c r="J47" s="97">
        <f t="shared" ref="J47" si="38">ROUND(F47*I47,2)</f>
        <v>9562.31</v>
      </c>
      <c r="K47" s="97">
        <f t="shared" ref="K47" si="39">ROUND(G47*I47,2)</f>
        <v>28580.44</v>
      </c>
      <c r="L47" s="32">
        <v>1.9E-2</v>
      </c>
      <c r="M47" s="25">
        <f>L47*1.1</f>
        <v>2.0900000000000002E-2</v>
      </c>
      <c r="N47" s="25">
        <f>M47*1</f>
        <v>2.0900000000000002E-2</v>
      </c>
      <c r="O47" s="98">
        <f>ROUND((F47+J47)*N47,2)</f>
        <v>7337.44</v>
      </c>
      <c r="P47" s="98">
        <f>ROUND((G47+K47)*N47,2)</f>
        <v>21930.59</v>
      </c>
      <c r="Q47" s="103">
        <f>F47+J47+O47</f>
        <v>358410.91</v>
      </c>
      <c r="R47" s="103">
        <f>G47+K47+P47</f>
        <v>1071241.1900000002</v>
      </c>
    </row>
    <row r="48" spans="1:18" ht="23.25" customHeight="1" x14ac:dyDescent="0.3">
      <c r="A48" s="83">
        <v>24</v>
      </c>
      <c r="B48" s="83" t="s">
        <v>22</v>
      </c>
      <c r="C48" s="83" t="s">
        <v>46</v>
      </c>
      <c r="D48" s="83" t="s">
        <v>44</v>
      </c>
      <c r="E48" s="84" t="s">
        <v>47</v>
      </c>
      <c r="F48" s="85">
        <v>1412221.47</v>
      </c>
      <c r="G48" s="85">
        <v>0</v>
      </c>
      <c r="H48" s="32">
        <v>2.8000000000000001E-2</v>
      </c>
      <c r="I48" s="32">
        <f>H48*1</f>
        <v>2.8000000000000001E-2</v>
      </c>
      <c r="J48" s="86">
        <f>ROUND(F48*I48,2)</f>
        <v>39542.199999999997</v>
      </c>
      <c r="K48" s="86">
        <f>ROUND(G48*I48,2)</f>
        <v>0</v>
      </c>
      <c r="L48" s="32">
        <v>1.6E-2</v>
      </c>
      <c r="M48" s="32">
        <f>L48*1.1</f>
        <v>1.7600000000000001E-2</v>
      </c>
      <c r="N48" s="32">
        <f>M48*1</f>
        <v>1.7600000000000001E-2</v>
      </c>
      <c r="O48" s="87">
        <f>ROUND((F48+J48)*N48,2)</f>
        <v>25551.040000000001</v>
      </c>
      <c r="P48" s="87">
        <f>ROUND((G48+K48)*N48,2)</f>
        <v>0</v>
      </c>
      <c r="Q48" s="88">
        <f>F48+J48+O48</f>
        <v>1477314.71</v>
      </c>
      <c r="R48" s="88">
        <f>G48+K48+P48</f>
        <v>0</v>
      </c>
    </row>
    <row r="49" spans="1:19" s="82" customFormat="1" ht="28.5" customHeight="1" x14ac:dyDescent="0.3">
      <c r="A49" s="76"/>
      <c r="B49" s="76"/>
      <c r="C49" s="76"/>
      <c r="D49" s="76"/>
      <c r="E49" s="77" t="s">
        <v>48</v>
      </c>
      <c r="F49" s="91">
        <f>SUM(F47:F48)</f>
        <v>1753732.63</v>
      </c>
      <c r="G49" s="91">
        <f>SUM(G47:G48)</f>
        <v>1020730.16</v>
      </c>
      <c r="H49" s="79"/>
      <c r="I49" s="79"/>
      <c r="J49" s="93">
        <f>SUM(J47:J48)</f>
        <v>49104.509999999995</v>
      </c>
      <c r="K49" s="93">
        <f>SUM(K47:K48)</f>
        <v>28580.44</v>
      </c>
      <c r="L49" s="35"/>
      <c r="M49" s="2"/>
      <c r="N49" s="2"/>
      <c r="O49" s="94">
        <f>SUM(O47:O48)</f>
        <v>32888.480000000003</v>
      </c>
      <c r="P49" s="94">
        <f t="shared" ref="P49:R49" si="40">SUM(P47:P48)</f>
        <v>21930.59</v>
      </c>
      <c r="Q49" s="92">
        <f t="shared" si="40"/>
        <v>1835725.6199999999</v>
      </c>
      <c r="R49" s="92">
        <f t="shared" si="40"/>
        <v>1071241.1900000002</v>
      </c>
    </row>
    <row r="50" spans="1:19" s="82" customFormat="1" ht="28.5" customHeight="1" x14ac:dyDescent="0.3">
      <c r="A50" s="76"/>
      <c r="B50" s="76"/>
      <c r="C50" s="76"/>
      <c r="D50" s="76"/>
      <c r="E50" s="77" t="s">
        <v>49</v>
      </c>
      <c r="F50" s="91">
        <f>F49+F45+F42+F36+F32+F29+F21</f>
        <v>149206889.90000004</v>
      </c>
      <c r="G50" s="91">
        <f>G49+G45+G42+G36+G32+G29+G21</f>
        <v>20754015.109999996</v>
      </c>
      <c r="H50" s="79"/>
      <c r="I50" s="79"/>
      <c r="J50" s="93">
        <f>J49+J45+J42+J36+J32+J29+J21</f>
        <v>4177792.91</v>
      </c>
      <c r="K50" s="93">
        <f>K49+K45+K42+K36+K32+K29+K21</f>
        <v>581112.42000000004</v>
      </c>
      <c r="L50" s="35"/>
      <c r="M50" s="2"/>
      <c r="N50" s="2"/>
      <c r="O50" s="94">
        <f>O49+O45+O42+O36+O32+O29+O21</f>
        <v>2372164.5499999998</v>
      </c>
      <c r="P50" s="94">
        <f t="shared" ref="P50:R50" si="41">P49+P45+P42+P36+P32+P29+P21</f>
        <v>479186.05</v>
      </c>
      <c r="Q50" s="92">
        <f t="shared" si="41"/>
        <v>155756847.36000001</v>
      </c>
      <c r="R50" s="92">
        <f t="shared" si="41"/>
        <v>21814313.579999998</v>
      </c>
    </row>
    <row r="51" spans="1:19" s="82" customFormat="1" x14ac:dyDescent="0.3">
      <c r="A51" s="76"/>
      <c r="B51" s="76"/>
      <c r="C51" s="76"/>
      <c r="D51" s="76"/>
      <c r="E51" s="77" t="s">
        <v>50</v>
      </c>
      <c r="F51" s="91"/>
      <c r="G51" s="91"/>
      <c r="H51" s="79"/>
      <c r="I51" s="79"/>
      <c r="J51" s="93"/>
      <c r="K51" s="93"/>
      <c r="L51" s="16"/>
      <c r="M51" s="16"/>
      <c r="N51" s="16"/>
      <c r="O51" s="94"/>
      <c r="P51" s="94"/>
      <c r="Q51" s="92"/>
      <c r="R51" s="92"/>
    </row>
    <row r="52" spans="1:19" ht="26.4" customHeight="1" x14ac:dyDescent="0.3">
      <c r="A52" s="72">
        <v>25</v>
      </c>
      <c r="B52" s="72"/>
      <c r="C52" s="83" t="s">
        <v>100</v>
      </c>
      <c r="D52" s="72" t="s">
        <v>101</v>
      </c>
      <c r="E52" s="102" t="s">
        <v>102</v>
      </c>
      <c r="F52" s="96">
        <v>447882.14</v>
      </c>
      <c r="G52" s="96">
        <v>0</v>
      </c>
      <c r="H52" s="104"/>
      <c r="I52" s="2">
        <f t="shared" ref="I52" si="42">H52*0.8</f>
        <v>0</v>
      </c>
      <c r="J52" s="97">
        <v>0</v>
      </c>
      <c r="K52" s="97">
        <f t="shared" ref="K52" si="43">ROUND(G52*I52,2)</f>
        <v>0</v>
      </c>
      <c r="L52" s="35">
        <v>6.0000000000000001E-3</v>
      </c>
      <c r="M52" s="2">
        <f>L52*1.1</f>
        <v>6.6000000000000008E-3</v>
      </c>
      <c r="N52" s="2">
        <f>M52*1</f>
        <v>6.6000000000000008E-3</v>
      </c>
      <c r="O52" s="98">
        <f>F52*N52</f>
        <v>2956.0221240000005</v>
      </c>
      <c r="P52" s="98">
        <f t="shared" ref="P52" si="44">ROUND((G52+K52)*N52,2)</f>
        <v>0</v>
      </c>
      <c r="Q52" s="99">
        <f>F52+J52+O52</f>
        <v>450838.16212400002</v>
      </c>
      <c r="R52" s="99">
        <f>G52+K52+P52</f>
        <v>0</v>
      </c>
    </row>
    <row r="53" spans="1:19" ht="14.25" customHeight="1" x14ac:dyDescent="0.3">
      <c r="A53" s="72"/>
      <c r="B53" s="72"/>
      <c r="C53" s="72"/>
      <c r="D53" s="72"/>
      <c r="E53" s="95"/>
      <c r="F53" s="96"/>
      <c r="G53" s="96"/>
      <c r="H53" s="104"/>
      <c r="I53" s="2"/>
      <c r="J53" s="97"/>
      <c r="K53" s="97"/>
      <c r="L53" s="2"/>
      <c r="M53" s="2"/>
      <c r="N53" s="2"/>
      <c r="O53" s="98"/>
      <c r="P53" s="98"/>
      <c r="Q53" s="99"/>
      <c r="R53" s="99"/>
    </row>
    <row r="54" spans="1:19" s="82" customFormat="1" ht="28.5" customHeight="1" x14ac:dyDescent="0.3">
      <c r="A54" s="76"/>
      <c r="B54" s="76"/>
      <c r="C54" s="76"/>
      <c r="D54" s="76"/>
      <c r="E54" s="77" t="s">
        <v>51</v>
      </c>
      <c r="F54" s="91">
        <f>F52</f>
        <v>447882.14</v>
      </c>
      <c r="G54" s="91">
        <f>G52</f>
        <v>0</v>
      </c>
      <c r="H54" s="79"/>
      <c r="I54" s="79"/>
      <c r="J54" s="93">
        <f t="shared" ref="J54:K54" si="45">J52</f>
        <v>0</v>
      </c>
      <c r="K54" s="93">
        <f t="shared" si="45"/>
        <v>0</v>
      </c>
      <c r="L54" s="79"/>
      <c r="M54" s="79"/>
      <c r="N54" s="79"/>
      <c r="O54" s="94">
        <f t="shared" ref="O54:R54" si="46">O52</f>
        <v>2956.0221240000005</v>
      </c>
      <c r="P54" s="94">
        <f t="shared" si="46"/>
        <v>0</v>
      </c>
      <c r="Q54" s="92">
        <f t="shared" si="46"/>
        <v>450838.16212400002</v>
      </c>
      <c r="R54" s="92">
        <f t="shared" si="46"/>
        <v>0</v>
      </c>
    </row>
    <row r="55" spans="1:19" s="82" customFormat="1" ht="28.5" customHeight="1" x14ac:dyDescent="0.3">
      <c r="A55" s="76"/>
      <c r="B55" s="76"/>
      <c r="C55" s="76"/>
      <c r="D55" s="76"/>
      <c r="E55" s="77" t="s">
        <v>52</v>
      </c>
      <c r="F55" s="91">
        <f>F54+F50</f>
        <v>149654772.04000002</v>
      </c>
      <c r="G55" s="91">
        <f>G54+G50</f>
        <v>20754015.109999996</v>
      </c>
      <c r="H55" s="79"/>
      <c r="I55" s="79"/>
      <c r="J55" s="93">
        <f>J54+J50</f>
        <v>4177792.91</v>
      </c>
      <c r="K55" s="93">
        <f>K54+K50</f>
        <v>581112.42000000004</v>
      </c>
      <c r="L55" s="79"/>
      <c r="M55" s="79"/>
      <c r="N55" s="79"/>
      <c r="O55" s="94">
        <f>O54+O50</f>
        <v>2375120.5721239997</v>
      </c>
      <c r="P55" s="94">
        <f>P54+P50</f>
        <v>479186.05</v>
      </c>
      <c r="Q55" s="92">
        <f t="shared" ref="Q55:S55" si="47">Q54+Q50</f>
        <v>156207685.52212402</v>
      </c>
      <c r="R55" s="92">
        <f t="shared" si="47"/>
        <v>21814313.579999998</v>
      </c>
      <c r="S55" s="92">
        <f t="shared" si="47"/>
        <v>0</v>
      </c>
    </row>
    <row r="57" spans="1:19" x14ac:dyDescent="0.3">
      <c r="O57" s="111">
        <v>2374686.122124</v>
      </c>
      <c r="P57" s="112">
        <v>479167.48</v>
      </c>
    </row>
    <row r="59" spans="1:19" x14ac:dyDescent="0.3">
      <c r="C59" s="64" t="s">
        <v>53</v>
      </c>
      <c r="D59" s="105"/>
      <c r="E59" s="106"/>
      <c r="F59" s="107"/>
      <c r="G59" s="107"/>
      <c r="H59" s="106"/>
      <c r="I59" s="106"/>
      <c r="J59" s="108"/>
    </row>
    <row r="60" spans="1:19" ht="14.4" x14ac:dyDescent="0.3">
      <c r="C60" s="109"/>
      <c r="D60" s="126" t="s">
        <v>54</v>
      </c>
      <c r="E60" s="127"/>
      <c r="F60" s="127"/>
      <c r="G60" s="127"/>
      <c r="H60" s="127"/>
      <c r="I60" s="127"/>
      <c r="J60" s="127"/>
    </row>
    <row r="62" spans="1:19" x14ac:dyDescent="0.3">
      <c r="C62" s="64" t="s">
        <v>55</v>
      </c>
      <c r="D62" s="105"/>
      <c r="E62" s="106"/>
      <c r="F62" s="107"/>
      <c r="G62" s="107"/>
      <c r="H62" s="106"/>
      <c r="I62" s="106"/>
      <c r="J62" s="108"/>
    </row>
    <row r="63" spans="1:19" ht="14.4" x14ac:dyDescent="0.3">
      <c r="C63" s="109"/>
      <c r="D63" s="126" t="s">
        <v>54</v>
      </c>
      <c r="E63" s="127"/>
      <c r="F63" s="127"/>
      <c r="G63" s="127"/>
      <c r="H63" s="127"/>
      <c r="I63" s="127"/>
      <c r="J63" s="127"/>
    </row>
  </sheetData>
  <mergeCells count="14">
    <mergeCell ref="L7:P7"/>
    <mergeCell ref="Q7:R7"/>
    <mergeCell ref="D60:J60"/>
    <mergeCell ref="D63:J63"/>
    <mergeCell ref="A1:R1"/>
    <mergeCell ref="A2:R2"/>
    <mergeCell ref="A7:A8"/>
    <mergeCell ref="B7:B8"/>
    <mergeCell ref="C7:C8"/>
    <mergeCell ref="D7:D8"/>
    <mergeCell ref="E7:E8"/>
    <mergeCell ref="F7:F8"/>
    <mergeCell ref="G7:G8"/>
    <mergeCell ref="H7:K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 кв.2024</vt:lpstr>
      <vt:lpstr>БЦ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2024-09-06T10:15:52Z</dcterms:modified>
</cp:coreProperties>
</file>