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Ярославль\Проектная документация\2 Этап\Сметы Ярославль 2-этам\ССР_05.09.2024_ТЦ и БЦ  на проверку\Для расчета ССР\"/>
    </mc:Choice>
  </mc:AlternateContent>
  <xr:revisionPtr revIDLastSave="0" documentId="13_ncr:1_{CBCCA18D-3C29-4D74-A967-730899EB49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асчёт №1" sheetId="3" r:id="rId1"/>
    <sheet name="таблица расчета древесины (2)" sheetId="4" r:id="rId2"/>
  </sheets>
  <definedNames>
    <definedName name="_xlnm.Print_Area" localSheetId="1">'таблица расчета древесины (2)'!$A$1:$Z$66</definedName>
  </definedNames>
  <calcPr calcId="191029" refMode="R1C1"/>
</workbook>
</file>

<file path=xl/calcChain.xml><?xml version="1.0" encoding="utf-8"?>
<calcChain xmlns="http://schemas.openxmlformats.org/spreadsheetml/2006/main">
  <c r="J16" i="4" l="1"/>
  <c r="H16" i="4"/>
  <c r="H17" i="4" s="1"/>
  <c r="G16" i="4"/>
  <c r="F16" i="4"/>
  <c r="F17" i="4" s="1"/>
  <c r="E16" i="4"/>
  <c r="E17" i="4" s="1"/>
  <c r="D16" i="4"/>
  <c r="C16" i="4"/>
  <c r="I14" i="4"/>
  <c r="I16" i="4" s="1"/>
  <c r="G14" i="4"/>
  <c r="F12" i="4"/>
  <c r="E12" i="4"/>
  <c r="L11" i="4"/>
  <c r="J11" i="4"/>
  <c r="I11" i="4"/>
  <c r="H11" i="4"/>
  <c r="D11" i="4"/>
  <c r="L10" i="4"/>
  <c r="J10" i="4"/>
  <c r="H10" i="4"/>
  <c r="D10" i="4"/>
  <c r="G10" i="4" s="1"/>
  <c r="L9" i="4"/>
  <c r="D9" i="4"/>
  <c r="I9" i="4" s="1"/>
  <c r="C9" i="4"/>
  <c r="J9" i="4" s="1"/>
  <c r="L8" i="4"/>
  <c r="J8" i="4"/>
  <c r="D8" i="4"/>
  <c r="I8" i="4" s="1"/>
  <c r="C8" i="4"/>
  <c r="H8" i="4" s="1"/>
  <c r="D7" i="4"/>
  <c r="L6" i="4"/>
  <c r="J6" i="4"/>
  <c r="I6" i="4"/>
  <c r="H6" i="4"/>
  <c r="D6" i="4"/>
  <c r="C6" i="4"/>
  <c r="G6" i="4" s="1"/>
  <c r="D5" i="4"/>
  <c r="L4" i="4"/>
  <c r="H4" i="4"/>
  <c r="D4" i="4"/>
  <c r="I4" i="4" s="1"/>
  <c r="C4" i="4"/>
  <c r="J4" i="4" s="1"/>
  <c r="D3" i="4"/>
  <c r="D12" i="4" s="1"/>
  <c r="D17" i="4" s="1"/>
  <c r="C3" i="4"/>
  <c r="J3" i="4" s="1"/>
  <c r="E16" i="3"/>
  <c r="D19" i="3" s="1"/>
  <c r="D20" i="3" s="1"/>
  <c r="E9" i="3"/>
  <c r="E15" i="3"/>
  <c r="E14" i="3"/>
  <c r="E13" i="3"/>
  <c r="D12" i="3"/>
  <c r="E12" i="3"/>
  <c r="G4" i="4" l="1"/>
  <c r="I3" i="4"/>
  <c r="C7" i="4"/>
  <c r="G9" i="4"/>
  <c r="I10" i="4"/>
  <c r="C12" i="4"/>
  <c r="C17" i="4" s="1"/>
  <c r="G8" i="4"/>
  <c r="H9" i="4"/>
  <c r="G3" i="4"/>
  <c r="L3" i="4"/>
  <c r="C5" i="4"/>
  <c r="H3" i="4"/>
  <c r="D16" i="3"/>
  <c r="I5" i="4" l="1"/>
  <c r="H5" i="4"/>
  <c r="H12" i="4" s="1"/>
  <c r="J5" i="4"/>
  <c r="J12" i="4" s="1"/>
  <c r="J17" i="4" s="1"/>
  <c r="L5" i="4"/>
  <c r="L12" i="4" s="1"/>
  <c r="L17" i="4" s="1"/>
  <c r="G5" i="4"/>
  <c r="H7" i="4"/>
  <c r="I7" i="4"/>
  <c r="I12" i="4" s="1"/>
  <c r="I17" i="4" s="1"/>
  <c r="G7" i="4"/>
  <c r="L7" i="4"/>
  <c r="J7" i="4"/>
  <c r="G12" i="4"/>
  <c r="G17" i="4" s="1"/>
</calcChain>
</file>

<file path=xl/sharedStrings.xml><?xml version="1.0" encoding="utf-8"?>
<sst xmlns="http://schemas.openxmlformats.org/spreadsheetml/2006/main" count="78" uniqueCount="76">
  <si>
    <t>ВСЕГО:</t>
  </si>
  <si>
    <t>Номера сметных расчетов</t>
  </si>
  <si>
    <t>№ пп</t>
  </si>
  <si>
    <t>Строительный мусор, т</t>
  </si>
  <si>
    <t>Объем грунта для утилизации, т</t>
  </si>
  <si>
    <t>Расчет объемов грунта, строительного мусора для размещения на полигоне</t>
  </si>
  <si>
    <t>Расчёт №1</t>
  </si>
  <si>
    <t>Стоимость утилизации за 1т (руб.) без НДС (облагается НДС 20%)</t>
  </si>
  <si>
    <t>Итого в ценах на 2 кв.2024г.,                           руб. (без НДС)</t>
  </si>
  <si>
    <t>ЛСР № 02-01-01 Трамвайные пути</t>
  </si>
  <si>
    <t>ЛСР № 04-01-01 Электроснабжение и заземление остановок</t>
  </si>
  <si>
    <t>ЛСР № 07-01-01 Наружное освещение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</si>
  <si>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области.
Этап 2: «Строительство трамвайных путей и контактной сети. Участок от разворотного круга ул. Александра Невского до разворотного круга «Больница № 9» (29-я линия)»</t>
  </si>
  <si>
    <t>ЛСР № 02-01-02 Контактная сеть</t>
  </si>
  <si>
    <t>ЛСР № 01-03-03 Защитные мероприятия по сохранению инженерных коммуникаций, находящихся в зоне строительства. Сети водопровода.</t>
  </si>
  <si>
    <t>ЛСР № 01-03-04 Защитные мероприятия по сохранению инженерных коммуникаций, находящихся в зоне строительства .Сети канализации.</t>
  </si>
  <si>
    <t>ЛСР № 01-03-05 Защитные мероприятия по сохранению инженерных коммуникаций, находящихся в зоне строительства. Сети газоснабжения.</t>
  </si>
  <si>
    <t>ЛСР № 01-04-01 Валка и выкорчевка зеленых насаждений.</t>
  </si>
  <si>
    <t>Итого в ценах на 01.01.2000г. (к=17,19), руб. (без НДС)</t>
  </si>
  <si>
    <t>(30457,05+886,65)*1099,00</t>
  </si>
  <si>
    <t>Диаметр дерева</t>
  </si>
  <si>
    <t>Диаметр</t>
  </si>
  <si>
    <t xml:space="preserve">шт </t>
  </si>
  <si>
    <t>Общий объем  м3</t>
  </si>
  <si>
    <t>Объем ствола, м3</t>
  </si>
  <si>
    <t xml:space="preserve">удел вес </t>
  </si>
  <si>
    <t>Общий объем в м3</t>
  </si>
  <si>
    <t>объем в м3 пней</t>
  </si>
  <si>
    <t>Вес общий, тн</t>
  </si>
  <si>
    <t>Вес пней, тн</t>
  </si>
  <si>
    <t>Порубочние остатки  м3</t>
  </si>
  <si>
    <t xml:space="preserve">Порубочные остатки т </t>
  </si>
  <si>
    <t>м3</t>
  </si>
  <si>
    <t>пни</t>
  </si>
  <si>
    <t>от 6-10 мягкие</t>
  </si>
  <si>
    <t>6,8,10</t>
  </si>
  <si>
    <t>от 6-10 твердые</t>
  </si>
  <si>
    <t>6,8,10,6,6,8, до 10,8,6,10,10,8,6,6,10</t>
  </si>
  <si>
    <t>от 10-30 мягкие</t>
  </si>
  <si>
    <t>12,14,16,18,20,22,24,26,28,30</t>
  </si>
  <si>
    <t>от 10-30 твердые</t>
  </si>
  <si>
    <t>18,16,16,16,30,14,18,22,14,24,28,28,30,24,30,30 (8х10х8х6х8х10х6х6х6)</t>
  </si>
  <si>
    <t>от 30-50 мягкие</t>
  </si>
  <si>
    <t>32,34,36,38,40,42,44,46,48,50</t>
  </si>
  <si>
    <t xml:space="preserve">от 30-50 твердые </t>
  </si>
  <si>
    <t>50(14х8),32,46,46,32, 50(30х28)</t>
  </si>
  <si>
    <t>от 50-70 мягкие</t>
  </si>
  <si>
    <t>50,52,54,56,58,64,66</t>
  </si>
  <si>
    <t>от 50-70 твердые</t>
  </si>
  <si>
    <t>от 70-90</t>
  </si>
  <si>
    <t>поросль и кустарник</t>
  </si>
  <si>
    <t>45 * 996м2/10000м2 (согл. Прил.1.8 п.5 ТЧ ФЕР01, диам.до 11 средн.густоты )</t>
  </si>
  <si>
    <t>Всего деревьев и поросли</t>
  </si>
  <si>
    <t>Таблица 1</t>
  </si>
  <si>
    <t>Диаметр дерева, см</t>
  </si>
  <si>
    <t>Высота дерева, м</t>
  </si>
  <si>
    <t>Объем коры, м3</t>
  </si>
  <si>
    <t>% коры</t>
  </si>
  <si>
    <t>Расчетный складочный объем, скл. м3</t>
  </si>
  <si>
    <t>ствола</t>
  </si>
  <si>
    <t>сучьев</t>
  </si>
  <si>
    <t>ветвей</t>
  </si>
  <si>
    <t>крона</t>
  </si>
  <si>
    <t>общий</t>
  </si>
  <si>
    <t>10-30</t>
  </si>
  <si>
    <t>11,2-13,3</t>
  </si>
  <si>
    <t>30-50</t>
  </si>
  <si>
    <t>13,39-18,9</t>
  </si>
  <si>
    <t>50-70</t>
  </si>
  <si>
    <t>18,91-24,2</t>
  </si>
  <si>
    <t>70-90</t>
  </si>
  <si>
    <t>24,27-28,1</t>
  </si>
  <si>
    <t>90-110</t>
  </si>
  <si>
    <t>28,15-30,6</t>
  </si>
  <si>
    <t>110-130</t>
  </si>
  <si>
    <t>30,67-33,2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</si>
</sst>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_ ;\-#,##0\ "/>
    <numFmt numFmtId="166" formatCode="#,##0.000_ ;\-#,##0.000\ "/>
    <numFmt numFmtId="167" formatCode="_-* #,##0.00\ _₽_-;\-* #,##0.00\ _₽_-;_-* &quot;-&quot;??\ _₽_-;_-@_-"/>
    <numFmt numFmtId="168" formatCode="0.000"/>
  </numFmts>
  <fonts count="13" x14ac:knownFonts="1">
    <font>
      <sz val="10"/>
      <name val="Arial Cyr"/>
      <charset val="204"/>
    </font>
    <font>
      <sz val="12"/>
      <name val="Trebuchet MS"/>
      <family val="2"/>
      <charset val="204"/>
    </font>
    <font>
      <b/>
      <sz val="12"/>
      <name val="Trebuchet MS"/>
      <family val="2"/>
      <charset val="204"/>
    </font>
    <font>
      <sz val="12"/>
      <name val="Arial Cyr"/>
      <charset val="204"/>
    </font>
    <font>
      <b/>
      <sz val="11"/>
      <name val="Trebuchet MS"/>
      <family val="2"/>
      <charset val="204"/>
    </font>
    <font>
      <sz val="10"/>
      <name val="Trebuchet MS"/>
      <family val="2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 tint="4.9989318521683403E-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/>
    <xf numFmtId="0" fontId="3" fillId="0" borderId="0" xfId="0" applyFont="1"/>
    <xf numFmtId="1" fontId="1" fillId="0" borderId="2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6" fillId="2" borderId="0" xfId="0" applyFont="1" applyFill="1"/>
    <xf numFmtId="0" fontId="0" fillId="2" borderId="0" xfId="0" applyFill="1"/>
    <xf numFmtId="167" fontId="6" fillId="2" borderId="0" xfId="0" applyNumberFormat="1" applyFont="1" applyFill="1"/>
    <xf numFmtId="167" fontId="0" fillId="0" borderId="0" xfId="0" applyNumberForma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1"/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0" xfId="1" applyFont="1" applyBorder="1" applyAlignment="1">
      <alignment wrapTex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wrapText="1"/>
    </xf>
    <xf numFmtId="0" fontId="7" fillId="0" borderId="15" xfId="1" applyFont="1" applyBorder="1" applyAlignment="1">
      <alignment horizontal="center" wrapText="1"/>
    </xf>
    <xf numFmtId="0" fontId="7" fillId="0" borderId="17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9" fillId="0" borderId="0" xfId="1" applyFont="1" applyAlignment="1">
      <alignment horizontal="right" vertical="center"/>
    </xf>
    <xf numFmtId="0" fontId="8" fillId="0" borderId="19" xfId="1" applyBorder="1" applyAlignment="1">
      <alignment wrapText="1"/>
    </xf>
    <xf numFmtId="0" fontId="8" fillId="0" borderId="20" xfId="1" applyBorder="1" applyAlignment="1">
      <alignment horizontal="left"/>
    </xf>
    <xf numFmtId="0" fontId="8" fillId="0" borderId="20" xfId="1" applyBorder="1"/>
    <xf numFmtId="0" fontId="8" fillId="0" borderId="13" xfId="1" applyBorder="1"/>
    <xf numFmtId="168" fontId="8" fillId="0" borderId="13" xfId="1" applyNumberFormat="1" applyBorder="1"/>
    <xf numFmtId="2" fontId="8" fillId="0" borderId="13" xfId="1" applyNumberFormat="1" applyBorder="1"/>
    <xf numFmtId="168" fontId="8" fillId="0" borderId="14" xfId="1" applyNumberFormat="1" applyBorder="1"/>
    <xf numFmtId="0" fontId="7" fillId="0" borderId="2" xfId="1" applyFont="1" applyBorder="1"/>
    <xf numFmtId="0" fontId="7" fillId="0" borderId="2" xfId="1" applyFont="1" applyBorder="1" applyAlignment="1">
      <alignment horizontal="center"/>
    </xf>
    <xf numFmtId="0" fontId="8" fillId="0" borderId="21" xfId="1" applyBorder="1" applyAlignment="1">
      <alignment wrapText="1"/>
    </xf>
    <xf numFmtId="0" fontId="8" fillId="0" borderId="2" xfId="1" applyBorder="1" applyAlignment="1">
      <alignment horizontal="left" wrapText="1"/>
    </xf>
    <xf numFmtId="0" fontId="8" fillId="0" borderId="2" xfId="1" applyBorder="1"/>
    <xf numFmtId="168" fontId="8" fillId="0" borderId="2" xfId="1" applyNumberFormat="1" applyBorder="1"/>
    <xf numFmtId="2" fontId="8" fillId="0" borderId="2" xfId="1" applyNumberFormat="1" applyBorder="1"/>
    <xf numFmtId="17" fontId="8" fillId="0" borderId="21" xfId="1" applyNumberFormat="1" applyBorder="1" applyAlignment="1">
      <alignment wrapText="1"/>
    </xf>
    <xf numFmtId="0" fontId="8" fillId="0" borderId="2" xfId="1" applyBorder="1" applyAlignment="1">
      <alignment wrapText="1"/>
    </xf>
    <xf numFmtId="168" fontId="8" fillId="0" borderId="4" xfId="1" applyNumberFormat="1" applyBorder="1"/>
    <xf numFmtId="0" fontId="10" fillId="0" borderId="0" xfId="1" applyFont="1" applyAlignment="1">
      <alignment horizontal="left" vertical="center"/>
    </xf>
    <xf numFmtId="0" fontId="7" fillId="0" borderId="2" xfId="1" applyFont="1" applyBorder="1" applyAlignment="1">
      <alignment horizontal="right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22" xfId="1" applyBorder="1"/>
    <xf numFmtId="168" fontId="8" fillId="0" borderId="23" xfId="1" applyNumberFormat="1" applyBorder="1"/>
    <xf numFmtId="0" fontId="8" fillId="0" borderId="2" xfId="1" applyBorder="1" applyAlignment="1">
      <alignment horizontal="right"/>
    </xf>
    <xf numFmtId="0" fontId="7" fillId="3" borderId="2" xfId="1" applyFont="1" applyFill="1" applyBorder="1"/>
    <xf numFmtId="2" fontId="7" fillId="3" borderId="2" xfId="1" applyNumberFormat="1" applyFont="1" applyFill="1" applyBorder="1"/>
    <xf numFmtId="2" fontId="11" fillId="3" borderId="2" xfId="1" applyNumberFormat="1" applyFont="1" applyFill="1" applyBorder="1"/>
    <xf numFmtId="168" fontId="11" fillId="3" borderId="2" xfId="1" applyNumberFormat="1" applyFont="1" applyFill="1" applyBorder="1"/>
    <xf numFmtId="0" fontId="8" fillId="4" borderId="2" xfId="1" applyFill="1" applyBorder="1"/>
    <xf numFmtId="0" fontId="7" fillId="4" borderId="2" xfId="1" applyFont="1" applyFill="1" applyBorder="1"/>
    <xf numFmtId="0" fontId="8" fillId="0" borderId="23" xfId="1" applyBorder="1"/>
    <xf numFmtId="0" fontId="8" fillId="4" borderId="2" xfId="1" applyFill="1" applyBorder="1" applyAlignment="1">
      <alignment horizontal="center" wrapText="1"/>
    </xf>
    <xf numFmtId="2" fontId="7" fillId="4" borderId="2" xfId="1" applyNumberFormat="1" applyFont="1" applyFill="1" applyBorder="1"/>
    <xf numFmtId="168" fontId="7" fillId="4" borderId="2" xfId="1" applyNumberFormat="1" applyFont="1" applyFill="1" applyBorder="1"/>
    <xf numFmtId="168" fontId="8" fillId="0" borderId="0" xfId="1" applyNumberFormat="1"/>
    <xf numFmtId="168" fontId="7" fillId="5" borderId="0" xfId="1" applyNumberFormat="1" applyFont="1" applyFill="1"/>
    <xf numFmtId="0" fontId="12" fillId="0" borderId="10" xfId="1" applyFont="1" applyBorder="1" applyAlignment="1">
      <alignment horizontal="right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right" vertical="center" wrapText="1"/>
    </xf>
    <xf numFmtId="0" fontId="12" fillId="0" borderId="28" xfId="1" applyFont="1" applyBorder="1" applyAlignment="1">
      <alignment horizontal="center" vertical="center" wrapText="1"/>
    </xf>
    <xf numFmtId="49" fontId="12" fillId="0" borderId="27" xfId="1" applyNumberFormat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8" fillId="0" borderId="0" xfId="1" applyAlignment="1">
      <alignment horizontal="center" vertical="top" wrapText="1"/>
    </xf>
    <xf numFmtId="0" fontId="8" fillId="0" borderId="0" xfId="1" applyAlignment="1">
      <alignment vertical="top"/>
    </xf>
  </cellXfs>
  <cellStyles count="2">
    <cellStyle name="Обычный" xfId="0" builtinId="0"/>
    <cellStyle name="Обычный 2" xfId="1" xr:uid="{514431A1-5B83-43FF-878A-F805FB79A0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180975</xdr:rowOff>
    </xdr:from>
    <xdr:to>
      <xdr:col>10</xdr:col>
      <xdr:colOff>352425</xdr:colOff>
      <xdr:row>45</xdr:row>
      <xdr:rowOff>182198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7C2C4BE-407D-40BD-9C8F-E4FC7E7E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5873115"/>
          <a:ext cx="6798945" cy="5144723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133349</xdr:colOff>
      <xdr:row>16</xdr:row>
      <xdr:rowOff>38100</xdr:rowOff>
    </xdr:from>
    <xdr:to>
      <xdr:col>25</xdr:col>
      <xdr:colOff>485774</xdr:colOff>
      <xdr:row>44</xdr:row>
      <xdr:rowOff>85724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5EBA73D-72FF-44A5-8DC5-E03052924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30789" y="5364480"/>
          <a:ext cx="7660005" cy="5374004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45</xdr:row>
      <xdr:rowOff>9525</xdr:rowOff>
    </xdr:from>
    <xdr:to>
      <xdr:col>25</xdr:col>
      <xdr:colOff>465775</xdr:colOff>
      <xdr:row>65</xdr:row>
      <xdr:rowOff>132688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0A6DFB5-EE81-461F-B296-CB85BF1AA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265" y="10845165"/>
          <a:ext cx="7649530" cy="4177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10" zoomScaleNormal="100" workbookViewId="0">
      <selection activeCell="D19" sqref="D19:E19"/>
    </sheetView>
  </sheetViews>
  <sheetFormatPr defaultRowHeight="13.2" x14ac:dyDescent="0.25"/>
  <cols>
    <col min="1" max="1" width="2.33203125" customWidth="1"/>
    <col min="2" max="2" width="8.5546875" customWidth="1"/>
    <col min="3" max="3" width="43.88671875" customWidth="1"/>
    <col min="4" max="5" width="21.5546875" customWidth="1"/>
    <col min="6" max="6" width="12" bestFit="1" customWidth="1"/>
    <col min="8" max="8" width="11" bestFit="1" customWidth="1"/>
  </cols>
  <sheetData>
    <row r="1" spans="1:6" ht="16.2" x14ac:dyDescent="0.25">
      <c r="A1" s="24" t="s">
        <v>6</v>
      </c>
      <c r="B1" s="24"/>
      <c r="C1" s="24"/>
      <c r="D1" s="24"/>
      <c r="E1" s="24"/>
    </row>
    <row r="2" spans="1:6" ht="30" customHeight="1" x14ac:dyDescent="0.25">
      <c r="A2" s="25" t="s">
        <v>5</v>
      </c>
      <c r="B2" s="25"/>
      <c r="C2" s="25"/>
      <c r="D2" s="25"/>
      <c r="E2" s="25"/>
    </row>
    <row r="3" spans="1:6" ht="92.25" customHeight="1" x14ac:dyDescent="0.25">
      <c r="A3" s="26" t="s">
        <v>12</v>
      </c>
      <c r="B3" s="26"/>
      <c r="C3" s="26"/>
      <c r="D3" s="26"/>
      <c r="E3" s="26"/>
    </row>
    <row r="4" spans="1:6" ht="15" x14ac:dyDescent="0.25">
      <c r="A4" s="1"/>
      <c r="B4" s="27" t="s">
        <v>2</v>
      </c>
      <c r="C4" s="28" t="s">
        <v>1</v>
      </c>
      <c r="D4" s="28" t="s">
        <v>4</v>
      </c>
      <c r="E4" s="29" t="s">
        <v>3</v>
      </c>
    </row>
    <row r="5" spans="1:6" ht="15" x14ac:dyDescent="0.25">
      <c r="A5" s="1"/>
      <c r="B5" s="27"/>
      <c r="C5" s="28"/>
      <c r="D5" s="28"/>
      <c r="E5" s="29"/>
    </row>
    <row r="6" spans="1:6" ht="15" x14ac:dyDescent="0.25">
      <c r="A6" s="1"/>
      <c r="B6" s="27"/>
      <c r="C6" s="28"/>
      <c r="D6" s="28"/>
      <c r="E6" s="29"/>
    </row>
    <row r="7" spans="1:6" ht="15" x14ac:dyDescent="0.25">
      <c r="A7" s="1"/>
      <c r="B7" s="6">
        <v>1</v>
      </c>
      <c r="C7" s="6">
        <v>2</v>
      </c>
      <c r="D7" s="6">
        <v>4</v>
      </c>
      <c r="E7" s="6">
        <v>5</v>
      </c>
    </row>
    <row r="8" spans="1:6" ht="64.8" x14ac:dyDescent="0.25">
      <c r="A8" s="1"/>
      <c r="B8" s="6">
        <v>1</v>
      </c>
      <c r="C8" s="11" t="s">
        <v>14</v>
      </c>
      <c r="D8" s="6"/>
      <c r="E8" s="13">
        <v>25.67</v>
      </c>
    </row>
    <row r="9" spans="1:6" ht="64.8" x14ac:dyDescent="0.25">
      <c r="A9" s="1"/>
      <c r="B9" s="6">
        <v>2</v>
      </c>
      <c r="C9" s="11" t="s">
        <v>15</v>
      </c>
      <c r="D9" s="6"/>
      <c r="E9" s="13">
        <f>37.47+57.75</f>
        <v>95.22</v>
      </c>
    </row>
    <row r="10" spans="1:6" ht="64.8" x14ac:dyDescent="0.25">
      <c r="A10" s="1"/>
      <c r="B10" s="6">
        <v>3</v>
      </c>
      <c r="C10" s="11" t="s">
        <v>16</v>
      </c>
      <c r="D10" s="6"/>
      <c r="E10" s="13">
        <v>24.937999999999999</v>
      </c>
    </row>
    <row r="11" spans="1:6" ht="32.4" x14ac:dyDescent="0.25">
      <c r="A11" s="1"/>
      <c r="B11" s="6">
        <v>4</v>
      </c>
      <c r="C11" s="11" t="s">
        <v>17</v>
      </c>
      <c r="D11" s="6"/>
      <c r="E11" s="13">
        <v>356.81650000000002</v>
      </c>
    </row>
    <row r="12" spans="1:6" ht="16.2" x14ac:dyDescent="0.25">
      <c r="A12" s="1"/>
      <c r="B12" s="2">
        <v>5</v>
      </c>
      <c r="C12" s="5" t="s">
        <v>9</v>
      </c>
      <c r="D12" s="7">
        <f>4.56*1.95+13507.06*1.95+1305.38*1.95+1429.35+134.55</f>
        <v>30457.05</v>
      </c>
      <c r="E12" s="12">
        <f>73.1*1.5+472.17*0.12*1.5+161.5</f>
        <v>356.14060000000001</v>
      </c>
    </row>
    <row r="13" spans="1:6" ht="16.2" x14ac:dyDescent="0.25">
      <c r="A13" s="1"/>
      <c r="B13" s="2">
        <v>6</v>
      </c>
      <c r="C13" s="5" t="s">
        <v>13</v>
      </c>
      <c r="D13" s="8"/>
      <c r="E13" s="12">
        <f>10.59*1.9</f>
        <v>20.120999999999999</v>
      </c>
    </row>
    <row r="14" spans="1:6" ht="32.4" x14ac:dyDescent="0.25">
      <c r="A14" s="1"/>
      <c r="B14" s="2">
        <v>7</v>
      </c>
      <c r="C14" s="9" t="s">
        <v>10</v>
      </c>
      <c r="D14" s="8"/>
      <c r="E14" s="12">
        <f>1.596+2.0168</f>
        <v>3.6128</v>
      </c>
    </row>
    <row r="15" spans="1:6" ht="16.2" x14ac:dyDescent="0.25">
      <c r="A15" s="1"/>
      <c r="B15" s="2">
        <v>8</v>
      </c>
      <c r="C15" s="5" t="s">
        <v>11</v>
      </c>
      <c r="D15" s="8"/>
      <c r="E15" s="12">
        <f>0.58*1.9+0.96*1.44+0.38*1.9+0.64*1.44</f>
        <v>4.1280000000000001</v>
      </c>
    </row>
    <row r="16" spans="1:6" ht="21.75" customHeight="1" x14ac:dyDescent="0.25">
      <c r="A16" s="1"/>
      <c r="B16" s="3"/>
      <c r="C16" s="4" t="s">
        <v>0</v>
      </c>
      <c r="D16" s="10">
        <f>SUM(D12:D15)</f>
        <v>30457.05</v>
      </c>
      <c r="E16" s="14">
        <f>SUM(E8:E15)</f>
        <v>886.64690000000007</v>
      </c>
      <c r="F16" s="19"/>
    </row>
    <row r="17" spans="2:8" ht="32.4" x14ac:dyDescent="0.25">
      <c r="B17" s="4"/>
      <c r="C17" s="15" t="s">
        <v>7</v>
      </c>
      <c r="D17" s="20">
        <v>1099</v>
      </c>
      <c r="E17" s="21"/>
    </row>
    <row r="18" spans="2:8" ht="38.25" customHeight="1" x14ac:dyDescent="0.35">
      <c r="B18" s="4"/>
      <c r="C18" s="15"/>
      <c r="D18" s="22" t="s">
        <v>19</v>
      </c>
      <c r="E18" s="23"/>
      <c r="H18">
        <v>34638567.080600001</v>
      </c>
    </row>
    <row r="19" spans="2:8" ht="37.5" customHeight="1" x14ac:dyDescent="0.25">
      <c r="B19" s="4"/>
      <c r="C19" s="15" t="s">
        <v>8</v>
      </c>
      <c r="D19" s="20">
        <f>(D16+E16)*1099</f>
        <v>34446722.893100001</v>
      </c>
      <c r="E19" s="21"/>
    </row>
    <row r="20" spans="2:8" ht="33.75" customHeight="1" x14ac:dyDescent="0.25">
      <c r="B20" s="4"/>
      <c r="C20" s="15" t="s">
        <v>18</v>
      </c>
      <c r="D20" s="20">
        <f>D19/17.19</f>
        <v>2003881.4946538685</v>
      </c>
      <c r="E20" s="21"/>
      <c r="G20">
        <v>17.190000000000001</v>
      </c>
    </row>
    <row r="23" spans="2:8" x14ac:dyDescent="0.25">
      <c r="C23" s="16"/>
      <c r="D23" s="17"/>
      <c r="E23" s="18"/>
    </row>
  </sheetData>
  <mergeCells count="11">
    <mergeCell ref="D17:E17"/>
    <mergeCell ref="D18:E18"/>
    <mergeCell ref="D19:E19"/>
    <mergeCell ref="D20:E20"/>
    <mergeCell ref="A1:E1"/>
    <mergeCell ref="A2:E2"/>
    <mergeCell ref="A3:E3"/>
    <mergeCell ref="B4:B6"/>
    <mergeCell ref="C4:C6"/>
    <mergeCell ref="D4:D6"/>
    <mergeCell ref="E4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54E4-8989-477F-9790-985099C22729}">
  <sheetPr>
    <tabColor rgb="FFFFFF00"/>
  </sheetPr>
  <dimension ref="A1:AB80"/>
  <sheetViews>
    <sheetView topLeftCell="A7" workbookViewId="0">
      <selection activeCell="M24" sqref="M24"/>
    </sheetView>
  </sheetViews>
  <sheetFormatPr defaultRowHeight="14.4" x14ac:dyDescent="0.3"/>
  <cols>
    <col min="1" max="1" width="16.5546875" style="30" customWidth="1"/>
    <col min="2" max="2" width="18.6640625" style="30" customWidth="1"/>
    <col min="3" max="3" width="10.6640625" style="30" customWidth="1"/>
    <col min="4" max="9" width="8.88671875" style="30"/>
    <col min="10" max="10" width="11.33203125" style="30" customWidth="1"/>
    <col min="11" max="11" width="16.109375" style="30" customWidth="1"/>
    <col min="12" max="15" width="9.5546875" style="30" customWidth="1"/>
    <col min="16" max="23" width="8.88671875" style="30"/>
    <col min="24" max="24" width="7.44140625" style="30" customWidth="1"/>
    <col min="25" max="16384" width="8.88671875" style="30"/>
  </cols>
  <sheetData>
    <row r="1" spans="1:25" ht="15" thickBot="1" x14ac:dyDescent="0.35">
      <c r="B1" s="31"/>
      <c r="C1" s="32"/>
      <c r="D1" s="32"/>
      <c r="E1" s="33"/>
      <c r="F1" s="33"/>
      <c r="G1" s="34"/>
      <c r="H1" s="34"/>
      <c r="I1" s="34"/>
      <c r="J1" s="34"/>
      <c r="K1" s="31"/>
      <c r="L1" s="32"/>
      <c r="M1" s="32"/>
      <c r="N1" s="33"/>
      <c r="O1" s="33"/>
    </row>
    <row r="2" spans="1:25" ht="43.8" thickBot="1" x14ac:dyDescent="0.35">
      <c r="A2" s="35" t="s">
        <v>20</v>
      </c>
      <c r="B2" s="36" t="s">
        <v>21</v>
      </c>
      <c r="C2" s="37" t="s">
        <v>22</v>
      </c>
      <c r="D2" s="38" t="s">
        <v>23</v>
      </c>
      <c r="E2" s="39" t="s">
        <v>24</v>
      </c>
      <c r="F2" s="39" t="s">
        <v>25</v>
      </c>
      <c r="G2" s="40" t="s">
        <v>26</v>
      </c>
      <c r="H2" s="41" t="s">
        <v>27</v>
      </c>
      <c r="I2" s="42" t="s">
        <v>28</v>
      </c>
      <c r="J2" s="43" t="s">
        <v>29</v>
      </c>
      <c r="K2" s="44" t="s">
        <v>30</v>
      </c>
      <c r="L2" s="45" t="s">
        <v>31</v>
      </c>
      <c r="M2" s="46" t="s">
        <v>32</v>
      </c>
      <c r="N2" s="47" t="s">
        <v>33</v>
      </c>
      <c r="O2" s="48" t="s">
        <v>25</v>
      </c>
      <c r="Q2" s="49"/>
    </row>
    <row r="3" spans="1:25" ht="16.2" x14ac:dyDescent="0.3">
      <c r="A3" s="50" t="s">
        <v>34</v>
      </c>
      <c r="B3" s="51" t="s">
        <v>35</v>
      </c>
      <c r="C3" s="52">
        <f>80-C4</f>
        <v>52</v>
      </c>
      <c r="D3" s="53">
        <f>1.49</f>
        <v>1.49</v>
      </c>
      <c r="E3" s="53">
        <v>0.30399999999999999</v>
      </c>
      <c r="F3" s="53">
        <v>0.85</v>
      </c>
      <c r="G3" s="53">
        <f>C3*D3</f>
        <v>77.48</v>
      </c>
      <c r="H3" s="54">
        <f>C3*E3*0.16</f>
        <v>2.52928</v>
      </c>
      <c r="I3" s="55">
        <f t="shared" ref="I3:I11" si="0">F3*D3*C3</f>
        <v>65.858000000000004</v>
      </c>
      <c r="J3" s="56">
        <f t="shared" ref="J3:J11" si="1">F3*E3*C3*0.16</f>
        <v>2.1498879999999998</v>
      </c>
      <c r="K3" s="57">
        <v>1.04</v>
      </c>
      <c r="L3" s="58">
        <f>K3*C3*F3</f>
        <v>45.967999999999996</v>
      </c>
      <c r="M3" s="58"/>
      <c r="N3" s="58"/>
      <c r="O3" s="58"/>
      <c r="Q3" s="49"/>
    </row>
    <row r="4" spans="1:25" ht="28.8" x14ac:dyDescent="0.3">
      <c r="A4" s="59" t="s">
        <v>36</v>
      </c>
      <c r="B4" s="60" t="s">
        <v>37</v>
      </c>
      <c r="C4" s="61">
        <f>1+1+1+1+1+1+14+1+1+6</f>
        <v>28</v>
      </c>
      <c r="D4" s="61">
        <f>1.49</f>
        <v>1.49</v>
      </c>
      <c r="E4" s="61">
        <v>0.30399999999999999</v>
      </c>
      <c r="F4" s="61">
        <v>1</v>
      </c>
      <c r="G4" s="61">
        <f t="shared" ref="G4:G10" si="2">C4*D4</f>
        <v>41.72</v>
      </c>
      <c r="H4" s="62">
        <f t="shared" ref="H4:H11" si="3">C4*E4*0.16</f>
        <v>1.36192</v>
      </c>
      <c r="I4" s="63">
        <f t="shared" si="0"/>
        <v>41.72</v>
      </c>
      <c r="J4" s="62">
        <f t="shared" si="1"/>
        <v>1.36192</v>
      </c>
      <c r="K4" s="57">
        <v>1.04</v>
      </c>
      <c r="L4" s="58">
        <f t="shared" ref="L4:L11" si="4">K4*C4*F4</f>
        <v>29.12</v>
      </c>
      <c r="M4" s="58"/>
      <c r="N4" s="58"/>
      <c r="O4" s="58"/>
      <c r="Q4" s="49"/>
    </row>
    <row r="5" spans="1:25" ht="28.8" x14ac:dyDescent="0.3">
      <c r="A5" s="64" t="s">
        <v>38</v>
      </c>
      <c r="B5" s="65" t="s">
        <v>39</v>
      </c>
      <c r="C5" s="61">
        <f>27-C6</f>
        <v>10</v>
      </c>
      <c r="D5" s="61">
        <f>1.49</f>
        <v>1.49</v>
      </c>
      <c r="E5" s="61">
        <v>0.30399999999999999</v>
      </c>
      <c r="F5" s="61">
        <v>0.85</v>
      </c>
      <c r="G5" s="61">
        <f t="shared" si="2"/>
        <v>14.9</v>
      </c>
      <c r="H5" s="62">
        <f t="shared" si="3"/>
        <v>0.4864</v>
      </c>
      <c r="I5" s="63">
        <f t="shared" si="0"/>
        <v>12.664999999999999</v>
      </c>
      <c r="J5" s="66">
        <f t="shared" si="1"/>
        <v>0.41343999999999997</v>
      </c>
      <c r="K5" s="57">
        <v>1.04</v>
      </c>
      <c r="L5" s="58">
        <f t="shared" si="4"/>
        <v>8.84</v>
      </c>
      <c r="M5" s="61"/>
      <c r="N5" s="61"/>
      <c r="O5" s="61"/>
      <c r="Q5" s="67"/>
    </row>
    <row r="6" spans="1:25" ht="72" x14ac:dyDescent="0.3">
      <c r="A6" s="64" t="s">
        <v>40</v>
      </c>
      <c r="B6" s="65" t="s">
        <v>41</v>
      </c>
      <c r="C6" s="61">
        <f>1+1+1+2+1+7+1+1+1+1</f>
        <v>17</v>
      </c>
      <c r="D6" s="61">
        <f>1.49</f>
        <v>1.49</v>
      </c>
      <c r="E6" s="61">
        <v>0.30399999999999999</v>
      </c>
      <c r="F6" s="61">
        <v>1</v>
      </c>
      <c r="G6" s="61">
        <f t="shared" si="2"/>
        <v>25.33</v>
      </c>
      <c r="H6" s="62">
        <f t="shared" si="3"/>
        <v>0.82688000000000006</v>
      </c>
      <c r="I6" s="63">
        <f t="shared" si="0"/>
        <v>25.33</v>
      </c>
      <c r="J6" s="66">
        <f t="shared" si="1"/>
        <v>0.82688000000000006</v>
      </c>
      <c r="K6" s="68">
        <v>1.04</v>
      </c>
      <c r="L6" s="58">
        <f t="shared" si="4"/>
        <v>17.68</v>
      </c>
      <c r="M6" s="61"/>
      <c r="N6" s="61"/>
      <c r="O6" s="61"/>
      <c r="Q6" s="67"/>
    </row>
    <row r="7" spans="1:25" ht="28.8" x14ac:dyDescent="0.3">
      <c r="A7" s="59" t="s">
        <v>42</v>
      </c>
      <c r="B7" s="65" t="s">
        <v>43</v>
      </c>
      <c r="C7" s="61">
        <f>24-C8</f>
        <v>18</v>
      </c>
      <c r="D7" s="61">
        <f>4.69</f>
        <v>4.6900000000000004</v>
      </c>
      <c r="E7" s="61">
        <v>1.079</v>
      </c>
      <c r="F7" s="61">
        <v>0.85</v>
      </c>
      <c r="G7" s="61">
        <f t="shared" si="2"/>
        <v>84.42</v>
      </c>
      <c r="H7" s="62">
        <f t="shared" si="3"/>
        <v>3.1075200000000001</v>
      </c>
      <c r="I7" s="63">
        <f t="shared" si="0"/>
        <v>71.757000000000005</v>
      </c>
      <c r="J7" s="66">
        <f t="shared" si="1"/>
        <v>2.6413919999999997</v>
      </c>
      <c r="K7" s="68">
        <v>3.1</v>
      </c>
      <c r="L7" s="58">
        <f t="shared" si="4"/>
        <v>47.43</v>
      </c>
      <c r="M7" s="61"/>
      <c r="N7" s="61"/>
      <c r="O7" s="61"/>
      <c r="Q7" s="69"/>
      <c r="S7" s="69"/>
      <c r="T7" s="69"/>
      <c r="U7" s="69"/>
      <c r="V7" s="69"/>
      <c r="W7" s="69"/>
      <c r="X7" s="69"/>
      <c r="Y7" s="69"/>
    </row>
    <row r="8" spans="1:25" ht="28.8" x14ac:dyDescent="0.3">
      <c r="A8" s="59" t="s">
        <v>44</v>
      </c>
      <c r="B8" s="65" t="s">
        <v>45</v>
      </c>
      <c r="C8" s="61">
        <f>1+1+1+1+1+1</f>
        <v>6</v>
      </c>
      <c r="D8" s="61">
        <f>4.69</f>
        <v>4.6900000000000004</v>
      </c>
      <c r="E8" s="61">
        <v>1.079</v>
      </c>
      <c r="F8" s="61">
        <v>1</v>
      </c>
      <c r="G8" s="61">
        <f t="shared" si="2"/>
        <v>28.14</v>
      </c>
      <c r="H8" s="62">
        <f t="shared" si="3"/>
        <v>1.0358400000000001</v>
      </c>
      <c r="I8" s="63">
        <f t="shared" si="0"/>
        <v>28.14</v>
      </c>
      <c r="J8" s="66">
        <f t="shared" si="1"/>
        <v>1.0358400000000001</v>
      </c>
      <c r="K8" s="68">
        <v>3.1</v>
      </c>
      <c r="L8" s="58">
        <f t="shared" si="4"/>
        <v>18.600000000000001</v>
      </c>
      <c r="M8" s="61"/>
      <c r="N8" s="61"/>
      <c r="O8" s="61"/>
      <c r="Q8" s="70"/>
      <c r="S8" s="70"/>
      <c r="T8" s="70"/>
      <c r="U8" s="70"/>
      <c r="V8" s="70"/>
      <c r="W8" s="70"/>
      <c r="X8" s="70"/>
      <c r="Y8" s="70"/>
    </row>
    <row r="9" spans="1:25" x14ac:dyDescent="0.3">
      <c r="A9" s="59" t="s">
        <v>46</v>
      </c>
      <c r="B9" s="65" t="s">
        <v>47</v>
      </c>
      <c r="C9" s="61">
        <f>30-C10+1</f>
        <v>30</v>
      </c>
      <c r="D9" s="61">
        <f>9.93</f>
        <v>9.93</v>
      </c>
      <c r="E9" s="61">
        <v>2.4809999999999999</v>
      </c>
      <c r="F9" s="61">
        <v>0.85</v>
      </c>
      <c r="G9" s="61">
        <f t="shared" si="2"/>
        <v>297.89999999999998</v>
      </c>
      <c r="H9" s="62">
        <f t="shared" si="3"/>
        <v>11.908799999999999</v>
      </c>
      <c r="I9" s="63">
        <f t="shared" si="0"/>
        <v>253.215</v>
      </c>
      <c r="J9" s="66">
        <f t="shared" si="1"/>
        <v>10.122479999999999</v>
      </c>
      <c r="K9" s="68">
        <v>6.28</v>
      </c>
      <c r="L9" s="58">
        <f t="shared" si="4"/>
        <v>160.14000000000001</v>
      </c>
      <c r="M9" s="61"/>
      <c r="N9" s="61"/>
      <c r="O9" s="61"/>
    </row>
    <row r="10" spans="1:25" x14ac:dyDescent="0.3">
      <c r="A10" s="59" t="s">
        <v>48</v>
      </c>
      <c r="B10" s="65"/>
      <c r="C10" s="61">
        <v>1</v>
      </c>
      <c r="D10" s="61">
        <f>9.93</f>
        <v>9.93</v>
      </c>
      <c r="E10" s="61">
        <v>2.4809999999999999</v>
      </c>
      <c r="F10" s="61">
        <v>1</v>
      </c>
      <c r="G10" s="61">
        <f t="shared" si="2"/>
        <v>9.93</v>
      </c>
      <c r="H10" s="62">
        <f t="shared" si="3"/>
        <v>0.39695999999999998</v>
      </c>
      <c r="I10" s="63">
        <f t="shared" si="0"/>
        <v>9.93</v>
      </c>
      <c r="J10" s="66">
        <f t="shared" si="1"/>
        <v>0.39695999999999998</v>
      </c>
      <c r="K10" s="68">
        <v>6.28</v>
      </c>
      <c r="L10" s="58">
        <f t="shared" si="4"/>
        <v>6.28</v>
      </c>
      <c r="M10" s="61"/>
      <c r="N10" s="61"/>
      <c r="O10" s="61"/>
    </row>
    <row r="11" spans="1:25" hidden="1" x14ac:dyDescent="0.3">
      <c r="A11" s="61" t="s">
        <v>49</v>
      </c>
      <c r="B11" s="65"/>
      <c r="C11" s="61"/>
      <c r="D11" s="61">
        <f>17.47</f>
        <v>17.47</v>
      </c>
      <c r="E11" s="61">
        <v>4.5670000000000002</v>
      </c>
      <c r="F11" s="61">
        <v>0.85</v>
      </c>
      <c r="G11" s="71"/>
      <c r="H11" s="72">
        <f t="shared" si="3"/>
        <v>0</v>
      </c>
      <c r="I11" s="63">
        <f t="shared" si="0"/>
        <v>0</v>
      </c>
      <c r="J11" s="62">
        <f t="shared" si="1"/>
        <v>0</v>
      </c>
      <c r="K11" s="73"/>
      <c r="L11" s="58">
        <f t="shared" si="4"/>
        <v>0</v>
      </c>
      <c r="M11" s="61"/>
      <c r="N11" s="61"/>
      <c r="O11" s="61"/>
    </row>
    <row r="12" spans="1:25" x14ac:dyDescent="0.3">
      <c r="A12" s="61"/>
      <c r="B12" s="61"/>
      <c r="C12" s="74">
        <f>SUM(C3:C11)</f>
        <v>162</v>
      </c>
      <c r="D12" s="74">
        <f t="shared" ref="D12:J12" si="5">SUM(D3:D11)</f>
        <v>52.67</v>
      </c>
      <c r="E12" s="74">
        <f t="shared" si="5"/>
        <v>12.902999999999999</v>
      </c>
      <c r="F12" s="74">
        <f t="shared" si="5"/>
        <v>8.25</v>
      </c>
      <c r="G12" s="74">
        <f t="shared" si="5"/>
        <v>579.81999999999994</v>
      </c>
      <c r="H12" s="75">
        <f t="shared" si="5"/>
        <v>21.653600000000001</v>
      </c>
      <c r="I12" s="76">
        <f t="shared" si="5"/>
        <v>508.61499999999995</v>
      </c>
      <c r="J12" s="77">
        <f t="shared" si="5"/>
        <v>18.948799999999999</v>
      </c>
      <c r="K12" s="78"/>
      <c r="L12" s="79">
        <f>SUM(L3:L11)</f>
        <v>334.05799999999999</v>
      </c>
      <c r="M12" s="78"/>
      <c r="N12" s="78"/>
      <c r="O12" s="78"/>
    </row>
    <row r="13" spans="1:25" x14ac:dyDescent="0.3">
      <c r="A13" s="61"/>
      <c r="B13" s="65"/>
      <c r="C13" s="61"/>
      <c r="D13" s="61"/>
      <c r="E13" s="61"/>
      <c r="F13" s="61"/>
      <c r="G13" s="61"/>
      <c r="H13" s="61"/>
      <c r="I13" s="63"/>
      <c r="J13" s="66"/>
      <c r="K13" s="73"/>
      <c r="L13" s="61"/>
      <c r="M13" s="61"/>
      <c r="N13" s="61"/>
      <c r="O13" s="61"/>
    </row>
    <row r="14" spans="1:25" ht="71.25" customHeight="1" x14ac:dyDescent="0.3">
      <c r="A14" s="65" t="s">
        <v>50</v>
      </c>
      <c r="B14" s="65" t="s">
        <v>51</v>
      </c>
      <c r="C14" s="61"/>
      <c r="D14" s="61"/>
      <c r="E14" s="61"/>
      <c r="F14" s="61"/>
      <c r="G14" s="61">
        <f>45/10000*996</f>
        <v>4.4819999999999993</v>
      </c>
      <c r="H14" s="62"/>
      <c r="I14" s="63">
        <f>G14*0.85</f>
        <v>3.8096999999999994</v>
      </c>
      <c r="J14" s="66"/>
      <c r="K14" s="73"/>
      <c r="L14" s="61"/>
      <c r="M14" s="61"/>
      <c r="N14" s="61"/>
      <c r="O14" s="61"/>
    </row>
    <row r="15" spans="1:25" x14ac:dyDescent="0.3">
      <c r="A15" s="61"/>
      <c r="B15" s="65"/>
      <c r="C15" s="61"/>
      <c r="D15" s="71"/>
      <c r="E15" s="71"/>
      <c r="F15" s="61"/>
      <c r="G15" s="80"/>
      <c r="H15" s="72"/>
      <c r="I15" s="63"/>
      <c r="J15" s="66"/>
      <c r="K15" s="73"/>
      <c r="L15" s="61"/>
      <c r="M15" s="61"/>
      <c r="N15" s="61"/>
      <c r="O15" s="61"/>
    </row>
    <row r="16" spans="1:25" x14ac:dyDescent="0.3">
      <c r="A16" s="61"/>
      <c r="B16" s="61"/>
      <c r="C16" s="74">
        <f>C14+C15</f>
        <v>0</v>
      </c>
      <c r="D16" s="74">
        <f t="shared" ref="D16:J17" si="6">D14+D15</f>
        <v>0</v>
      </c>
      <c r="E16" s="74">
        <f t="shared" si="6"/>
        <v>0</v>
      </c>
      <c r="F16" s="74">
        <f t="shared" si="6"/>
        <v>0</v>
      </c>
      <c r="G16" s="74">
        <f t="shared" si="6"/>
        <v>4.4819999999999993</v>
      </c>
      <c r="H16" s="75">
        <f t="shared" si="6"/>
        <v>0</v>
      </c>
      <c r="I16" s="76">
        <f>I14+I15</f>
        <v>3.8096999999999994</v>
      </c>
      <c r="J16" s="76">
        <f t="shared" si="6"/>
        <v>0</v>
      </c>
      <c r="K16" s="61"/>
      <c r="L16" s="61"/>
      <c r="M16" s="61"/>
      <c r="N16" s="61"/>
      <c r="O16" s="61"/>
    </row>
    <row r="17" spans="1:17" ht="28.8" x14ac:dyDescent="0.3">
      <c r="A17" s="78"/>
      <c r="B17" s="81" t="s">
        <v>52</v>
      </c>
      <c r="C17" s="79">
        <f>C12+C16</f>
        <v>162</v>
      </c>
      <c r="D17" s="79">
        <f t="shared" ref="D17:J17" si="7">D12+D16</f>
        <v>52.67</v>
      </c>
      <c r="E17" s="79">
        <f t="shared" si="7"/>
        <v>12.902999999999999</v>
      </c>
      <c r="F17" s="79">
        <f t="shared" si="7"/>
        <v>8.25</v>
      </c>
      <c r="G17" s="82">
        <f t="shared" si="7"/>
        <v>584.30199999999991</v>
      </c>
      <c r="H17" s="82">
        <f t="shared" si="6"/>
        <v>0</v>
      </c>
      <c r="I17" s="83">
        <f>I12+I16</f>
        <v>512.42469999999992</v>
      </c>
      <c r="J17" s="83">
        <f t="shared" si="7"/>
        <v>18.948799999999999</v>
      </c>
      <c r="K17" s="84"/>
      <c r="L17" s="85">
        <f>L12+I16+J12</f>
        <v>356.81650000000002</v>
      </c>
    </row>
    <row r="20" spans="1:17" x14ac:dyDescent="0.3">
      <c r="L20" s="30">
        <v>356.81650000000002</v>
      </c>
    </row>
    <row r="25" spans="1:17" ht="16.2" x14ac:dyDescent="0.3">
      <c r="Q25" s="49"/>
    </row>
    <row r="47" spans="2:11" ht="15" thickBot="1" x14ac:dyDescent="0.35">
      <c r="K47" s="30" t="s">
        <v>53</v>
      </c>
    </row>
    <row r="48" spans="2:11" ht="16.5" customHeight="1" thickBot="1" x14ac:dyDescent="0.35">
      <c r="B48" s="86" t="s">
        <v>54</v>
      </c>
      <c r="C48" s="86" t="s">
        <v>55</v>
      </c>
      <c r="D48" s="86" t="s">
        <v>24</v>
      </c>
      <c r="E48" s="86" t="s">
        <v>56</v>
      </c>
      <c r="F48" s="86" t="s">
        <v>57</v>
      </c>
      <c r="G48" s="87" t="s">
        <v>58</v>
      </c>
      <c r="H48" s="88"/>
      <c r="I48" s="88"/>
      <c r="J48" s="88"/>
      <c r="K48" s="89"/>
    </row>
    <row r="49" spans="2:12" ht="30.75" customHeight="1" thickBot="1" x14ac:dyDescent="0.35">
      <c r="B49" s="90"/>
      <c r="C49" s="90"/>
      <c r="D49" s="90"/>
      <c r="E49" s="90"/>
      <c r="F49" s="90"/>
      <c r="G49" s="91" t="s">
        <v>59</v>
      </c>
      <c r="H49" s="91" t="s">
        <v>60</v>
      </c>
      <c r="I49" s="91" t="s">
        <v>61</v>
      </c>
      <c r="J49" s="91" t="s">
        <v>62</v>
      </c>
      <c r="K49" s="91" t="s">
        <v>63</v>
      </c>
    </row>
    <row r="50" spans="2:12" ht="16.2" thickBot="1" x14ac:dyDescent="0.35">
      <c r="B50" s="92" t="s">
        <v>64</v>
      </c>
      <c r="C50" s="91" t="s">
        <v>65</v>
      </c>
      <c r="D50" s="91">
        <v>0.30399999999999999</v>
      </c>
      <c r="E50" s="91">
        <v>2.1999999999999999E-2</v>
      </c>
      <c r="F50" s="91">
        <v>7.4</v>
      </c>
      <c r="G50" s="91">
        <v>0.45</v>
      </c>
      <c r="H50" s="91">
        <v>0.15</v>
      </c>
      <c r="I50" s="91">
        <v>0.89</v>
      </c>
      <c r="J50" s="91">
        <v>1.04</v>
      </c>
      <c r="K50" s="91">
        <v>1.49</v>
      </c>
    </row>
    <row r="51" spans="2:12" ht="16.2" thickBot="1" x14ac:dyDescent="0.35">
      <c r="B51" s="93" t="s">
        <v>66</v>
      </c>
      <c r="C51" s="91" t="s">
        <v>67</v>
      </c>
      <c r="D51" s="91">
        <v>1.079</v>
      </c>
      <c r="E51" s="91">
        <v>0.109</v>
      </c>
      <c r="F51" s="91">
        <v>10.1</v>
      </c>
      <c r="G51" s="91">
        <v>1.59</v>
      </c>
      <c r="H51" s="91">
        <v>0.47</v>
      </c>
      <c r="I51" s="91">
        <v>2.63</v>
      </c>
      <c r="J51" s="91">
        <v>3.1</v>
      </c>
      <c r="K51" s="91">
        <v>4.6900000000000004</v>
      </c>
    </row>
    <row r="52" spans="2:12" ht="16.2" thickBot="1" x14ac:dyDescent="0.35">
      <c r="B52" s="93" t="s">
        <v>68</v>
      </c>
      <c r="C52" s="91" t="s">
        <v>69</v>
      </c>
      <c r="D52" s="91">
        <v>2.4809999999999999</v>
      </c>
      <c r="E52" s="91">
        <v>0.28299999999999997</v>
      </c>
      <c r="F52" s="91">
        <v>11.4</v>
      </c>
      <c r="G52" s="91">
        <v>3.65</v>
      </c>
      <c r="H52" s="91">
        <v>0.99</v>
      </c>
      <c r="I52" s="91">
        <v>5.29</v>
      </c>
      <c r="J52" s="91">
        <v>6.28</v>
      </c>
      <c r="K52" s="91">
        <v>9.93</v>
      </c>
    </row>
    <row r="53" spans="2:12" ht="16.2" thickBot="1" x14ac:dyDescent="0.35">
      <c r="B53" s="93" t="s">
        <v>70</v>
      </c>
      <c r="C53" s="91" t="s">
        <v>71</v>
      </c>
      <c r="D53" s="91">
        <v>4.5670000000000002</v>
      </c>
      <c r="E53" s="91">
        <v>0.57099999999999995</v>
      </c>
      <c r="F53" s="91">
        <v>12.5</v>
      </c>
      <c r="G53" s="91">
        <v>6.71</v>
      </c>
      <c r="H53" s="91">
        <v>1.98</v>
      </c>
      <c r="I53" s="91">
        <v>8.7799999999999994</v>
      </c>
      <c r="J53" s="91">
        <v>10.76</v>
      </c>
      <c r="K53" s="91">
        <v>17.47</v>
      </c>
    </row>
    <row r="54" spans="2:12" ht="16.2" thickBot="1" x14ac:dyDescent="0.35">
      <c r="B54" s="93"/>
      <c r="C54" s="91"/>
      <c r="D54" s="91"/>
      <c r="E54" s="91"/>
      <c r="F54" s="91"/>
      <c r="G54" s="91"/>
      <c r="H54" s="91"/>
      <c r="I54" s="91"/>
      <c r="J54" s="91"/>
      <c r="K54" s="91"/>
    </row>
    <row r="55" spans="2:12" ht="16.2" thickBot="1" x14ac:dyDescent="0.35">
      <c r="B55" s="93" t="s">
        <v>72</v>
      </c>
      <c r="C55" s="91" t="s">
        <v>73</v>
      </c>
      <c r="D55" s="91">
        <v>7.51</v>
      </c>
      <c r="E55" s="91">
        <v>0.999</v>
      </c>
      <c r="F55" s="91">
        <v>13.3</v>
      </c>
      <c r="G55" s="91">
        <v>11.04</v>
      </c>
      <c r="H55" s="91">
        <v>2.89</v>
      </c>
      <c r="I55" s="91">
        <v>13.25</v>
      </c>
      <c r="J55" s="91">
        <v>16.14</v>
      </c>
      <c r="K55" s="91">
        <v>21.18</v>
      </c>
    </row>
    <row r="56" spans="2:12" ht="16.2" thickBot="1" x14ac:dyDescent="0.35">
      <c r="B56" s="93" t="s">
        <v>74</v>
      </c>
      <c r="C56" s="91" t="s">
        <v>75</v>
      </c>
      <c r="D56" s="91">
        <v>11.253</v>
      </c>
      <c r="E56" s="91">
        <v>1.587</v>
      </c>
      <c r="F56" s="91">
        <v>14.1</v>
      </c>
      <c r="G56" s="91">
        <v>16.54</v>
      </c>
      <c r="H56" s="91">
        <v>3.7</v>
      </c>
      <c r="I56" s="91">
        <v>18.559999999999999</v>
      </c>
      <c r="J56" s="91">
        <v>22.26</v>
      </c>
      <c r="K56" s="91">
        <v>38.799999999999997</v>
      </c>
    </row>
    <row r="59" spans="2:12" x14ac:dyDescent="0.3"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</row>
    <row r="60" spans="2:12" x14ac:dyDescent="0.3"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</row>
    <row r="61" spans="2:12" x14ac:dyDescent="0.3"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</row>
    <row r="62" spans="2:12" x14ac:dyDescent="0.3"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</row>
    <row r="63" spans="2:12" x14ac:dyDescent="0.3"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</row>
    <row r="64" spans="2:12" x14ac:dyDescent="0.3"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</row>
    <row r="65" spans="2:28" x14ac:dyDescent="0.3"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</row>
    <row r="71" spans="2:28" x14ac:dyDescent="0.3">
      <c r="AA71" s="95"/>
      <c r="AB71" s="95"/>
    </row>
    <row r="72" spans="2:28" x14ac:dyDescent="0.3">
      <c r="AA72" s="95"/>
      <c r="AB72" s="95"/>
    </row>
    <row r="73" spans="2:28" x14ac:dyDescent="0.3">
      <c r="AA73" s="95"/>
      <c r="AB73" s="95"/>
    </row>
    <row r="74" spans="2:28" x14ac:dyDescent="0.3">
      <c r="AA74" s="95"/>
      <c r="AB74" s="95"/>
    </row>
    <row r="75" spans="2:28" x14ac:dyDescent="0.3">
      <c r="AA75" s="95"/>
      <c r="AB75" s="95"/>
    </row>
    <row r="76" spans="2:28" x14ac:dyDescent="0.3">
      <c r="AA76" s="95"/>
      <c r="AB76" s="95"/>
    </row>
    <row r="77" spans="2:28" x14ac:dyDescent="0.3">
      <c r="AA77" s="95"/>
      <c r="AB77" s="95"/>
    </row>
    <row r="78" spans="2:28" x14ac:dyDescent="0.3"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</row>
    <row r="79" spans="2:28" x14ac:dyDescent="0.3"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</row>
    <row r="80" spans="2:28" x14ac:dyDescent="0.3"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</row>
  </sheetData>
  <mergeCells count="8">
    <mergeCell ref="B1:F1"/>
    <mergeCell ref="K1:O1"/>
    <mergeCell ref="B48:B49"/>
    <mergeCell ref="C48:C49"/>
    <mergeCell ref="D48:D49"/>
    <mergeCell ref="E48:E49"/>
    <mergeCell ref="F48:F49"/>
    <mergeCell ref="G48:K4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Расчёт №1</vt:lpstr>
      <vt:lpstr>таблица расчета древесины (2)</vt:lpstr>
      <vt:lpstr>'таблица расчета древесины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2024-01-09T12:00:09Z</cp:lastPrinted>
  <dcterms:created xsi:type="dcterms:W3CDTF">2022-04-27T11:26:22Z</dcterms:created>
  <dcterms:modified xsi:type="dcterms:W3CDTF">2024-09-06T09:12:35Z</dcterms:modified>
</cp:coreProperties>
</file>