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сметы ПИР\"/>
    </mc:Choice>
  </mc:AlternateContent>
  <xr:revisionPtr revIDLastSave="0" documentId="8_{A620171D-94B3-4F2A-A14F-65EB14366061}" xr6:coauthVersionLast="47" xr6:coauthVersionMax="47" xr10:uidLastSave="{00000000-0000-0000-0000-000000000000}"/>
  <bookViews>
    <workbookView xWindow="5655" yWindow="4215" windowWidth="21600" windowHeight="11385" tabRatio="898" xr2:uid="{00000000-000D-0000-FFFF-FFFF00000000}"/>
  </bookViews>
  <sheets>
    <sheet name="Сводная смета" sheetId="1" r:id="rId1"/>
    <sheet name="№1 ИГДИ (2)" sheetId="80" r:id="rId2"/>
    <sheet name="№2 ИГДИ_доп (2)" sheetId="81" r:id="rId3"/>
    <sheet name="№3_ИГИ (2)" sheetId="82" r:id="rId4"/>
    <sheet name="№4 ИГМИ (2)" sheetId="83" r:id="rId5"/>
    <sheet name="№5_ИЭИ" sheetId="86" r:id="rId6"/>
    <sheet name="Разъяснение ГГЭ" sheetId="85" r:id="rId7"/>
    <sheet name="№6_Обс" sheetId="72" r:id="rId8"/>
    <sheet name="№7_Обс ост" sheetId="74" r:id="rId9"/>
    <sheet name="№8_Обс КС" sheetId="75" r:id="rId10"/>
    <sheet name="№1П_Участок_тра" sheetId="29" r:id="rId11"/>
    <sheet name="№2П_Контактная_" sheetId="28" r:id="rId12"/>
    <sheet name="№3П_Электроснаб" sheetId="26" r:id="rId13"/>
    <sheet name="№4П_Наружное_ос" sheetId="27" r:id="rId14"/>
    <sheet name="№5П_Водоотведен" sheetId="22" r:id="rId15"/>
    <sheet name="№6П_Защитные_ме" sheetId="24" r:id="rId16"/>
    <sheet name="№7П_Система_упр" sheetId="25" r:id="rId17"/>
    <sheet name="№8П_Внешние_кан" sheetId="31" r:id="rId18"/>
    <sheet name="№9П_Автоматизац" sheetId="23" r:id="rId19"/>
    <sheet name="№_10П_Остановоч" sheetId="33" r:id="rId20"/>
    <sheet name="№11П_Проектная_ (2)" sheetId="54" r:id="rId21"/>
    <sheet name="№12П_Проектная_ (3)" sheetId="55" r:id="rId22"/>
    <sheet name="№13П_Временное_" sheetId="76" r:id="rId23"/>
    <sheet name="№14П_Демонтаж" sheetId="78" r:id="rId24"/>
    <sheet name="№1Р_Участок_тра " sheetId="56" r:id="rId25"/>
    <sheet name="№2Р_Контактная_ " sheetId="57" r:id="rId26"/>
    <sheet name="№3Р_Электроснаб " sheetId="58" r:id="rId27"/>
    <sheet name="№4Р_Наружное_ос " sheetId="59" r:id="rId28"/>
    <sheet name="№5Р_Водоотведен" sheetId="60" r:id="rId29"/>
    <sheet name="№6Р_Защитные_ме " sheetId="61" r:id="rId30"/>
    <sheet name="№7Р_Система_упр " sheetId="62" r:id="rId31"/>
    <sheet name="№8Р_Внешние_кан " sheetId="63" r:id="rId32"/>
    <sheet name="№9Р_Автоматизац " sheetId="64" r:id="rId33"/>
    <sheet name="№_10Р_Остановоч " sheetId="65" r:id="rId34"/>
    <sheet name="№11Р_Рабочая_до" sheetId="52" r:id="rId35"/>
    <sheet name="№12Р" sheetId="53" r:id="rId36"/>
    <sheet name="№13Р_Временное_" sheetId="77" r:id="rId37"/>
    <sheet name="№14П_Демонтаж (2)" sheetId="87" r:id="rId38"/>
    <sheet name="№2И__Инженерно-" sheetId="43" state="hidden" r:id="rId39"/>
    <sheet name="№4И_Инженерно-э" sheetId="45" state="hidden" r:id="rId40"/>
  </sheets>
  <externalReferences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" localSheetId="5" hidden="1">#REF!</definedName>
    <definedName name="_" localSheetId="6" hidden="1">#REF!</definedName>
    <definedName name="_" hidden="1">#REF!</definedName>
    <definedName name="_\AUTOEXEC" localSheetId="5">#REF!</definedName>
    <definedName name="_\AUTOEXEC" localSheetId="6">#REF!</definedName>
    <definedName name="_\AUTOEXEC">#REF!</definedName>
    <definedName name="_\k" localSheetId="5">#REF!</definedName>
    <definedName name="_\k">#REF!</definedName>
    <definedName name="_\m">#REF!</definedName>
    <definedName name="_\s">#REF!</definedName>
    <definedName name="_\z">#REF!</definedName>
    <definedName name="__\AUTOEXEC">[1]Смета!#REF!</definedName>
    <definedName name="__\k">[1]Смета!#REF!</definedName>
    <definedName name="__\m">[1]Смета!#REF!</definedName>
    <definedName name="__\s">[1]Смета!#REF!</definedName>
    <definedName name="__\z">[1]Смета!#REF!</definedName>
    <definedName name="___\z">[1]Смета!#REF!</definedName>
    <definedName name="____\AUTOEXEC">[1]Смета!#REF!</definedName>
    <definedName name="____\k">[1]Смета!#REF!</definedName>
    <definedName name="____\m">[1]Смета!#REF!</definedName>
    <definedName name="____\s">[1]Смета!#REF!</definedName>
    <definedName name="_______a2">#REF!</definedName>
    <definedName name="______a2">#REF!</definedName>
    <definedName name="_____a2">#REF!</definedName>
    <definedName name="____a2">#REF!</definedName>
    <definedName name="___a2">#REF!</definedName>
    <definedName name="___a63">#REF!</definedName>
    <definedName name="__a2">#REF!</definedName>
    <definedName name="__a63">#REF!</definedName>
    <definedName name="__xlfn.BAHTTEXT" hidden="1">#NAME?</definedName>
    <definedName name="_a2">#REF!</definedName>
    <definedName name="_a63">#REF!</definedName>
    <definedName name="_AUTOEXEC">[1]Смета!#REF!</definedName>
    <definedName name="_k">[1]Смета!#REF!</definedName>
    <definedName name="_m">[1]Смета!#REF!</definedName>
    <definedName name="_s">[1]Смета!#REF!</definedName>
    <definedName name="_z">[1]Смета!#REF!</definedName>
    <definedName name="_xlnm._FilterDatabase" hidden="1">#REF!</definedName>
    <definedName name="a">#REF!</definedName>
    <definedName name="approval">#REF!</definedName>
    <definedName name="approval1">#REF!</definedName>
    <definedName name="asd">#REF!</definedName>
    <definedName name="b">#REF!</definedName>
    <definedName name="basis">#REF!</definedName>
    <definedName name="BE">#REF!</definedName>
    <definedName name="bjbkl">[2]топография!#REF!</definedName>
    <definedName name="BU">#REF!</definedName>
    <definedName name="ccc" localSheetId="5" hidden="1">{#N/A,#N/A,TRUE,"Смета на пасс. обор. №1"}</definedName>
    <definedName name="ccc" localSheetId="6" hidden="1">{#N/A,#N/A,TRUE,"Смета на пасс. обор. №1"}</definedName>
    <definedName name="ccc" hidden="1">{#N/A,#N/A,TRUE,"Смета на пасс. обор. №1"}</definedName>
    <definedName name="CnfName">[3]Лист1!#REF!</definedName>
    <definedName name="CnfName_1">[3]Обновление!#REF!</definedName>
    <definedName name="Code">#REF!</definedName>
    <definedName name="ConfName">[3]Лист1!#REF!</definedName>
    <definedName name="ConfName_1">[3]Обновление!#REF!</definedName>
    <definedName name="currency">#REF!</definedName>
    <definedName name="Database" hidden="1">#REF!</definedName>
    <definedName name="DateColJournal">#REF!</definedName>
    <definedName name="dck">[4]топография!#REF!</definedName>
    <definedName name="ddduy">#REF!</definedName>
    <definedName name="DM">#REF!</definedName>
    <definedName name="EILName">[3]Лист1!#REF!</definedName>
    <definedName name="EILName_1">[3]Обновление!#REF!</definedName>
    <definedName name="ertte">#REF!</definedName>
    <definedName name="Excel_BuiltIn_Database">#REF!</definedName>
    <definedName name="Excel_BuiltIn_Print_Area_1">#REF!</definedName>
    <definedName name="Excel_BuiltIn_Print_Area_1_1">#REF!</definedName>
    <definedName name="Excel_BuiltIn_Print_Area_13">"$#ССЫЛ!.$A$2:$E$8"</definedName>
    <definedName name="Excel_BuiltIn_Print_Area_14_1">"$#ССЫЛ!.$#ССЫЛ!$#ССЫЛ!:$#ССЫЛ!$#ССЫЛ!"</definedName>
    <definedName name="Excel_BuiltIn_Print_Area_2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">#REF!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">#REF!</definedName>
    <definedName name="Excel_BuiltIn_Print_Area_43">"$#ССЫЛ!.$#ССЫЛ!$#ССЫЛ!:$#ССЫЛ!$#ССЫЛ!"</definedName>
    <definedName name="Excel_BuiltIn_Print_Area_5">#REF!</definedName>
    <definedName name="Excel_BuiltIn_Print_Area_7">"$#ССЫЛ!.$A$2:$E$5"</definedName>
    <definedName name="Excel_BuiltIn_Print_Titles_2">#REF!</definedName>
    <definedName name="Excel_BuiltIn_Print_Titles_3">#REF!</definedName>
    <definedName name="Excel_BuiltIn_Print_Titles_4">#REF!</definedName>
    <definedName name="group">#REF!</definedName>
    <definedName name="hg" localSheetId="5" hidden="1">{#N/A,#N/A,FALSE,"Акт-Смета"}</definedName>
    <definedName name="hg" localSheetId="6" hidden="1">{#N/A,#N/A,FALSE,"Акт-Смета"}</definedName>
    <definedName name="hg" hidden="1">{#N/A,#N/A,FALSE,"Акт-Смета"}</definedName>
    <definedName name="hPriceRange">[3]Лист1!#REF!</definedName>
    <definedName name="hPriceRange_1">[3]Цена!#REF!</definedName>
    <definedName name="idPriceColumn">[3]Лист1!#REF!</definedName>
    <definedName name="idPriceColumn_1">[3]Цена!#REF!</definedName>
    <definedName name="in">#REF!</definedName>
    <definedName name="Itog">#REF!</definedName>
    <definedName name="month">#REF!</definedName>
    <definedName name="Name">#REF!</definedName>
    <definedName name="njgj">#REF!</definedName>
    <definedName name="NumColJournal">#REF!</definedName>
    <definedName name="№3">#REF!</definedName>
    <definedName name="№4">#REF!</definedName>
    <definedName name="OELName">[3]Лист1!#REF!</definedName>
    <definedName name="OELName_1">[3]Обновление!#REF!</definedName>
    <definedName name="OFS">#REF!</definedName>
    <definedName name="OPLName">[3]Лист1!#REF!</definedName>
    <definedName name="OPLName_1">[3]Обновление!#REF!</definedName>
    <definedName name="p">[3]Лист1!#REF!</definedName>
    <definedName name="p_1">[3]Product!#REF!</definedName>
    <definedName name="PriceRange">[3]Лист1!#REF!</definedName>
    <definedName name="PriceRange_1">[3]Цена!#REF!</definedName>
    <definedName name="PU">#REF!</definedName>
    <definedName name="reason">#REF!</definedName>
    <definedName name="rtet">#REF!</definedName>
    <definedName name="sector">#REF!</definedName>
    <definedName name="SM">#REF!</definedName>
    <definedName name="SM_SM">#REF!</definedName>
    <definedName name="SM_STO">#REF!</definedName>
    <definedName name="SM_STO_1">[5]Проект!#REF!</definedName>
    <definedName name="SM_STO1">#REF!</definedName>
    <definedName name="SM_STO2">#REF!</definedName>
    <definedName name="SM_STO3">#REF!</definedName>
    <definedName name="Smmmmmmmmmmmmmmm">#REF!</definedName>
    <definedName name="ST">#REF!</definedName>
    <definedName name="sub">#REF!</definedName>
    <definedName name="subject">#REF!</definedName>
    <definedName name="SUM_">#REF!</definedName>
    <definedName name="SUM__1">#REF!</definedName>
    <definedName name="SUM_1">#REF!</definedName>
    <definedName name="sum_2">#REF!</definedName>
    <definedName name="SUM_3">#REF!</definedName>
    <definedName name="sum_4">#REF!</definedName>
    <definedName name="SV">#REF!</definedName>
    <definedName name="SV_STO">#REF!</definedName>
    <definedName name="Times">#REF!</definedName>
    <definedName name="trete">#REF!</definedName>
    <definedName name="type">#REF!</definedName>
    <definedName name="USA">[6]Шкаф!#REF!</definedName>
    <definedName name="USA_1">#REF!</definedName>
    <definedName name="week">#REF!</definedName>
    <definedName name="wrn.o9." localSheetId="5" hidden="1">{#N/A,#N/A,FALSE,"Акт-Смета"}</definedName>
    <definedName name="wrn.o9." localSheetId="6" hidden="1">{#N/A,#N/A,FALSE,"Акт-Смета"}</definedName>
    <definedName name="wrn.o9." hidden="1">{#N/A,#N/A,FALSE,"Акт-Смета"}</definedName>
    <definedName name="wrn.sp2344." localSheetId="5" hidden="1">{#N/A,#N/A,TRUE,"Смета на пасс. обор. №1"}</definedName>
    <definedName name="wrn.sp2344." localSheetId="6" hidden="1">{#N/A,#N/A,TRUE,"Смета на пасс. обор. №1"}</definedName>
    <definedName name="wrn.sp2344." hidden="1">{#N/A,#N/A,TRUE,"Смета на пасс. обор. №1"}</definedName>
    <definedName name="wrn.sp2345" localSheetId="5" hidden="1">{#N/A,#N/A,TRUE,"Смета на пасс. обор. №1"}</definedName>
    <definedName name="wrn.sp2345" localSheetId="6" hidden="1">{#N/A,#N/A,TRUE,"Смета на пасс. обор. №1"}</definedName>
    <definedName name="wrn.sp2345" hidden="1">{#N/A,#N/A,TRUE,"Смета на пасс. обор. №1"}</definedName>
    <definedName name="wrn.о1." localSheetId="5" hidden="1">{#N/A,#N/A,FALSE,"Акт-Смета"}</definedName>
    <definedName name="wrn.о1." localSheetId="6" hidden="1">{#N/A,#N/A,FALSE,"Акт-Смета"}</definedName>
    <definedName name="wrn.о1." hidden="1">{#N/A,#N/A,FALSE,"Акт-Смета"}</definedName>
    <definedName name="Yes">#REF!</definedName>
    <definedName name="yn">#REF!</definedName>
    <definedName name="ZAK1">#REF!</definedName>
    <definedName name="ZAK2">#REF!</definedName>
    <definedName name="zzzz">#REF!</definedName>
    <definedName name="а">#REF!</definedName>
    <definedName name="А2">#REF!</definedName>
    <definedName name="а36">#REF!</definedName>
    <definedName name="а36_4">#REF!</definedName>
    <definedName name="аа">#REF!</definedName>
    <definedName name="ав">#N/A</definedName>
    <definedName name="авав">#REF!</definedName>
    <definedName name="авс">#REF!</definedName>
    <definedName name="акапарк">#REF!</definedName>
    <definedName name="ап" localSheetId="5">{#N/A,#N/A,TRUE,"Смета на пасс. обор. №1"}</definedName>
    <definedName name="ап" localSheetId="6">{#N/A,#N/A,TRUE,"Смета на пасс. обор. №1"}</definedName>
    <definedName name="ап">{#N/A,#N/A,TRUE,"Смета на пасс. обор. №1"}</definedName>
    <definedName name="ап1" localSheetId="5" hidden="1">{#N/A,#N/A,TRUE,"Смета на пасс. обор. №1"}</definedName>
    <definedName name="ап1" localSheetId="6" hidden="1">{#N/A,#N/A,TRUE,"Смета на пасс. обор. №1"}</definedName>
    <definedName name="ап1" hidden="1">{#N/A,#N/A,TRUE,"Смета на пасс. обор. №1"}</definedName>
    <definedName name="апр">[7]топография!#REF!</definedName>
    <definedName name="аравир">#REF!</definedName>
    <definedName name="АФС">[2]топография!#REF!</definedName>
    <definedName name="БАК">#REF!</definedName>
    <definedName name="бол" localSheetId="5" hidden="1">{#N/A,#N/A,TRUE,"Смета на пасс. обор. №1"}</definedName>
    <definedName name="бол" localSheetId="6" hidden="1">{#N/A,#N/A,TRUE,"Смета на пасс. обор. №1"}</definedName>
    <definedName name="бол" hidden="1">{#N/A,#N/A,TRUE,"Смета на пасс. обор. №1"}</definedName>
    <definedName name="ва">#N/A</definedName>
    <definedName name="Валюта">#REF!</definedName>
    <definedName name="вап">#REF!</definedName>
    <definedName name="Вахты" localSheetId="5" hidden="1">{#N/A,#N/A,FALSE,"Акт-Смета"}</definedName>
    <definedName name="Вахты" localSheetId="6" hidden="1">{#N/A,#N/A,FALSE,"Акт-Смета"}</definedName>
    <definedName name="Вахты" hidden="1">{#N/A,#N/A,FALSE,"Акт-Смета"}</definedName>
    <definedName name="ввв">#REF!</definedName>
    <definedName name="вика">#REF!</definedName>
    <definedName name="ВНИИСТ1">#REF!</definedName>
    <definedName name="вольюм">#REF!</definedName>
    <definedName name="вольюм_10">#REF!</definedName>
    <definedName name="вольюм_11">NA()</definedName>
    <definedName name="вольюм_12">NA()</definedName>
    <definedName name="вольюм_13">#REF!</definedName>
    <definedName name="вольюм_14">#REF!</definedName>
    <definedName name="вольюм_15">#REF!</definedName>
    <definedName name="вольюм_16">#REF!</definedName>
    <definedName name="вольюм_2">#REF!</definedName>
    <definedName name="вольюм_3">#REF!</definedName>
    <definedName name="вольюм_4">#REF!</definedName>
    <definedName name="вольюм_5">#REF!</definedName>
    <definedName name="вольюм_6">#REF!</definedName>
    <definedName name="вольюм_7">#REF!</definedName>
    <definedName name="вольюм_8">#REF!</definedName>
    <definedName name="вольюм_9">#REF!</definedName>
    <definedName name="вравар">#REF!</definedName>
    <definedName name="вравар_4">#REF!</definedName>
    <definedName name="ВТ">#REF!</definedName>
    <definedName name="Вычислительная_техника">[6]Коэфф1.!#REF!</definedName>
    <definedName name="Вычислительная_техника_1">#REF!</definedName>
    <definedName name="ггггггггггггггггггггггггггггггггггггггггггггггг">[8]топография!#REF!</definedName>
    <definedName name="гелог">#REF!</definedName>
    <definedName name="гео">#REF!</definedName>
    <definedName name="геол.1">#REF!</definedName>
    <definedName name="Геол_Лазаревск">[9]топография!#REF!</definedName>
    <definedName name="геол1">#REF!</definedName>
    <definedName name="геоф">#REF!</definedName>
    <definedName name="Геофиз">#REF!</definedName>
    <definedName name="геофизика">#REF!</definedName>
    <definedName name="Гидро">[10]топография!#REF!</definedName>
    <definedName name="гидро1">#REF!</definedName>
    <definedName name="гидро1_4">#REF!</definedName>
    <definedName name="гидрол">#REF!</definedName>
    <definedName name="Гидролог">#REF!</definedName>
    <definedName name="Гидрология_7.03.08">[11]топография!#REF!</definedName>
    <definedName name="ГИП">#REF!</definedName>
    <definedName name="группа">#REF!</definedName>
    <definedName name="гшшг">NA()</definedName>
    <definedName name="дд">[12]Смета!#REF!</definedName>
    <definedName name="ддддд">#REF!</definedName>
    <definedName name="Дефлятор">#REF!</definedName>
    <definedName name="джэ" localSheetId="5" hidden="1">{#N/A,#N/A,TRUE,"Смета на пасс. обор. №1"}</definedName>
    <definedName name="джэ" localSheetId="6" hidden="1">{#N/A,#N/A,TRUE,"Смета на пасс. обор. №1"}</definedName>
    <definedName name="джэ" hidden="1">{#N/A,#N/A,TRUE,"Смета на пасс. обор. №1"}</definedName>
    <definedName name="Диск">#REF!</definedName>
    <definedName name="ДК">#REF!</definedName>
    <definedName name="Длинна_границы">#REF!</definedName>
    <definedName name="Длинна_трассы">#REF!</definedName>
    <definedName name="должность">#REF!</definedName>
    <definedName name="доп" localSheetId="5" hidden="1">{#N/A,#N/A,TRUE,"Смета на пасс. обор. №1"}</definedName>
    <definedName name="доп" localSheetId="6" hidden="1">{#N/A,#N/A,TRUE,"Смета на пасс. обор. №1"}</definedName>
    <definedName name="доп" hidden="1">{#N/A,#N/A,TRUE,"Смета на пасс. обор. №1"}</definedName>
    <definedName name="Доп._оборудование">[6]Коэфф1.!#REF!</definedName>
    <definedName name="Доп._оборудование_1">#REF!</definedName>
    <definedName name="Доп_оборуд">#REF!</definedName>
    <definedName name="Дорога">[6]Шкаф!#REF!</definedName>
    <definedName name="Дорога_1">#REF!</definedName>
    <definedName name="дрянь" hidden="1">#REF!</definedName>
    <definedName name="ДСК">[13]топография!#REF!</definedName>
    <definedName name="ДСК1">[11]топография!#REF!</definedName>
    <definedName name="жжж">#REF!</definedName>
    <definedName name="жпф">#REF!</definedName>
    <definedName name="жю" localSheetId="5" hidden="1">{#N/A,#N/A,TRUE,"Смета на пасс. обор. №1"}</definedName>
    <definedName name="жю" localSheetId="6" hidden="1">{#N/A,#N/A,TRUE,"Смета на пасс. обор. №1"}</definedName>
    <definedName name="жю" hidden="1">{#N/A,#N/A,TRUE,"Смета на пасс. обор. №1"}</definedName>
    <definedName name="_xlnm.Print_Titles" localSheetId="19">№_10П_Остановоч!#REF!</definedName>
    <definedName name="_xlnm.Print_Titles" localSheetId="33">'№_10Р_Остановоч '!#REF!</definedName>
    <definedName name="_xlnm.Print_Titles" localSheetId="20">'№11П_Проектная_ (2)'!$15:$15</definedName>
    <definedName name="_xlnm.Print_Titles" localSheetId="34">№11Р_Рабочая_до!$15:$15</definedName>
    <definedName name="_xlnm.Print_Titles" localSheetId="21">'№12П_Проектная_ (3)'!$15:$15</definedName>
    <definedName name="_xlnm.Print_Titles" localSheetId="35">№12Р!$15:$15</definedName>
    <definedName name="_xlnm.Print_Titles" localSheetId="22">№13П_Временное_!#REF!</definedName>
    <definedName name="_xlnm.Print_Titles" localSheetId="36">№13Р_Временное_!#REF!</definedName>
    <definedName name="_xlnm.Print_Titles" localSheetId="23">№14П_Демонтаж!#REF!</definedName>
    <definedName name="_xlnm.Print_Titles" localSheetId="37">'№14П_Демонтаж (2)'!#REF!</definedName>
    <definedName name="_xlnm.Print_Titles" localSheetId="10">№1П_Участок_тра!#REF!</definedName>
    <definedName name="_xlnm.Print_Titles" localSheetId="24">'№1Р_Участок_тра '!#REF!</definedName>
    <definedName name="_xlnm.Print_Titles" localSheetId="38">'№2И__Инженерно-'!$17:$17</definedName>
    <definedName name="_xlnm.Print_Titles" localSheetId="11">№2П_Контактная_!#REF!</definedName>
    <definedName name="_xlnm.Print_Titles" localSheetId="25">'№2Р_Контактная_ '!#REF!</definedName>
    <definedName name="_xlnm.Print_Titles" localSheetId="3">'№3_ИГИ (2)'!$15:$15</definedName>
    <definedName name="_xlnm.Print_Titles" localSheetId="12">№3П_Электроснаб!#REF!</definedName>
    <definedName name="_xlnm.Print_Titles" localSheetId="26">'№3Р_Электроснаб '!#REF!</definedName>
    <definedName name="_xlnm.Print_Titles" localSheetId="4">'№4 ИГМИ (2)'!$16:$16</definedName>
    <definedName name="_xlnm.Print_Titles" localSheetId="39">'№4И_Инженерно-э'!$19:$19</definedName>
    <definedName name="_xlnm.Print_Titles" localSheetId="13">№4П_Наружное_ос!#REF!</definedName>
    <definedName name="_xlnm.Print_Titles" localSheetId="27">'№4Р_Наружное_ос '!#REF!</definedName>
    <definedName name="_xlnm.Print_Titles" localSheetId="14">№5П_Водоотведен!#REF!</definedName>
    <definedName name="_xlnm.Print_Titles" localSheetId="28">№5Р_Водоотведен!#REF!</definedName>
    <definedName name="_xlnm.Print_Titles" localSheetId="7">№6_Обс!$19:$19</definedName>
    <definedName name="_xlnm.Print_Titles" localSheetId="15">№6П_Защитные_ме!#REF!</definedName>
    <definedName name="_xlnm.Print_Titles" localSheetId="29">'№6Р_Защитные_ме '!#REF!</definedName>
    <definedName name="_xlnm.Print_Titles" localSheetId="8">'№7_Обс ост'!#REF!</definedName>
    <definedName name="_xlnm.Print_Titles" localSheetId="16">№7П_Система_упр!#REF!</definedName>
    <definedName name="_xlnm.Print_Titles" localSheetId="30">'№7Р_Система_упр '!#REF!</definedName>
    <definedName name="_xlnm.Print_Titles" localSheetId="9">'№8_Обс КС'!#REF!</definedName>
    <definedName name="_xlnm.Print_Titles" localSheetId="17">№8П_Внешние_кан!#REF!</definedName>
    <definedName name="_xlnm.Print_Titles" localSheetId="31">'№8Р_Внешние_кан '!#REF!</definedName>
    <definedName name="_xlnm.Print_Titles" localSheetId="18">№9П_Автоматизац!#REF!</definedName>
    <definedName name="_xlnm.Print_Titles" localSheetId="32">'№9Р_Автоматизац '!#REF!</definedName>
    <definedName name="Заказчик" localSheetId="5">#REF!</definedName>
    <definedName name="Заказчик">#REF!</definedName>
    <definedName name="ЗИП_Всего">'[6]Прайс лист'!#REF!</definedName>
    <definedName name="ЗИП_Всего_1" localSheetId="5">#REF!</definedName>
    <definedName name="ЗИП_Всего_1">#REF!</definedName>
    <definedName name="зщ" localSheetId="5" hidden="1">{#N/A,#N/A,TRUE,"Смета на пасс. обор. №1"}</definedName>
    <definedName name="зщ" localSheetId="6" hidden="1">{#N/A,#N/A,TRUE,"Смета на пасс. обор. №1"}</definedName>
    <definedName name="зщ" hidden="1">{#N/A,#N/A,TRUE,"Смета на пасс. обор. №1"}</definedName>
    <definedName name="И3_1">#REF!</definedName>
    <definedName name="И3_10">#REF!</definedName>
    <definedName name="И3_14">#REF!</definedName>
    <definedName name="И3_15">#REF!</definedName>
    <definedName name="И3_16">#REF!</definedName>
    <definedName name="И3_2">#REF!</definedName>
    <definedName name="И3_3">#REF!</definedName>
    <definedName name="И3_4">#REF!</definedName>
    <definedName name="И3_5">#REF!</definedName>
    <definedName name="И3_6">#REF!</definedName>
    <definedName name="И3_7">#REF!</definedName>
    <definedName name="И3_8">#REF!</definedName>
    <definedName name="И3_9">#REF!</definedName>
    <definedName name="ик">#REF!</definedName>
    <definedName name="ИПусто">#REF!</definedName>
    <definedName name="ить">#REF!</definedName>
    <definedName name="й">#REF!</definedName>
    <definedName name="йцйу3йк">#REF!</definedName>
    <definedName name="йцйц">NA()</definedName>
    <definedName name="йцу">#REF!</definedName>
    <definedName name="к">[14]Смета!#REF!</definedName>
    <definedName name="К1" localSheetId="5">#REF!</definedName>
    <definedName name="К1">#REF!</definedName>
    <definedName name="К2" localSheetId="5">#REF!</definedName>
    <definedName name="К2">#REF!</definedName>
    <definedName name="К3" localSheetId="5">#REF!</definedName>
    <definedName name="К3">#REF!</definedName>
    <definedName name="Кабели" localSheetId="5">[6]Коэфф1.!#REF!</definedName>
    <definedName name="Кабели">[6]Коэфф1.!#REF!</definedName>
    <definedName name="Кабели_1" localSheetId="5">#REF!</definedName>
    <definedName name="Кабели_1">#REF!</definedName>
    <definedName name="кака">#REF!</definedName>
    <definedName name="кака_4">#REF!</definedName>
    <definedName name="калплан">#REF!</definedName>
    <definedName name="КАТ1">'[15]Смета-Т'!#REF!</definedName>
    <definedName name="Категория_сложности" localSheetId="5">#REF!</definedName>
    <definedName name="Категория_сложности">#REF!</definedName>
    <definedName name="каувкп" localSheetId="5">#REF!</definedName>
    <definedName name="каувкп">#REF!</definedName>
    <definedName name="кгкг" localSheetId="5">#REF!</definedName>
    <definedName name="кгкг">#REF!</definedName>
    <definedName name="кеке">#REF!</definedName>
    <definedName name="кеке_4">#REF!</definedName>
    <definedName name="кенроолтьб">#REF!</definedName>
    <definedName name="КИП">#REF!</definedName>
    <definedName name="КИПиавтом">#REF!</definedName>
    <definedName name="ккк">#REF!</definedName>
    <definedName name="ккк_4">#REF!</definedName>
    <definedName name="книга">#REF!</definedName>
    <definedName name="Количество_землепользователей">#REF!</definedName>
    <definedName name="Количество_контуров">#REF!</definedName>
    <definedName name="Количество_культур">#REF!</definedName>
    <definedName name="Количество_планшетов">#REF!</definedName>
    <definedName name="Количество_предприятий">#REF!</definedName>
    <definedName name="Количество_согласований">#REF!</definedName>
    <definedName name="ком">[16]топография!#REF!</definedName>
    <definedName name="ком_4">[17]топография!#REF!</definedName>
    <definedName name="ком2" localSheetId="5">#REF!</definedName>
    <definedName name="ком2">#REF!</definedName>
    <definedName name="команд." localSheetId="5">{#N/A,#N/A,TRUE,"Смета на пасс. обор. №1"}</definedName>
    <definedName name="команд." localSheetId="6">{#N/A,#N/A,TRUE,"Смета на пасс. обор. №1"}</definedName>
    <definedName name="команд.">{#N/A,#N/A,TRUE,"Смета на пасс. обор. №1"}</definedName>
    <definedName name="команд.обуч." localSheetId="5" hidden="1">{#N/A,#N/A,TRUE,"Смета на пасс. обор. №1"}</definedName>
    <definedName name="команд.обуч." localSheetId="6" hidden="1">{#N/A,#N/A,TRUE,"Смета на пасс. обор. №1"}</definedName>
    <definedName name="команд.обуч." hidden="1">{#N/A,#N/A,TRUE,"Смета на пасс. обор. №1"}</definedName>
    <definedName name="Командировочные_расходы">#REF!</definedName>
    <definedName name="Компетенция">#REF!</definedName>
    <definedName name="Контроллер">[6]Коэфф1.!#REF!</definedName>
    <definedName name="Контроллер_1">#REF!</definedName>
    <definedName name="Корнеева">#REF!</definedName>
    <definedName name="Коэф_понижения">'[18]Общая часть'!$C$13</definedName>
    <definedName name="коэф_поправочн_госстрой" localSheetId="5">#REF!</definedName>
    <definedName name="коэф_поправочн_госстрой">#REF!</definedName>
    <definedName name="коэф_поправочн_госстрой_10" localSheetId="5">#REF!</definedName>
    <definedName name="коэф_поправочн_госстрой_10">#REF!</definedName>
    <definedName name="коэф_поправочн_госстрой_11">NA()</definedName>
    <definedName name="коэф_поправочн_госстрой_12" localSheetId="5">#REF!</definedName>
    <definedName name="коэф_поправочн_госстрой_12">#REF!</definedName>
    <definedName name="коэф_поправочн_госстрой_13">NA()</definedName>
    <definedName name="коэф_поправочн_госстрой_14">#REF!</definedName>
    <definedName name="коэф_поправочн_госстрой_15">#REF!</definedName>
    <definedName name="коэф_поправочн_госстрой_16">#REF!</definedName>
    <definedName name="коэф_поправочн_госстрой_17">#REF!</definedName>
    <definedName name="коэф_поправочн_госстрой_18">#REF!</definedName>
    <definedName name="коэф_поправочн_госстрой_2">#REF!</definedName>
    <definedName name="коэф_поправочн_госстрой_3">#REF!</definedName>
    <definedName name="коэф_поправочн_госстрой_4">#REF!</definedName>
    <definedName name="коэф_поправочн_госстрой_5">#REF!</definedName>
    <definedName name="коэф_поправочн_госстрой_6">#REF!</definedName>
    <definedName name="коэф_поправочн_госстрой_7">#REF!</definedName>
    <definedName name="коэф_поправочн_госстрой_8">#REF!</definedName>
    <definedName name="коэф_поправочн_госстрой_9">#REF!</definedName>
    <definedName name="коэф_пправочные">#REF!</definedName>
    <definedName name="Коэффициент">#REF!</definedName>
    <definedName name="КП23" hidden="1">#REF!</definedName>
    <definedName name="Крмпетенция">#REF!</definedName>
    <definedName name="куеау">#REF!</definedName>
    <definedName name="куку">#REF!</definedName>
    <definedName name="Курс">[6]Коэфф1.!$E$23</definedName>
    <definedName name="Курс_1">#REF!</definedName>
    <definedName name="Курс_доллара">'[19]Курс доллара'!$A$2</definedName>
    <definedName name="Курс_доллара_США" localSheetId="5">#REF!</definedName>
    <definedName name="Курс_доллара_США">#REF!</definedName>
    <definedName name="лд">[20]топография!#REF!</definedName>
    <definedName name="лдж" localSheetId="5" hidden="1">{#N/A,#N/A,TRUE,"Смета на пасс. обор. №1"}</definedName>
    <definedName name="лдж" localSheetId="6" hidden="1">{#N/A,#N/A,TRUE,"Смета на пасс. обор. №1"}</definedName>
    <definedName name="лдж" hidden="1">{#N/A,#N/A,TRUE,"Смета на пасс. обор. №1"}</definedName>
    <definedName name="лл">#REF!</definedName>
    <definedName name="ллдж">#REF!</definedName>
    <definedName name="ло">#REF!</definedName>
    <definedName name="лол">#REF!</definedName>
    <definedName name="лор" localSheetId="5" hidden="1">{#N/A,#N/A,TRUE,"Смета на пасс. обор. №1"}</definedName>
    <definedName name="лор" localSheetId="6" hidden="1">{#N/A,#N/A,TRUE,"Смета на пасс. обор. №1"}</definedName>
    <definedName name="лор" hidden="1">{#N/A,#N/A,TRUE,"Смета на пасс. обор. №1"}</definedName>
    <definedName name="лот" localSheetId="5" hidden="1">{#N/A,#N/A,TRUE,"Смета на пасс. обор. №1"}</definedName>
    <definedName name="лот" localSheetId="6" hidden="1">{#N/A,#N/A,TRUE,"Смета на пасс. обор. №1"}</definedName>
    <definedName name="лот" hidden="1">{#N/A,#N/A,TRUE,"Смета на пасс. обор. №1"}</definedName>
    <definedName name="ЛФО">#REF!</definedName>
    <definedName name="мир" localSheetId="5" hidden="1">{#N/A,#N/A,TRUE,"Смета на пасс. обор. №1"}</definedName>
    <definedName name="мир" localSheetId="6" hidden="1">{#N/A,#N/A,TRUE,"Смета на пасс. обор. №1"}</definedName>
    <definedName name="мир" hidden="1">{#N/A,#N/A,TRUE,"Смета на пасс. обор. №1"}</definedName>
    <definedName name="мит">#REF!</definedName>
    <definedName name="МММММММММ">#REF!</definedName>
    <definedName name="Монтаж">#REF!</definedName>
    <definedName name="Название_проекта">#REF!</definedName>
    <definedName name="НДС">#REF!</definedName>
    <definedName name="Номер_договора">#REF!</definedName>
    <definedName name="о">#REF!</definedName>
    <definedName name="_xlnm.Print_Area" localSheetId="19">№_10П_Остановоч!$A$1:$I$51</definedName>
    <definedName name="_xlnm.Print_Area" localSheetId="33">'№_10Р_Остановоч '!$A$1:$I$51</definedName>
    <definedName name="_xlnm.Print_Area" localSheetId="1">'№1 ИГДИ (2)'!$A$1:$G$75</definedName>
    <definedName name="_xlnm.Print_Area" localSheetId="34">№11Р_Рабочая_до!$A$1:$I$23</definedName>
    <definedName name="_xlnm.Print_Area" localSheetId="35">№12Р!$A$1:$I$23</definedName>
    <definedName name="_xlnm.Print_Area" localSheetId="22">№13П_Временное_!$A$1:$I$30</definedName>
    <definedName name="_xlnm.Print_Area" localSheetId="36">№13Р_Временное_!$A$1:$I$29</definedName>
    <definedName name="_xlnm.Print_Area" localSheetId="23">№14П_Демонтаж!$A$1:$I$68</definedName>
    <definedName name="_xlnm.Print_Area" localSheetId="37">'№14П_Демонтаж (2)'!$A$1:$I$67</definedName>
    <definedName name="_xlnm.Print_Area" localSheetId="10">№1П_Участок_тра!$A$1:$I$80</definedName>
    <definedName name="_xlnm.Print_Area" localSheetId="24">'№1Р_Участок_тра '!$A$1:$I$80</definedName>
    <definedName name="_xlnm.Print_Area" localSheetId="2">'№2 ИГДИ_доп (2)'!$A$1:$G$56</definedName>
    <definedName name="_xlnm.Print_Area" localSheetId="11">№2П_Контактная_!$A$1:$I$59</definedName>
    <definedName name="_xlnm.Print_Area" localSheetId="25">'№2Р_Контактная_ '!$A$1:$I$94</definedName>
    <definedName name="_xlnm.Print_Area" localSheetId="12">№3П_Электроснаб!$A$1:$I$47</definedName>
    <definedName name="_xlnm.Print_Area" localSheetId="26">'№3Р_Электроснаб '!$A$1:$I$31</definedName>
    <definedName name="_xlnm.Print_Area" localSheetId="4">'№4 ИГМИ (2)'!$A$1:$G$45</definedName>
    <definedName name="_xlnm.Print_Area" localSheetId="13">№4П_Наружное_ос!$A$1:$I$72</definedName>
    <definedName name="_xlnm.Print_Area" localSheetId="27">'№4Р_Наружное_ос '!$A$1:$I$73</definedName>
    <definedName name="_xlnm.Print_Area" localSheetId="5">№5_ИЭИ!$A$1:$G$107</definedName>
    <definedName name="_xlnm.Print_Area" localSheetId="14">№5П_Водоотведен!$A$1:$I$47</definedName>
    <definedName name="_xlnm.Print_Area" localSheetId="28">№5Р_Водоотведен!$A$1:$I$47</definedName>
    <definedName name="_xlnm.Print_Area" localSheetId="7">№6_Обс!$A$1:$G$50</definedName>
    <definedName name="_xlnm.Print_Area" localSheetId="15">№6П_Защитные_ме!$A$1:$I$85</definedName>
    <definedName name="_xlnm.Print_Area" localSheetId="29">'№6Р_Защитные_ме '!$A$1:$I$85</definedName>
    <definedName name="_xlnm.Print_Area" localSheetId="8">'№7_Обс ост'!$A$1:$I$25</definedName>
    <definedName name="_xlnm.Print_Area" localSheetId="16">№7П_Система_упр!$A$1:$I$44</definedName>
    <definedName name="_xlnm.Print_Area" localSheetId="30">'№7Р_Система_упр '!$A$1:$I$45</definedName>
    <definedName name="_xlnm.Print_Area" localSheetId="9">'№8_Обс КС'!$A$1:$I$23</definedName>
    <definedName name="_xlnm.Print_Area" localSheetId="17">№8П_Внешние_кан!$A$1:$I$67</definedName>
    <definedName name="_xlnm.Print_Area" localSheetId="31">'№8Р_Внешние_кан '!$A$1:$I$71</definedName>
    <definedName name="_xlnm.Print_Area" localSheetId="18">№9П_Автоматизац!$A$1:$I$30</definedName>
    <definedName name="_xlnm.Print_Area" localSheetId="32">'№9Р_Автоматизац '!$A$1:$I$33</definedName>
    <definedName name="_xlnm.Print_Area" localSheetId="0">'Сводная смета'!$A$1:$E$68</definedName>
    <definedName name="Область_печати_ИМ_1" localSheetId="5">#REF!</definedName>
    <definedName name="Область_печати_ИМ_1">#REF!</definedName>
    <definedName name="обуч" localSheetId="5" hidden="1">{#N/A,#N/A,TRUE,"Смета на пасс. обор. №1"}</definedName>
    <definedName name="обуч" localSheetId="6" hidden="1">{#N/A,#N/A,TRUE,"Смета на пасс. обор. №1"}</definedName>
    <definedName name="обуч" hidden="1">{#N/A,#N/A,TRUE,"Смета на пасс. обор. №1"}</definedName>
    <definedName name="объем">#N/A</definedName>
    <definedName name="объем___0">#REF!</definedName>
    <definedName name="объем___0___0">#REF!</definedName>
    <definedName name="объем___0___0___0">#REF!</definedName>
    <definedName name="объем___0___0___0___0">#REF!</definedName>
    <definedName name="объем___0___0___0___0_3">#REF!</definedName>
    <definedName name="объем___0___0___0_3">#REF!</definedName>
    <definedName name="объем___0___0___2">#REF!</definedName>
    <definedName name="объем___0___0___3">#REF!</definedName>
    <definedName name="объем___0___0___3_3">#REF!</definedName>
    <definedName name="объем___0___0___4">#REF!</definedName>
    <definedName name="объем___0___0___4_3">#REF!</definedName>
    <definedName name="объем___0___0_3">#REF!</definedName>
    <definedName name="объем___0___0_5">#REF!</definedName>
    <definedName name="объем___0___1">#REF!</definedName>
    <definedName name="объем___0___10">#REF!</definedName>
    <definedName name="объем___0___12">#REF!</definedName>
    <definedName name="объем___0___2">#REF!</definedName>
    <definedName name="объем___0___2___0">#REF!</definedName>
    <definedName name="объем___0___2_3">#REF!</definedName>
    <definedName name="объем___0___2_5">#REF!</definedName>
    <definedName name="объем___0___3">#REF!</definedName>
    <definedName name="объем___0___3_3">#REF!</definedName>
    <definedName name="объем___0___4">#REF!</definedName>
    <definedName name="объем___0___4_3">#REF!</definedName>
    <definedName name="объем___0___4_5">#REF!</definedName>
    <definedName name="объем___0___5">#REF!</definedName>
    <definedName name="объем___0___6">#REF!</definedName>
    <definedName name="объем___0___8">#REF!</definedName>
    <definedName name="объем___0_1">#REF!</definedName>
    <definedName name="объем___0_3">#REF!</definedName>
    <definedName name="объем___0_4">#REF!</definedName>
    <definedName name="объем___0_5">#REF!</definedName>
    <definedName name="объем___1">#REF!</definedName>
    <definedName name="объем___1___0">#REF!</definedName>
    <definedName name="объем___1_3">#REF!</definedName>
    <definedName name="объем___1_5">#REF!</definedName>
    <definedName name="объем___10">#REF!</definedName>
    <definedName name="объем___10___0">NA()</definedName>
    <definedName name="объем___10___0___0">#REF!</definedName>
    <definedName name="объем___10___0_3">NA()</definedName>
    <definedName name="объем___10___0_5">NA()</definedName>
    <definedName name="объем___10___1">#REF!</definedName>
    <definedName name="объем___10___10">#REF!</definedName>
    <definedName name="объем___10___12">#REF!</definedName>
    <definedName name="объем___10___2">NA()</definedName>
    <definedName name="объем___10___4">NA()</definedName>
    <definedName name="объем___10___6">NA()</definedName>
    <definedName name="объем___10___8">NA()</definedName>
    <definedName name="объем___10_1">#REF!</definedName>
    <definedName name="объем___10_3">#REF!</definedName>
    <definedName name="объем___10_4">#REF!</definedName>
    <definedName name="объем___10_5">#REF!</definedName>
    <definedName name="объем___11">#REF!</definedName>
    <definedName name="объем___11___0">NA()</definedName>
    <definedName name="объем___11___10">#REF!</definedName>
    <definedName name="объем___11___2">#REF!</definedName>
    <definedName name="объем___11___4">#REF!</definedName>
    <definedName name="объем___11___6">#REF!</definedName>
    <definedName name="объем___11___8">#REF!</definedName>
    <definedName name="объем___12">NA()</definedName>
    <definedName name="объем___2">#REF!</definedName>
    <definedName name="объем___2___0">#REF!</definedName>
    <definedName name="объем___2___0___0">#REF!</definedName>
    <definedName name="объем___2___0___0___0">#REF!</definedName>
    <definedName name="объем___2___0___0_3">#REF!</definedName>
    <definedName name="объем___2___0_3">#REF!</definedName>
    <definedName name="объем___2___0_5">#REF!</definedName>
    <definedName name="объем___2___1">#REF!</definedName>
    <definedName name="объем___2___10">#REF!</definedName>
    <definedName name="объем___2___12">#REF!</definedName>
    <definedName name="объем___2___2">#REF!</definedName>
    <definedName name="объем___2___3">#REF!</definedName>
    <definedName name="объем___2___4">#REF!</definedName>
    <definedName name="объем___2___4_3">#REF!</definedName>
    <definedName name="объем___2___4_5">#REF!</definedName>
    <definedName name="объем___2___6">#REF!</definedName>
    <definedName name="объем___2___8">#REF!</definedName>
    <definedName name="объем___2_1">#REF!</definedName>
    <definedName name="объем___2_3">#REF!</definedName>
    <definedName name="объем___2_4">#REF!</definedName>
    <definedName name="объем___2_5">#REF!</definedName>
    <definedName name="объем___3">#REF!</definedName>
    <definedName name="объем___3___0">#REF!</definedName>
    <definedName name="объем___3___0___0">NA()</definedName>
    <definedName name="объем___3___0_3">NA()</definedName>
    <definedName name="объем___3___0_5">#REF!</definedName>
    <definedName name="объем___3___10">#REF!</definedName>
    <definedName name="объем___3___2">#REF!</definedName>
    <definedName name="объем___3___3">#REF!</definedName>
    <definedName name="объем___3___4">#REF!</definedName>
    <definedName name="объем___3___6">#REF!</definedName>
    <definedName name="объем___3___8">#REF!</definedName>
    <definedName name="объем___3_3">#REF!</definedName>
    <definedName name="объем___3_5">#REF!</definedName>
    <definedName name="объем___4">#REF!</definedName>
    <definedName name="объем___4___0">NA()</definedName>
    <definedName name="объем___4___0___0">#REF!</definedName>
    <definedName name="объем___4___0___0___0">#REF!</definedName>
    <definedName name="объем___4___0___0_3">#REF!</definedName>
    <definedName name="объем___4___0_3">#REF!</definedName>
    <definedName name="объем___4___0_5">NA()</definedName>
    <definedName name="объем___4___10">#REF!</definedName>
    <definedName name="объем___4___12">#REF!</definedName>
    <definedName name="объем___4___2">#REF!</definedName>
    <definedName name="объем___4___3">#REF!</definedName>
    <definedName name="объем___4___4">#REF!</definedName>
    <definedName name="объем___4___6">#REF!</definedName>
    <definedName name="объем___4___8">#REF!</definedName>
    <definedName name="объем___4_1">#REF!</definedName>
    <definedName name="объем___4_3">NA()</definedName>
    <definedName name="объем___4_4">#REF!</definedName>
    <definedName name="объем___4_5">#REF!</definedName>
    <definedName name="объем___5">NA()</definedName>
    <definedName name="объем___5___0">#REF!</definedName>
    <definedName name="объем___5___0___0">#REF!</definedName>
    <definedName name="объем___5___0___0___0">#REF!</definedName>
    <definedName name="объем___5___0_3">#REF!</definedName>
    <definedName name="объем___5___0_5">#REF!</definedName>
    <definedName name="объем___5___3">NA()</definedName>
    <definedName name="объем___5_3">NA()</definedName>
    <definedName name="объем___5_5">NA()</definedName>
    <definedName name="объем___6">NA()</definedName>
    <definedName name="объем___6___0">#REF!</definedName>
    <definedName name="объем___6___0___0">#REF!</definedName>
    <definedName name="объем___6___0___0___0">#REF!</definedName>
    <definedName name="объем___6___0_3">#REF!</definedName>
    <definedName name="объем___6___0_5">#REF!</definedName>
    <definedName name="объем___6___1">#REF!</definedName>
    <definedName name="объем___6___10">#REF!</definedName>
    <definedName name="объем___6___12">#REF!</definedName>
    <definedName name="объем___6___2">#REF!</definedName>
    <definedName name="объем___6___4">#REF!</definedName>
    <definedName name="объем___6___6">#REF!</definedName>
    <definedName name="объем___6___8">#REF!</definedName>
    <definedName name="объем___6_1">NA()</definedName>
    <definedName name="объем___6_3">#REF!</definedName>
    <definedName name="объем___6_4">NA()</definedName>
    <definedName name="объем___6_5">NA()</definedName>
    <definedName name="объем___7">#REF!</definedName>
    <definedName name="объем___7___0">#REF!</definedName>
    <definedName name="объем___7___10">#REF!</definedName>
    <definedName name="объем___7___2">#REF!</definedName>
    <definedName name="объем___7___4">#REF!</definedName>
    <definedName name="объем___7___6">#REF!</definedName>
    <definedName name="объем___7___8">#REF!</definedName>
    <definedName name="объем___8">#REF!</definedName>
    <definedName name="объем___8___0">#REF!</definedName>
    <definedName name="объем___8___0___0">#REF!</definedName>
    <definedName name="объем___8___0___0___0">#REF!</definedName>
    <definedName name="объем___8___0_3">#REF!</definedName>
    <definedName name="объем___8___0_5">#REF!</definedName>
    <definedName name="объем___8___1">#REF!</definedName>
    <definedName name="объем___8___10">#REF!</definedName>
    <definedName name="объем___8___12">#REF!</definedName>
    <definedName name="объем___8___2">#REF!</definedName>
    <definedName name="объем___8___4">#REF!</definedName>
    <definedName name="объем___8___6">#REF!</definedName>
    <definedName name="объем___8___8">#REF!</definedName>
    <definedName name="объем___8_1">#REF!</definedName>
    <definedName name="объем___8_3">#REF!</definedName>
    <definedName name="объем___8_4">#REF!</definedName>
    <definedName name="объем___8_5">#REF!</definedName>
    <definedName name="объем___9">#REF!</definedName>
    <definedName name="объем___9___0">#REF!</definedName>
    <definedName name="объем___9___0___0">#REF!</definedName>
    <definedName name="объем___9___0___0___0">#REF!</definedName>
    <definedName name="объем___9___0_3">#REF!</definedName>
    <definedName name="объем___9___0_5">#REF!</definedName>
    <definedName name="объем___9___10">#REF!</definedName>
    <definedName name="объем___9___2">#REF!</definedName>
    <definedName name="объем___9___4">#REF!</definedName>
    <definedName name="объем___9___6">#REF!</definedName>
    <definedName name="объем___9___8">#REF!</definedName>
    <definedName name="объем___9_3">#REF!</definedName>
    <definedName name="объем___9_5">#REF!</definedName>
    <definedName name="объем_2">#REF!</definedName>
    <definedName name="объем_3">#REF!</definedName>
    <definedName name="объем_4">NA()</definedName>
    <definedName name="объем_5">NA()</definedName>
    <definedName name="объем1">#REF!</definedName>
    <definedName name="ог" localSheetId="5" hidden="1">{#N/A,#N/A,TRUE,"Смета на пасс. обор. №1"}</definedName>
    <definedName name="ог" localSheetId="6" hidden="1">{#N/A,#N/A,TRUE,"Смета на пасс. обор. №1"}</definedName>
    <definedName name="ог" hidden="1">{#N/A,#N/A,TRUE,"Смета на пасс. обор. №1"}</definedName>
    <definedName name="окей">#REF!</definedName>
    <definedName name="олд" localSheetId="5" hidden="1">{#N/A,#N/A,TRUE,"Смета на пасс. обор. №1"}</definedName>
    <definedName name="олд" localSheetId="6" hidden="1">{#N/A,#N/A,TRUE,"Смета на пасс. обор. №1"}</definedName>
    <definedName name="олд" hidden="1">{#N/A,#N/A,TRUE,"Смета на пасс. обор. №1"}</definedName>
    <definedName name="олпрол">#REF!</definedName>
    <definedName name="олролрт">#REF!</definedName>
    <definedName name="ОЛЯ">#REF!</definedName>
    <definedName name="ооо">#REF!</definedName>
    <definedName name="оооо">#REF!</definedName>
    <definedName name="орп">[21]Смета!#REF!</definedName>
    <definedName name="от" localSheetId="5" hidden="1">{#N/A,#N/A,TRUE,"Смета на пасс. обор. №1"}</definedName>
    <definedName name="от" localSheetId="6" hidden="1">{#N/A,#N/A,TRUE,"Смета на пасс. обор. №1"}</definedName>
    <definedName name="от" hidden="1">{#N/A,#N/A,TRUE,"Смета на пасс. обор. №1"}</definedName>
    <definedName name="Отчет" localSheetId="5" hidden="1">{#N/A,#N/A,FALSE,"Акт-Смета"}</definedName>
    <definedName name="Отчет" localSheetId="6" hidden="1">{#N/A,#N/A,FALSE,"Акт-Смета"}</definedName>
    <definedName name="Отчет" hidden="1">{#N/A,#N/A,FALSE,"Акт-Смета"}</definedName>
    <definedName name="п">#REF!</definedName>
    <definedName name="ПБ">#REF!</definedName>
    <definedName name="ПЕ">#REF!</definedName>
    <definedName name="Переезды" localSheetId="5" hidden="1">{#N/A,#N/A,FALSE,"Акт-Смета"}</definedName>
    <definedName name="Переезды" localSheetId="6" hidden="1">{#N/A,#N/A,FALSE,"Акт-Смета"}</definedName>
    <definedName name="Переезды" hidden="1">{#N/A,#N/A,FALSE,"Акт-Смета"}</definedName>
    <definedName name="план">[11]топография!#REF!</definedName>
    <definedName name="Площадь">#REF!</definedName>
    <definedName name="Площадь_нелинейных_объектов">#REF!</definedName>
    <definedName name="Площадь_планшетов">#REF!</definedName>
    <definedName name="Покупное_ПО">#REF!</definedName>
    <definedName name="Покупные">#REF!</definedName>
    <definedName name="Покупные_изделия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3">#REF!</definedName>
    <definedName name="Поправочные_коэффициенты_по_письму_Госстроя_от_25.12.90___0___0___0_3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3_3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4_3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3">#REF!</definedName>
    <definedName name="Поправочные_коэффициенты_по_письму_Госстроя_от_25.12.90___0___3_3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4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3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1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4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3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3_3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4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0_3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3">NA()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3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3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4_3">#REF!</definedName>
    <definedName name="Поправочные_коэффициенты_по_письму_Госстроя_от_25.12.90___4___0_3">#REF!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3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1">#REF!</definedName>
    <definedName name="Поправочные_коэффициенты_по_письму_Госстроя_от_25.12.90___4_3">NA()</definedName>
    <definedName name="Поправочные_коэффициенты_по_письму_Госстроя_от_25.12.90___4_4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1">NA()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4">NA()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4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3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2">#REF!</definedName>
    <definedName name="Поправочные_коэффициенты_по_письму_Госстроя_от_25.12.90_3">#REF!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 localSheetId="5" hidden="1">{#N/A,#N/A,TRUE,"Смета на пасс. обор. №1"}</definedName>
    <definedName name="пор" localSheetId="6" hidden="1">{#N/A,#N/A,TRUE,"Смета на пасс. обор. №1"}</definedName>
    <definedName name="пор" hidden="1">{#N/A,#N/A,TRUE,"Смета на пасс. обор. №1"}</definedName>
    <definedName name="ппп">#REF!</definedName>
    <definedName name="ПР">#REF!</definedName>
    <definedName name="прайс">#REF!</definedName>
    <definedName name="прайс_10">#REF!</definedName>
    <definedName name="прайс_11">NA()</definedName>
    <definedName name="прайс_12">NA()</definedName>
    <definedName name="прайс_13">#REF!</definedName>
    <definedName name="прайс_14">#REF!</definedName>
    <definedName name="прайс_15">#REF!</definedName>
    <definedName name="прайс_16">#REF!</definedName>
    <definedName name="прайс_17">#REF!</definedName>
    <definedName name="прайс_2">#REF!</definedName>
    <definedName name="прайс_3">#REF!</definedName>
    <definedName name="прайс_4">#REF!</definedName>
    <definedName name="прайс_5">#REF!</definedName>
    <definedName name="прайс_6">#REF!</definedName>
    <definedName name="прайс_7">#REF!</definedName>
    <definedName name="прайс_8">#REF!</definedName>
    <definedName name="прайс_9">#REF!</definedName>
    <definedName name="Прикладное_ПО">#REF!</definedName>
    <definedName name="про">#REF!</definedName>
    <definedName name="пробная">#REF!</definedName>
    <definedName name="проектная_документация">#REF!</definedName>
    <definedName name="промбез">[22]топография!#REF!</definedName>
    <definedName name="Промбезоп" localSheetId="5">#REF!</definedName>
    <definedName name="Промбезоп">#REF!</definedName>
    <definedName name="профиль" localSheetId="5">#REF!</definedName>
    <definedName name="профиль">#REF!</definedName>
    <definedName name="прпр" localSheetId="5">[6]Коэфф1.!#REF!</definedName>
    <definedName name="прпр">[6]Коэфф1.!#REF!</definedName>
    <definedName name="прпр_1" localSheetId="5">#REF!</definedName>
    <definedName name="прпр_1">#REF!</definedName>
    <definedName name="р" localSheetId="5">[14]Смета!#REF!</definedName>
    <definedName name="р">[14]Смета!#REF!</definedName>
    <definedName name="Разработка" localSheetId="5">#REF!</definedName>
    <definedName name="Разработка">#REF!</definedName>
    <definedName name="Разработка_" localSheetId="5">#REF!</definedName>
    <definedName name="Разработка_">#REF!</definedName>
    <definedName name="ргл" localSheetId="5">#REF!</definedName>
    <definedName name="ргл">#REF!</definedName>
    <definedName name="РД">#REF!</definedName>
    <definedName name="рл">[23]топография!#REF!</definedName>
    <definedName name="рок" localSheetId="5">#REF!</definedName>
    <definedName name="рок">#REF!</definedName>
    <definedName name="рол">[24]топография!#REF!</definedName>
    <definedName name="ропгнлпеглн" localSheetId="5">#REF!</definedName>
    <definedName name="ропгнлпеглн">#REF!</definedName>
    <definedName name="рпв" localSheetId="5">#REF!</definedName>
    <definedName name="рпв">#REF!</definedName>
    <definedName name="рр" localSheetId="5" hidden="1">{#N/A,#N/A,TRUE,"Смета на пасс. обор. №1"}</definedName>
    <definedName name="рр" localSheetId="6" hidden="1">{#N/A,#N/A,TRUE,"Смета на пасс. обор. №1"}</definedName>
    <definedName name="рр" hidden="1">{#N/A,#N/A,TRUE,"Смета на пасс. обор. №1"}</definedName>
    <definedName name="Руководитель">#REF!</definedName>
    <definedName name="ручей">#REF!</definedName>
    <definedName name="с">'[25]7'!#REF!</definedName>
    <definedName name="с3" localSheetId="5">#REF!</definedName>
    <definedName name="с3">#REF!</definedName>
    <definedName name="с4" localSheetId="5">#REF!</definedName>
    <definedName name="с4">#REF!</definedName>
    <definedName name="сам" localSheetId="5">{#N/A,#N/A,TRUE,"Смета на пасс. обор. №1"}</definedName>
    <definedName name="сам" localSheetId="6">{#N/A,#N/A,TRUE,"Смета на пасс. обор. №1"}</definedName>
    <definedName name="сам">{#N/A,#N/A,TRUE,"Смета на пасс. обор. №1"}</definedName>
    <definedName name="свод1">[26]топография!#REF!</definedName>
    <definedName name="Сводня_">[1]Смета!#REF!</definedName>
    <definedName name="сврд">[27]топография!#REF!</definedName>
    <definedName name="Сервис" localSheetId="5">#REF!</definedName>
    <definedName name="Сервис">#REF!</definedName>
    <definedName name="Сервис_Всего">'[6]Прайс лист'!#REF!</definedName>
    <definedName name="Сервис_Всего_1" localSheetId="5">#REF!</definedName>
    <definedName name="Сервис_Всего_1">#REF!</definedName>
    <definedName name="Сервисное_оборудование">[6]Коэфф1.!#REF!</definedName>
    <definedName name="Сервисное_оборудование_1">#REF!</definedName>
    <definedName name="см">#REF!</definedName>
    <definedName name="см_4">#REF!</definedName>
    <definedName name="См7">#REF!</definedName>
    <definedName name="Смет" localSheetId="5" hidden="1">{#N/A,#N/A,TRUE,"Смета на пасс. обор. №1"}</definedName>
    <definedName name="Смет" localSheetId="6" hidden="1">{#N/A,#N/A,TRUE,"Смета на пасс. обор. №1"}</definedName>
    <definedName name="Смет" hidden="1">{#N/A,#N/A,TRUE,"Смета на пасс. обор. №1"}</definedName>
    <definedName name="смета">#REF!</definedName>
    <definedName name="смета1">#REF!</definedName>
    <definedName name="сми">#REF!</definedName>
    <definedName name="смс">#N/A</definedName>
    <definedName name="Согласование">#REF!</definedName>
    <definedName name="Составитель">#REF!</definedName>
    <definedName name="СП1">[3]Обновление!#REF!</definedName>
    <definedName name="СП10">[28]БД!$BF$2:$BF$4</definedName>
    <definedName name="сс" localSheetId="5" hidden="1">{#N/A,#N/A,TRUE,"Смета на пасс. обор. №1"}</definedName>
    <definedName name="сс" localSheetId="6" hidden="1">{#N/A,#N/A,TRUE,"Смета на пасс. обор. №1"}</definedName>
    <definedName name="сс" hidden="1">{#N/A,#N/A,TRUE,"Смета на пасс. обор. №1"}</definedName>
    <definedName name="ссс">#REF!</definedName>
    <definedName name="Строительная_полоса">#REF!</definedName>
    <definedName name="Сургут">NA()</definedName>
    <definedName name="т">[14]Смета!#REF!</definedName>
    <definedName name="тест" localSheetId="5">#REF!</definedName>
    <definedName name="тест">#REF!</definedName>
    <definedName name="топ1" localSheetId="5">#REF!</definedName>
    <definedName name="топ1">#REF!</definedName>
    <definedName name="топ2" localSheetId="5">#REF!</definedName>
    <definedName name="топ2">#REF!</definedName>
    <definedName name="топо">#REF!</definedName>
    <definedName name="топогр1">#REF!</definedName>
    <definedName name="топограф">#REF!</definedName>
    <definedName name="трп" localSheetId="5" hidden="1">{#N/A,#N/A,TRUE,"Смета на пасс. обор. №1"}</definedName>
    <definedName name="трп" localSheetId="6" hidden="1">{#N/A,#N/A,TRUE,"Смета на пасс. обор. №1"}</definedName>
    <definedName name="трп" hidden="1">{#N/A,#N/A,TRUE,"Смета на пасс. обор. №1"}</definedName>
    <definedName name="ТС1">#REF!</definedName>
    <definedName name="ТФ1">[28]БД!$BO$2:$BO$5</definedName>
    <definedName name="ТФ11">[28]БД!$BO$2:$BQ$5</definedName>
    <definedName name="ТФ2">[28]БД!$BO$8:$BO$13</definedName>
    <definedName name="ТФ22">[28]БД!$BO$8:$BQ$13</definedName>
    <definedName name="ТФ31">[28]БД!$BN$16:$BN$59</definedName>
    <definedName name="ТФ32">[28]БД!$BO$16:$BO$59</definedName>
    <definedName name="ТФ33">[28]БД!$BO$16:$BP$59</definedName>
    <definedName name="ТФ41">[28]БД!$BN$68:$BN$174</definedName>
    <definedName name="ТФ42">[28]БД!$BO$68:$BO$174</definedName>
    <definedName name="ТФ43">[28]БД!$BO$68:$BP$174</definedName>
    <definedName name="тьбю" localSheetId="5">#REF!</definedName>
    <definedName name="тьбю">#REF!</definedName>
    <definedName name="у">[29]Смета!#REF!</definedName>
    <definedName name="ук" localSheetId="5">#REF!</definedName>
    <definedName name="ук">#REF!</definedName>
    <definedName name="уцк32">[30]БД!$BO$8:$BQ$13</definedName>
    <definedName name="уцуц" localSheetId="5">#REF!</definedName>
    <definedName name="уцуц">#REF!</definedName>
    <definedName name="Участок" localSheetId="5">#REF!</definedName>
    <definedName name="Участок">#REF!</definedName>
    <definedName name="уы" localSheetId="5" hidden="1">{#N/A,#N/A,TRUE,"Смета на пасс. обор. №1"}</definedName>
    <definedName name="уы" localSheetId="6" hidden="1">{#N/A,#N/A,TRUE,"Смета на пасс. обор. №1"}</definedName>
    <definedName name="уы" hidden="1">{#N/A,#N/A,TRUE,"Смета на пасс. обор. №1"}</definedName>
    <definedName name="Ф10">[28]БД!$AW$2:$AW$110</definedName>
    <definedName name="Ф102">[28]БД!$AX$2:$AX$110</definedName>
    <definedName name="Ф103">[28]БД!$AX$2:$BD$110</definedName>
    <definedName name="Ф11">[28]БД!$BF$2:$BL$4</definedName>
    <definedName name="Ф2">[28]БД!$A$2:$A$7</definedName>
    <definedName name="Ф21">[28]БД!$A$2:$H$7</definedName>
    <definedName name="Ф54">[28]БД!$I$2:$P$27</definedName>
    <definedName name="Ф55">[28]БД!$J$2:$J$27</definedName>
    <definedName name="Ф57">[28]БД!$J$2:$P$27</definedName>
    <definedName name="Ф6">[28]БД!$Q$2:$Q$5</definedName>
    <definedName name="Ф61">[28]БД!$Q$2:$X$5</definedName>
    <definedName name="Ф7">[28]БД!$Y$2:$Y$8</definedName>
    <definedName name="Ф71">[28]БД!$Y$2:$AF$8</definedName>
    <definedName name="Ф8">[28]БД!$AG$2:$AG$6</definedName>
    <definedName name="Ф81">[28]БД!$AG$2:$AN$6</definedName>
    <definedName name="Ф9">[28]БД!$AO$2:$AO$110</definedName>
    <definedName name="Ф92">[28]БД!$AP$2:$AP$110</definedName>
    <definedName name="Ф93">[28]БД!$AP$2:$AV$110</definedName>
    <definedName name="ФП" localSheetId="5">#REF!</definedName>
    <definedName name="ФП">#REF!</definedName>
    <definedName name="ффыв" localSheetId="5">#REF!</definedName>
    <definedName name="ффыв">#REF!</definedName>
    <definedName name="фыв" localSheetId="5">#REF!</definedName>
    <definedName name="фыв">#REF!</definedName>
    <definedName name="хэ" localSheetId="5" hidden="1">{#N/A,#N/A,TRUE,"Смета на пасс. обор. №1"}</definedName>
    <definedName name="хэ" localSheetId="6" hidden="1">{#N/A,#N/A,TRUE,"Смета на пасс. обор. №1"}</definedName>
    <definedName name="хэ" hidden="1">{#N/A,#N/A,TRUE,"Смета на пасс. обор. №1"}</definedName>
    <definedName name="цвет" localSheetId="5" hidden="1">{#N/A,#N/A,TRUE,"Смета на пасс. обор. №1"}</definedName>
    <definedName name="цвет" localSheetId="6" hidden="1">{#N/A,#N/A,TRUE,"Смета на пасс. обор. №1"}</definedName>
    <definedName name="цвет" hidden="1">{#N/A,#N/A,TRUE,"Смета на пасс. обор. №1"}</definedName>
    <definedName name="цена">#N/A</definedName>
    <definedName name="цена___0">#REF!</definedName>
    <definedName name="цена___0___0">#REF!</definedName>
    <definedName name="цена___0___0___0">#REF!</definedName>
    <definedName name="цена___0___0___0___0">#REF!</definedName>
    <definedName name="цена___0___0___0___0_3">#REF!</definedName>
    <definedName name="цена___0___0___0_3">#REF!</definedName>
    <definedName name="цена___0___0___2">#REF!</definedName>
    <definedName name="цена___0___0___3">#REF!</definedName>
    <definedName name="цена___0___0___3_3">#REF!</definedName>
    <definedName name="цена___0___0___4">#REF!</definedName>
    <definedName name="цена___0___0___4_3">#REF!</definedName>
    <definedName name="цена___0___0_3">#REF!</definedName>
    <definedName name="цена___0___0_5">#REF!</definedName>
    <definedName name="цена___0___1">#REF!</definedName>
    <definedName name="цена___0___10">#REF!</definedName>
    <definedName name="цена___0___12">#REF!</definedName>
    <definedName name="цена___0___2">#REF!</definedName>
    <definedName name="цена___0___2___0">#REF!</definedName>
    <definedName name="цена___0___2_3">#REF!</definedName>
    <definedName name="цена___0___2_5">#REF!</definedName>
    <definedName name="цена___0___3">#REF!</definedName>
    <definedName name="цена___0___3_3">#REF!</definedName>
    <definedName name="цена___0___4">#REF!</definedName>
    <definedName name="цена___0___4_3">#REF!</definedName>
    <definedName name="цена___0___4_5">#REF!</definedName>
    <definedName name="цена___0___5">#REF!</definedName>
    <definedName name="цена___0___6">#REF!</definedName>
    <definedName name="цена___0___8">#REF!</definedName>
    <definedName name="цена___0_1">#REF!</definedName>
    <definedName name="цена___0_3">#REF!</definedName>
    <definedName name="цена___0_4">#REF!</definedName>
    <definedName name="цена___0_5">#REF!</definedName>
    <definedName name="цена___1">#REF!</definedName>
    <definedName name="цена___1___0">#REF!</definedName>
    <definedName name="цена___1_3">#REF!</definedName>
    <definedName name="цена___1_5">#REF!</definedName>
    <definedName name="цена___10">#REF!</definedName>
    <definedName name="цена___10___0">NA()</definedName>
    <definedName name="цена___10___0___0">#REF!</definedName>
    <definedName name="цена___10___0_3">NA()</definedName>
    <definedName name="цена___10___0_5">NA()</definedName>
    <definedName name="цена___10___1">#REF!</definedName>
    <definedName name="цена___10___10">#REF!</definedName>
    <definedName name="цена___10___12">#REF!</definedName>
    <definedName name="цена___10___2">NA()</definedName>
    <definedName name="цена___10___4">NA()</definedName>
    <definedName name="цена___10___6">NA()</definedName>
    <definedName name="цена___10___8">NA()</definedName>
    <definedName name="цена___10_1">#REF!</definedName>
    <definedName name="цена___10_3">#REF!</definedName>
    <definedName name="цена___10_4">#REF!</definedName>
    <definedName name="цена___10_5">#REF!</definedName>
    <definedName name="цена___11">#REF!</definedName>
    <definedName name="цена___11___0">NA()</definedName>
    <definedName name="цена___11___10">#REF!</definedName>
    <definedName name="цена___11___2">#REF!</definedName>
    <definedName name="цена___11___4">#REF!</definedName>
    <definedName name="цена___11___6">#REF!</definedName>
    <definedName name="цена___11___8">#REF!</definedName>
    <definedName name="цена___12">NA()</definedName>
    <definedName name="цена___2">#REF!</definedName>
    <definedName name="цена___2___0">#REF!</definedName>
    <definedName name="цена___2___0___0">#REF!</definedName>
    <definedName name="цена___2___0___0___0">#REF!</definedName>
    <definedName name="цена___2___0___0_3">#REF!</definedName>
    <definedName name="цена___2___0_3">#REF!</definedName>
    <definedName name="цена___2___0_5">#REF!</definedName>
    <definedName name="цена___2___1">#REF!</definedName>
    <definedName name="цена___2___10">#REF!</definedName>
    <definedName name="цена___2___12">#REF!</definedName>
    <definedName name="цена___2___2">#REF!</definedName>
    <definedName name="цена___2___3">#REF!</definedName>
    <definedName name="цена___2___4">#REF!</definedName>
    <definedName name="цена___2___4_3">#REF!</definedName>
    <definedName name="цена___2___4_5">#REF!</definedName>
    <definedName name="цена___2___6">#REF!</definedName>
    <definedName name="цена___2___8">#REF!</definedName>
    <definedName name="цена___2_1">#REF!</definedName>
    <definedName name="цена___2_3">#REF!</definedName>
    <definedName name="цена___2_4">#REF!</definedName>
    <definedName name="цена___2_5">#REF!</definedName>
    <definedName name="цена___3">#REF!</definedName>
    <definedName name="цена___3___0">#REF!</definedName>
    <definedName name="цена___3___0___0">NA()</definedName>
    <definedName name="цена___3___0_3">NA()</definedName>
    <definedName name="цена___3___0_5">#REF!</definedName>
    <definedName name="цена___3___10">#REF!</definedName>
    <definedName name="цена___3___2">#REF!</definedName>
    <definedName name="цена___3___3">#REF!</definedName>
    <definedName name="цена___3___4">#REF!</definedName>
    <definedName name="цена___3___6">#REF!</definedName>
    <definedName name="цена___3___8">#REF!</definedName>
    <definedName name="цена___3_3">#REF!</definedName>
    <definedName name="цена___3_5">#REF!</definedName>
    <definedName name="цена___4">#REF!</definedName>
    <definedName name="цена___4___0">NA()</definedName>
    <definedName name="цена___4___0___0">#REF!</definedName>
    <definedName name="цена___4___0___0___0">#REF!</definedName>
    <definedName name="цена___4___0___0_3">#REF!</definedName>
    <definedName name="цена___4___0_3">#REF!</definedName>
    <definedName name="цена___4___0_5">NA()</definedName>
    <definedName name="цена___4___10">#REF!</definedName>
    <definedName name="цена___4___12">#REF!</definedName>
    <definedName name="цена___4___2">#REF!</definedName>
    <definedName name="цена___4___3">#REF!</definedName>
    <definedName name="цена___4___4">#REF!</definedName>
    <definedName name="цена___4___6">#REF!</definedName>
    <definedName name="цена___4___8">#REF!</definedName>
    <definedName name="цена___4_1">#REF!</definedName>
    <definedName name="цена___4_3">NA()</definedName>
    <definedName name="цена___4_4">#REF!</definedName>
    <definedName name="цена___4_5">#REF!</definedName>
    <definedName name="цена___5">NA()</definedName>
    <definedName name="цена___5___0">#REF!</definedName>
    <definedName name="цена___5___0___0">#REF!</definedName>
    <definedName name="цена___5___0___0___0">#REF!</definedName>
    <definedName name="цена___5___0_3">#REF!</definedName>
    <definedName name="цена___5___0_5">#REF!</definedName>
    <definedName name="цена___5___3">NA()</definedName>
    <definedName name="цена___5_3">NA()</definedName>
    <definedName name="цена___5_5">NA()</definedName>
    <definedName name="цена___6">NA()</definedName>
    <definedName name="цена___6___0">#REF!</definedName>
    <definedName name="цена___6___0___0">#REF!</definedName>
    <definedName name="цена___6___0___0___0">#REF!</definedName>
    <definedName name="цена___6___0_3">#REF!</definedName>
    <definedName name="цена___6___0_5">#REF!</definedName>
    <definedName name="цена___6___1">#REF!</definedName>
    <definedName name="цена___6___10">#REF!</definedName>
    <definedName name="цена___6___12">#REF!</definedName>
    <definedName name="цена___6___2">#REF!</definedName>
    <definedName name="цена___6___4">#REF!</definedName>
    <definedName name="цена___6___6">#REF!</definedName>
    <definedName name="цена___6___8">#REF!</definedName>
    <definedName name="цена___6_1">NA()</definedName>
    <definedName name="цена___6_3">#REF!</definedName>
    <definedName name="цена___6_4">NA()</definedName>
    <definedName name="цена___6_5">NA()</definedName>
    <definedName name="цена___7">#REF!</definedName>
    <definedName name="цена___7___0">#REF!</definedName>
    <definedName name="цена___7___10">#REF!</definedName>
    <definedName name="цена___7___2">#REF!</definedName>
    <definedName name="цена___7___4">#REF!</definedName>
    <definedName name="цена___7___6">#REF!</definedName>
    <definedName name="цена___7___8">#REF!</definedName>
    <definedName name="цена___8">#REF!</definedName>
    <definedName name="цена___8___0">#REF!</definedName>
    <definedName name="цена___8___0___0">#REF!</definedName>
    <definedName name="цена___8___0___0___0">#REF!</definedName>
    <definedName name="цена___8___0_3">#REF!</definedName>
    <definedName name="цена___8___0_5">#REF!</definedName>
    <definedName name="цена___8___1">#REF!</definedName>
    <definedName name="цена___8___10">#REF!</definedName>
    <definedName name="цена___8___12">#REF!</definedName>
    <definedName name="цена___8___2">#REF!</definedName>
    <definedName name="цена___8___4">#REF!</definedName>
    <definedName name="цена___8___6">#REF!</definedName>
    <definedName name="цена___8___8">#REF!</definedName>
    <definedName name="цена___8_1">#REF!</definedName>
    <definedName name="цена___8_3">#REF!</definedName>
    <definedName name="цена___8_4">#REF!</definedName>
    <definedName name="цена___8_5">#REF!</definedName>
    <definedName name="цена___9">#REF!</definedName>
    <definedName name="цена___9___0">#REF!</definedName>
    <definedName name="цена___9___0___0">#REF!</definedName>
    <definedName name="цена___9___0___0___0">#REF!</definedName>
    <definedName name="цена___9___0_3">#REF!</definedName>
    <definedName name="цена___9___0_5">#REF!</definedName>
    <definedName name="цена___9___10">#REF!</definedName>
    <definedName name="цена___9___2">#REF!</definedName>
    <definedName name="цена___9___4">#REF!</definedName>
    <definedName name="цена___9___6">#REF!</definedName>
    <definedName name="цена___9___8">#REF!</definedName>
    <definedName name="цена___9_3">#REF!</definedName>
    <definedName name="цена___9_5">#REF!</definedName>
    <definedName name="цена_2">#REF!</definedName>
    <definedName name="цена_3">#REF!</definedName>
    <definedName name="цена_4">NA()</definedName>
    <definedName name="цена_5">NA()</definedName>
    <definedName name="цук">#REF!</definedName>
    <definedName name="чс">#REF!</definedName>
    <definedName name="чть">#REF!</definedName>
    <definedName name="шеаг8щвун7в">#REF!</definedName>
    <definedName name="Шкафы_ТМ">#REF!</definedName>
    <definedName name="щщ">#REF!</definedName>
    <definedName name="ъхз">#REF!</definedName>
    <definedName name="ы">[29]Смета!#REF!</definedName>
    <definedName name="ЫВGGGGGGGGGGGGGGG" localSheetId="5">#REF!</definedName>
    <definedName name="ЫВGGGGGGGGGGGGGGG">#REF!</definedName>
    <definedName name="ыва" localSheetId="5">{#N/A,#N/A,TRUE,"Смета на пасс. обор. №1"}</definedName>
    <definedName name="ыва" localSheetId="6">{#N/A,#N/A,TRUE,"Смета на пасс. обор. №1"}</definedName>
    <definedName name="ыва">{#N/A,#N/A,TRUE,"Смета на пасс. обор. №1"}</definedName>
    <definedName name="ыыы">#REF!</definedName>
    <definedName name="эк">#REF!</definedName>
    <definedName name="эк1">#REF!</definedName>
    <definedName name="эко">#REF!</definedName>
    <definedName name="эко_1">#REF!</definedName>
    <definedName name="эко_3">#REF!</definedName>
    <definedName name="эко_4">#REF!</definedName>
    <definedName name="эко_5">#REF!</definedName>
    <definedName name="эко1">#REF!</definedName>
    <definedName name="экол.1">[24]топография!#REF!</definedName>
    <definedName name="экол1" localSheetId="5">#REF!</definedName>
    <definedName name="экол1">#REF!</definedName>
    <definedName name="экол2" localSheetId="5">#REF!</definedName>
    <definedName name="экол2">#REF!</definedName>
    <definedName name="Экол3" localSheetId="5">#REF!</definedName>
    <definedName name="Экол3">#REF!</definedName>
    <definedName name="эколог">#REF!</definedName>
    <definedName name="экология">NA()</definedName>
    <definedName name="Экспер.отчета" localSheetId="5" hidden="1">{#N/A,#N/A,FALSE,"Акт-Смета"}</definedName>
    <definedName name="Экспер.отчета" localSheetId="6" hidden="1">{#N/A,#N/A,FALSE,"Акт-Смета"}</definedName>
    <definedName name="Экспер.отчета" hidden="1">{#N/A,#N/A,FALSE,"Акт-Смета"}</definedName>
    <definedName name="эл" localSheetId="5" hidden="1">{#N/A,#N/A,TRUE,"Смета на пасс. обор. №1"}</definedName>
    <definedName name="эл" localSheetId="6" hidden="1">{#N/A,#N/A,TRUE,"Смета на пасс. обор. №1"}</definedName>
    <definedName name="эл" hidden="1">{#N/A,#N/A,TRUE,"Смета на пасс. обор. №1"}</definedName>
    <definedName name="ЭлеСи">[31]Коэфф1.!$E$7</definedName>
    <definedName name="ЭлеСи_1" localSheetId="5">#REF!</definedName>
    <definedName name="ЭлеСи_1">#REF!</definedName>
    <definedName name="ЭЛСИ_Т" localSheetId="5">#REF!</definedName>
    <definedName name="ЭЛСИ_Т">#REF!</definedName>
    <definedName name="эмс" localSheetId="5">[32]топография!#REF!</definedName>
    <definedName name="эмс">[32]топография!#REF!</definedName>
    <definedName name="ЮФУ" localSheetId="5">#REF!</definedName>
    <definedName name="ЮФУ">#REF!</definedName>
    <definedName name="ЮФУ2" localSheetId="5">#REF!</definedName>
    <definedName name="ЮФУ2">#REF!</definedName>
    <definedName name="ююю" localSheetId="5" hidden="1">{#N/A,#N/A,TRUE,"Смета на пасс. обор. №1"}</definedName>
    <definedName name="ююю" localSheetId="6" hidden="1">{#N/A,#N/A,TRUE,"Смета на пасс. обор. №1"}</definedName>
    <definedName name="ююю" hidden="1">{#N/A,#N/A,TRUE,"Смета на пасс. обор. №1"}</definedName>
    <definedName name="ЯЯЯЯ">#N/A</definedName>
  </definedNames>
  <calcPr calcId="191029"/>
</workbook>
</file>

<file path=xl/calcChain.xml><?xml version="1.0" encoding="utf-8"?>
<calcChain xmlns="http://schemas.openxmlformats.org/spreadsheetml/2006/main">
  <c r="E59" i="1" l="1"/>
  <c r="D22" i="1"/>
  <c r="G41" i="83"/>
  <c r="I90" i="57"/>
  <c r="I36" i="56"/>
  <c r="I19" i="56"/>
  <c r="I55" i="28"/>
  <c r="I36" i="29"/>
  <c r="I19" i="29"/>
  <c r="I18" i="87"/>
  <c r="I18" i="65"/>
  <c r="I19" i="63"/>
  <c r="I18" i="60"/>
  <c r="I28" i="77"/>
  <c r="I27" i="77"/>
  <c r="I16" i="53"/>
  <c r="I53" i="87"/>
  <c r="I45" i="87"/>
  <c r="I34" i="87"/>
  <c r="I27" i="87"/>
  <c r="I62" i="87"/>
  <c r="I63" i="87" s="1"/>
  <c r="I42" i="87"/>
  <c r="I43" i="87" s="1"/>
  <c r="I64" i="87"/>
  <c r="I65" i="87" s="1"/>
  <c r="I66" i="87" s="1"/>
  <c r="E57" i="1" s="1"/>
  <c r="I18" i="77"/>
  <c r="I18" i="76"/>
  <c r="K18" i="76"/>
  <c r="I65" i="78"/>
  <c r="I66" i="78"/>
  <c r="I53" i="78"/>
  <c r="I16" i="52"/>
  <c r="I16" i="55"/>
  <c r="I18" i="74"/>
  <c r="G42" i="72"/>
  <c r="G41" i="72"/>
  <c r="G43" i="72"/>
  <c r="G40" i="72"/>
  <c r="G101" i="86"/>
  <c r="G102" i="86" s="1"/>
  <c r="G92" i="86"/>
  <c r="D83" i="86"/>
  <c r="G80" i="86"/>
  <c r="G76" i="86"/>
  <c r="G75" i="86"/>
  <c r="G74" i="86"/>
  <c r="G73" i="86"/>
  <c r="G72" i="86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57" i="86"/>
  <c r="G56" i="86"/>
  <c r="G55" i="86"/>
  <c r="G54" i="86"/>
  <c r="G53" i="86"/>
  <c r="G52" i="86"/>
  <c r="G51" i="86"/>
  <c r="G49" i="86"/>
  <c r="G48" i="86"/>
  <c r="G47" i="86"/>
  <c r="G46" i="86"/>
  <c r="G45" i="86"/>
  <c r="G44" i="86"/>
  <c r="G43" i="86"/>
  <c r="G42" i="86"/>
  <c r="G41" i="86"/>
  <c r="G77" i="86" s="1"/>
  <c r="G78" i="86" s="1"/>
  <c r="D36" i="86"/>
  <c r="G32" i="86"/>
  <c r="G29" i="86"/>
  <c r="G26" i="86"/>
  <c r="G24" i="86"/>
  <c r="G23" i="86"/>
  <c r="D20" i="86"/>
  <c r="G20" i="86" s="1"/>
  <c r="G17" i="86"/>
  <c r="I18" i="78"/>
  <c r="D20" i="1"/>
  <c r="D19" i="1"/>
  <c r="G39" i="83"/>
  <c r="G81" i="82"/>
  <c r="G53" i="81"/>
  <c r="G72" i="80"/>
  <c r="D68" i="87"/>
  <c r="D89" i="86" l="1"/>
  <c r="G89" i="86" s="1"/>
  <c r="G36" i="86"/>
  <c r="G37" i="86" s="1"/>
  <c r="G38" i="86" s="1"/>
  <c r="G39" i="86" s="1"/>
  <c r="H90" i="86"/>
  <c r="G90" i="86"/>
  <c r="D86" i="86"/>
  <c r="G86" i="86" s="1"/>
  <c r="G83" i="86"/>
  <c r="G40" i="83"/>
  <c r="G29" i="83"/>
  <c r="G27" i="83"/>
  <c r="G26" i="83"/>
  <c r="G25" i="83"/>
  <c r="G24" i="83"/>
  <c r="D23" i="83"/>
  <c r="G23" i="83" s="1"/>
  <c r="G28" i="83" s="1"/>
  <c r="G18" i="83"/>
  <c r="G19" i="83" s="1"/>
  <c r="G20" i="83" s="1"/>
  <c r="G21" i="83" s="1"/>
  <c r="D68" i="82"/>
  <c r="G68" i="82" s="1"/>
  <c r="D67" i="82"/>
  <c r="D66" i="82"/>
  <c r="G66" i="82" s="1"/>
  <c r="G60" i="82"/>
  <c r="D59" i="82"/>
  <c r="G59" i="82" s="1"/>
  <c r="G56" i="82"/>
  <c r="G52" i="82"/>
  <c r="G50" i="82"/>
  <c r="G48" i="82"/>
  <c r="G47" i="82"/>
  <c r="G45" i="82"/>
  <c r="G43" i="82"/>
  <c r="D42" i="82"/>
  <c r="G42" i="82" s="1"/>
  <c r="G40" i="82"/>
  <c r="G38" i="82"/>
  <c r="G33" i="82"/>
  <c r="G32" i="82"/>
  <c r="G28" i="82"/>
  <c r="G25" i="82"/>
  <c r="H24" i="82"/>
  <c r="G24" i="82"/>
  <c r="G23" i="82"/>
  <c r="D22" i="82"/>
  <c r="G22" i="82" s="1"/>
  <c r="G18" i="82"/>
  <c r="G17" i="82"/>
  <c r="G34" i="82" s="1"/>
  <c r="G35" i="82" s="1"/>
  <c r="G36" i="82" s="1"/>
  <c r="H74" i="82" s="1"/>
  <c r="G37" i="81"/>
  <c r="D31" i="81"/>
  <c r="G31" i="81" s="1"/>
  <c r="D25" i="81"/>
  <c r="G25" i="81" s="1"/>
  <c r="G20" i="81"/>
  <c r="G26" i="81" s="1"/>
  <c r="G27" i="81" s="1"/>
  <c r="G57" i="80"/>
  <c r="G54" i="80"/>
  <c r="D48" i="80"/>
  <c r="G48" i="80" s="1"/>
  <c r="D45" i="80"/>
  <c r="G45" i="80" s="1"/>
  <c r="B45" i="80"/>
  <c r="D38" i="80"/>
  <c r="G38" i="80" s="1"/>
  <c r="D33" i="80"/>
  <c r="G33" i="80" s="1"/>
  <c r="G28" i="80"/>
  <c r="G27" i="80"/>
  <c r="D24" i="80"/>
  <c r="G20" i="80"/>
  <c r="H91" i="86" l="1"/>
  <c r="G91" i="86"/>
  <c r="G93" i="86"/>
  <c r="G94" i="86" s="1"/>
  <c r="H96" i="86"/>
  <c r="G96" i="86"/>
  <c r="D42" i="80"/>
  <c r="G42" i="80" s="1"/>
  <c r="G24" i="80"/>
  <c r="G34" i="80"/>
  <c r="G61" i="80"/>
  <c r="H58" i="80"/>
  <c r="G58" i="80"/>
  <c r="G64" i="80" s="1"/>
  <c r="G65" i="80" s="1"/>
  <c r="G28" i="81"/>
  <c r="G29" i="81" s="1"/>
  <c r="G41" i="81"/>
  <c r="H38" i="81"/>
  <c r="G38" i="81"/>
  <c r="G44" i="81" s="1"/>
  <c r="G45" i="81" s="1"/>
  <c r="G74" i="82"/>
  <c r="H61" i="82"/>
  <c r="G61" i="82"/>
  <c r="G53" i="82"/>
  <c r="H62" i="82"/>
  <c r="G62" i="82"/>
  <c r="H63" i="82"/>
  <c r="G63" i="82"/>
  <c r="H64" i="82"/>
  <c r="G64" i="82"/>
  <c r="H65" i="82"/>
  <c r="G65" i="82"/>
  <c r="H68" i="82"/>
  <c r="G67" i="82"/>
  <c r="H35" i="83"/>
  <c r="G35" i="83"/>
  <c r="G30" i="83"/>
  <c r="G33" i="83" s="1"/>
  <c r="G97" i="86" l="1"/>
  <c r="G98" i="86" s="1"/>
  <c r="G99" i="86" s="1"/>
  <c r="G100" i="86" s="1"/>
  <c r="G103" i="86" s="1"/>
  <c r="H97" i="86"/>
  <c r="G36" i="83"/>
  <c r="G37" i="83" s="1"/>
  <c r="G38" i="83" s="1"/>
  <c r="D21" i="1" s="1"/>
  <c r="H69" i="82"/>
  <c r="G69" i="82"/>
  <c r="G72" i="82" s="1"/>
  <c r="H66" i="82"/>
  <c r="G54" i="82"/>
  <c r="G75" i="82"/>
  <c r="G78" i="82" s="1"/>
  <c r="G79" i="82" s="1"/>
  <c r="H47" i="81"/>
  <c r="G47" i="81"/>
  <c r="H42" i="81"/>
  <c r="G35" i="80"/>
  <c r="G36" i="80" s="1"/>
  <c r="H67" i="80" l="1"/>
  <c r="G67" i="80"/>
  <c r="H62" i="80"/>
  <c r="G48" i="81"/>
  <c r="G51" i="81" s="1"/>
  <c r="G52" i="81" s="1"/>
  <c r="G54" i="81" s="1"/>
  <c r="G80" i="82"/>
  <c r="G82" i="82" s="1"/>
  <c r="G69" i="80" l="1"/>
  <c r="G68" i="80"/>
  <c r="G70" i="80" s="1"/>
  <c r="G71" i="80" s="1"/>
  <c r="G73" i="80" s="1"/>
  <c r="I18" i="59" l="1"/>
  <c r="I18" i="22"/>
  <c r="I18" i="27"/>
  <c r="G29" i="72"/>
  <c r="G21" i="72"/>
  <c r="I16" i="54"/>
  <c r="I41" i="63"/>
  <c r="I41" i="31"/>
  <c r="I19" i="31"/>
  <c r="I40" i="65" l="1"/>
  <c r="I40" i="33"/>
  <c r="I18" i="33"/>
  <c r="I52" i="56"/>
  <c r="I52" i="29"/>
  <c r="I45" i="78"/>
  <c r="I62" i="78" s="1"/>
  <c r="I63" i="78" s="1"/>
  <c r="I34" i="78"/>
  <c r="I27" i="78"/>
  <c r="I42" i="78" s="1"/>
  <c r="I43" i="78" s="1"/>
  <c r="I64" i="78"/>
  <c r="E41" i="1" s="1"/>
  <c r="I26" i="77"/>
  <c r="I26" i="76"/>
  <c r="I18" i="75"/>
  <c r="I19" i="75" s="1"/>
  <c r="I20" i="75" s="1"/>
  <c r="I21" i="75" s="1"/>
  <c r="D25" i="1" s="1"/>
  <c r="I21" i="74"/>
  <c r="I22" i="74" s="1"/>
  <c r="I23" i="74" s="1"/>
  <c r="D24" i="1" s="1"/>
  <c r="D68" i="78"/>
  <c r="D30" i="77"/>
  <c r="E56" i="1" l="1"/>
  <c r="I27" i="76"/>
  <c r="I28" i="76" s="1"/>
  <c r="D30" i="76"/>
  <c r="E40" i="1"/>
  <c r="G34" i="72" l="1"/>
  <c r="G37" i="72"/>
  <c r="G38" i="72" s="1"/>
  <c r="G26" i="72"/>
  <c r="G27" i="72" s="1"/>
  <c r="G44" i="72" s="1"/>
  <c r="G45" i="72" s="1"/>
  <c r="G46" i="72" s="1"/>
  <c r="D23" i="1" s="1"/>
  <c r="D26" i="1" l="1"/>
  <c r="D42" i="1" s="1"/>
  <c r="I24" i="64"/>
  <c r="I19" i="64"/>
  <c r="I34" i="62"/>
  <c r="I25" i="62"/>
  <c r="I19" i="62"/>
  <c r="I77" i="61"/>
  <c r="I72" i="61"/>
  <c r="I66" i="61"/>
  <c r="I61" i="61"/>
  <c r="I54" i="61"/>
  <c r="I49" i="61"/>
  <c r="I44" i="61"/>
  <c r="I39" i="61"/>
  <c r="I34" i="61"/>
  <c r="I29" i="61"/>
  <c r="I23" i="61"/>
  <c r="I18" i="61"/>
  <c r="I56" i="59"/>
  <c r="I41" i="59"/>
  <c r="I24" i="58"/>
  <c r="I18" i="58"/>
  <c r="I77" i="56"/>
  <c r="I24" i="23"/>
  <c r="I19" i="23"/>
  <c r="I34" i="25"/>
  <c r="I25" i="25"/>
  <c r="I19" i="25"/>
  <c r="I77" i="24"/>
  <c r="I72" i="24"/>
  <c r="I66" i="24"/>
  <c r="I61" i="24"/>
  <c r="I54" i="24"/>
  <c r="I49" i="24"/>
  <c r="I44" i="24"/>
  <c r="I39" i="24"/>
  <c r="I34" i="24"/>
  <c r="I29" i="24"/>
  <c r="I23" i="24"/>
  <c r="I18" i="24"/>
  <c r="I56" i="27"/>
  <c r="I41" i="27"/>
  <c r="I32" i="26"/>
  <c r="I18" i="26"/>
  <c r="I31" i="28"/>
  <c r="I24" i="28"/>
  <c r="I18" i="28"/>
  <c r="I54" i="28" s="1"/>
  <c r="I56" i="28" s="1"/>
  <c r="I66" i="57"/>
  <c r="I42" i="57"/>
  <c r="I18" i="57"/>
  <c r="I89" i="57" s="1"/>
  <c r="I91" i="57" l="1"/>
  <c r="I82" i="61"/>
  <c r="I83" i="61" l="1"/>
  <c r="I84" i="61" s="1"/>
  <c r="E49" i="1" s="1"/>
  <c r="I28" i="64"/>
  <c r="I63" i="63"/>
  <c r="I64" i="63" s="1"/>
  <c r="I65" i="63" s="1"/>
  <c r="I41" i="62"/>
  <c r="I44" i="60"/>
  <c r="I29" i="58"/>
  <c r="I20" i="53"/>
  <c r="I20" i="52"/>
  <c r="I40" i="62"/>
  <c r="I31" i="62"/>
  <c r="I32" i="62" s="1"/>
  <c r="I92" i="57"/>
  <c r="E45" i="1" s="1"/>
  <c r="I20" i="55"/>
  <c r="I20" i="54"/>
  <c r="I21" i="55" l="1"/>
  <c r="I22" i="55" s="1"/>
  <c r="E39" i="1" s="1"/>
  <c r="I21" i="53"/>
  <c r="I22" i="53" s="1"/>
  <c r="E55" i="1" s="1"/>
  <c r="I21" i="52"/>
  <c r="I22" i="52" s="1"/>
  <c r="E54" i="1" s="1"/>
  <c r="I21" i="54"/>
  <c r="I22" i="54" s="1"/>
  <c r="E38" i="1" s="1"/>
  <c r="I29" i="64"/>
  <c r="I30" i="64" s="1"/>
  <c r="E52" i="1" s="1"/>
  <c r="I66" i="63"/>
  <c r="I67" i="63" s="1"/>
  <c r="E51" i="1" s="1"/>
  <c r="I45" i="60"/>
  <c r="I46" i="60" s="1"/>
  <c r="E48" i="1" s="1"/>
  <c r="I30" i="58"/>
  <c r="I31" i="58" s="1"/>
  <c r="E46" i="1" s="1"/>
  <c r="I47" i="65"/>
  <c r="I71" i="59"/>
  <c r="I72" i="59" s="1"/>
  <c r="E47" i="1" s="1"/>
  <c r="I42" i="62"/>
  <c r="I43" i="62" s="1"/>
  <c r="E50" i="1" s="1"/>
  <c r="I28" i="23"/>
  <c r="I29" i="23" s="1"/>
  <c r="I63" i="31"/>
  <c r="I64" i="31" s="1"/>
  <c r="I65" i="31" s="1"/>
  <c r="I41" i="25"/>
  <c r="I40" i="25"/>
  <c r="I31" i="25"/>
  <c r="I32" i="25" s="1"/>
  <c r="I42" i="25" s="1"/>
  <c r="I43" i="25" s="1"/>
  <c r="E34" i="1" s="1"/>
  <c r="I71" i="27"/>
  <c r="I72" i="27" s="1"/>
  <c r="E31" i="1" s="1"/>
  <c r="I45" i="26"/>
  <c r="I48" i="65" l="1"/>
  <c r="I49" i="65" s="1"/>
  <c r="E53" i="1" s="1"/>
  <c r="I66" i="31"/>
  <c r="I67" i="31" s="1"/>
  <c r="E35" i="1" s="1"/>
  <c r="I46" i="26"/>
  <c r="I47" i="26" s="1"/>
  <c r="E30" i="1" s="1"/>
  <c r="I82" i="24"/>
  <c r="I47" i="33"/>
  <c r="I78" i="56"/>
  <c r="I79" i="56" s="1"/>
  <c r="I44" i="22"/>
  <c r="I45" i="22" s="1"/>
  <c r="I48" i="33" l="1"/>
  <c r="I49" i="33" s="1"/>
  <c r="E37" i="1" s="1"/>
  <c r="I83" i="24"/>
  <c r="I84" i="24" s="1"/>
  <c r="E33" i="1" s="1"/>
  <c r="I80" i="56"/>
  <c r="E44" i="1" s="1"/>
  <c r="I46" i="22"/>
  <c r="E32" i="1" s="1"/>
  <c r="D59" i="1" l="1"/>
  <c r="E58" i="1"/>
  <c r="G25" i="45"/>
  <c r="G55" i="45"/>
  <c r="G48" i="45"/>
  <c r="G44" i="45"/>
  <c r="G41" i="45"/>
  <c r="G42" i="45" s="1"/>
  <c r="G34" i="45"/>
  <c r="G30" i="45"/>
  <c r="G21" i="45"/>
  <c r="G95" i="43"/>
  <c r="G94" i="43"/>
  <c r="G93" i="43"/>
  <c r="G85" i="43"/>
  <c r="G81" i="43"/>
  <c r="G74" i="43"/>
  <c r="G70" i="43"/>
  <c r="G65" i="43"/>
  <c r="G61" i="43"/>
  <c r="G57" i="43"/>
  <c r="G51" i="43"/>
  <c r="G44" i="43"/>
  <c r="G39" i="43"/>
  <c r="G35" i="43"/>
  <c r="G31" i="43"/>
  <c r="G27" i="43"/>
  <c r="G23" i="43"/>
  <c r="G19" i="43"/>
  <c r="I57" i="28"/>
  <c r="E29" i="1" s="1"/>
  <c r="C62" i="45"/>
  <c r="C103" i="43"/>
  <c r="I30" i="23" l="1"/>
  <c r="E36" i="1" s="1"/>
  <c r="G52" i="45"/>
  <c r="G53" i="45" s="1"/>
  <c r="G78" i="43"/>
  <c r="G79" i="43" s="1"/>
  <c r="G48" i="43"/>
  <c r="G49" i="43" s="1"/>
  <c r="G92" i="43" s="1"/>
  <c r="G96" i="43" s="1"/>
  <c r="G89" i="43"/>
  <c r="G90" i="43" s="1"/>
  <c r="G38" i="45"/>
  <c r="G39" i="45" s="1"/>
  <c r="G56" i="45" s="1"/>
  <c r="G57" i="45" s="1"/>
  <c r="G58" i="45" s="1"/>
  <c r="G97" i="43" l="1"/>
  <c r="G98" i="43" s="1"/>
  <c r="G99" i="43" s="1"/>
  <c r="I77" i="29"/>
  <c r="I78" i="29" s="1"/>
  <c r="I79" i="29" l="1"/>
  <c r="I80" i="29"/>
  <c r="E28" i="1" l="1"/>
  <c r="E42" i="1" s="1"/>
  <c r="D60" i="1" l="1"/>
  <c r="D61" i="1" s="1"/>
  <c r="D62" i="1" l="1"/>
</calcChain>
</file>

<file path=xl/sharedStrings.xml><?xml version="1.0" encoding="utf-8"?>
<sst xmlns="http://schemas.openxmlformats.org/spreadsheetml/2006/main" count="4675" uniqueCount="1434">
  <si>
    <t>Руководитель проектной организации</t>
  </si>
  <si>
    <t>Главный инженер проекта</t>
  </si>
  <si>
    <t>[подпись (инициалы, фамилия)]</t>
  </si>
  <si>
    <t>Заказчик</t>
  </si>
  <si>
    <t>Проектная организация</t>
  </si>
  <si>
    <t>Начальник</t>
  </si>
  <si>
    <t>[должность, подпись (инициалы, фамилия)]</t>
  </si>
  <si>
    <t>отдела</t>
  </si>
  <si>
    <t>Сметная стоимость, руб.</t>
  </si>
  <si>
    <t>Проектный институт ООО "ЛРТ Груп"</t>
  </si>
  <si>
    <t>1</t>
  </si>
  <si>
    <t>2</t>
  </si>
  <si>
    <t>Контактная сеть трамвая. Проектная документация.</t>
  </si>
  <si>
    <t>3</t>
  </si>
  <si>
    <t>Электроснабжение и заземление остановок. Проектная  документация.</t>
  </si>
  <si>
    <t>4</t>
  </si>
  <si>
    <t>Наружное освещение. Проектная документация.</t>
  </si>
  <si>
    <t>5</t>
  </si>
  <si>
    <t>Водоотведение от трамвайных путей. Проектная документация.</t>
  </si>
  <si>
    <t>6</t>
  </si>
  <si>
    <t>7</t>
  </si>
  <si>
    <t>Система управления остановочными пунктами. Информационные пилоны и видеонаблюдение.Проектная документация.</t>
  </si>
  <si>
    <t>8</t>
  </si>
  <si>
    <t>Внешние каналы связи (Оптические линии по линейной части, поворотные камеры на опасных участках) . Проектная  документация.</t>
  </si>
  <si>
    <t>9</t>
  </si>
  <si>
    <t>Автоматизация и обогрев стрелочных переводов. Проектная документация.</t>
  </si>
  <si>
    <t>10</t>
  </si>
  <si>
    <t>11</t>
  </si>
  <si>
    <t>12</t>
  </si>
  <si>
    <t>Контактная сеть трамвая. Рабочая документация.</t>
  </si>
  <si>
    <t>13</t>
  </si>
  <si>
    <t>Электроснабжение и заземление остановок. Рабочая  документация.</t>
  </si>
  <si>
    <t>14</t>
  </si>
  <si>
    <t>Наружное освещение. Рабочая документация.</t>
  </si>
  <si>
    <t>15</t>
  </si>
  <si>
    <t>16</t>
  </si>
  <si>
    <t>17</t>
  </si>
  <si>
    <t>18</t>
  </si>
  <si>
    <t>19</t>
  </si>
  <si>
    <t/>
  </si>
  <si>
    <t>[наименование]</t>
  </si>
  <si>
    <t>Всего по смете (руб.):</t>
  </si>
  <si>
    <t>Всего по смете:</t>
  </si>
  <si>
    <t>Итого по смете:</t>
  </si>
  <si>
    <t>K1 = 1.4 При определении базовой цены проектирования в случае сокращения по просьбе заказчика, установленного в задании на проектирование, сроков проектирования по сравнению с нормативными рекомендуется применять коэффициенты: при сокращении срока в 2 и более раз МУ 2009 г. Часть III п.3.11 (Ценообразующий)</t>
  </si>
  <si>
    <t>Коэффициенты</t>
  </si>
  <si>
    <t>Расчет стоимости</t>
  </si>
  <si>
    <t>Наименование, номера глав, таблиц, параграфов и пунктов МНЗ на проектные работы</t>
  </si>
  <si>
    <t>Наименование объекта проектирования или вида проектных работ</t>
  </si>
  <si>
    <t>№ пп</t>
  </si>
  <si>
    <t>Строительство трамвайных путей и контактной сети. Участок от разворотного круга ул. Александра Невского до разворотного круга «Больница № 9» (29-я линия</t>
  </si>
  <si>
    <t>по объекту:</t>
  </si>
  <si>
    <t>на проектные (изыскательские) работы</t>
  </si>
  <si>
    <t>Смета №5П</t>
  </si>
  <si>
    <t>форма №2П, 707/пр</t>
  </si>
  <si>
    <t>«Адепт: Проект в 15.12»
© ООО «Адепт»</t>
  </si>
  <si>
    <t>Сумма от п.4</t>
  </si>
  <si>
    <t>K1 = 1.4 В случае сокращения срока в 2 и более раз по требованию застройщика (технического заказчика) продолжительности проектных работ по сравнению с установленными нормами продолжительности проектирования при определении стоимости проектных работ по ценам МНЗ на проектные работы применяется ценообразующий коэффициент Методика, 707/пр. Глава IX, п.169</t>
  </si>
  <si>
    <t>Стадия: Проектная документация Кст = 0.4</t>
  </si>
  <si>
    <t>Сооружения кабельной электрической линии напряжением до 20 кВ. Протяженность от 1000 до 3000 п.м включительно.</t>
  </si>
  <si>
    <t>Кабельные линии для  автоматизации стрелочных переводов</t>
  </si>
  <si>
    <t>Кабельные линии для обогрева  стрелочных переводов.</t>
  </si>
  <si>
    <t xml:space="preserve">«Строительство трамвайных путей и контактной сети. 
Участок от разворотного круга ул. Александра Невского до 
разворотного круга «Больница № 9» (29-я линия)»
</t>
  </si>
  <si>
    <t>Смета №9П</t>
  </si>
  <si>
    <t>форма №2П, 707/пр
к Дополнительному соглашению № 
от «_____»_______________________20_____г.</t>
  </si>
  <si>
    <t>Разделы документации (0.5% + 3.0% + 73.0% + 7.0% + 9.5% + 2.0% + 5.0%) = 100%</t>
  </si>
  <si>
    <t>K1 = 1.4 В случае сокращения срока в 2 и более раз по требованию застройщика (технического заказчика) продолжительности проектных работ по сравнению с установленными нормами продолжительности проектирования при определении стоимости проектных работ по ценам МНЗ на проектные работы применяется ценообразующий коэффициент Методика, 707/пр. Глава IX, п.169 (Ценообразующий)</t>
  </si>
  <si>
    <t>Пересечение сетей инженерно-технического обеспечения с другими подземными инженерными коммуникациями (сооружениями)</t>
  </si>
  <si>
    <t>Смета №6П</t>
  </si>
  <si>
    <t xml:space="preserve">форма №2П, 707/пр
ТЗ 
на выполнение проектно-изыскательских работ </t>
  </si>
  <si>
    <t>Сумма от п.3</t>
  </si>
  <si>
    <t>Сумма от п.2.2</t>
  </si>
  <si>
    <t>Всего Видеонаблюдение остановочных пунктов.:</t>
  </si>
  <si>
    <t>2.3</t>
  </si>
  <si>
    <t>Итого Видеонаблюдение остановочных пунктов.:</t>
  </si>
  <si>
    <t>2.2</t>
  </si>
  <si>
    <t>2.1</t>
  </si>
  <si>
    <t>Видеонаблюдение остановочных пунктов.</t>
  </si>
  <si>
    <t>Раздел</t>
  </si>
  <si>
    <t>Сумма от п.1.3</t>
  </si>
  <si>
    <t>Всего Системы управления остановочными пунктами:</t>
  </si>
  <si>
    <t>1.4</t>
  </si>
  <si>
    <t>Итого Системы управления остановочными пунктами:</t>
  </si>
  <si>
    <t>1.3</t>
  </si>
  <si>
    <t>НЗ 11.03_0-3-3.11-1-3 Таблица 3.11. п.1
A=53.1 тыс.руб; B=0.186 тыс.руб;
Осн. показ. Х=1780 (п.м) 
Количество = 1</t>
  </si>
  <si>
    <t>1.2</t>
  </si>
  <si>
    <t>K2 = 1.4 При определении базовой цены проектирования в случае сокращения по просьбе заказчика, установленного в задании на проектирование, сроков проектирования по сравнению с нормативными рекомендуется применять коэффициенты: при сокращении срока в 2 и более раз МУ 2009 г. Часть III п.3.11</t>
  </si>
  <si>
    <t>Устройство отображения: алфавитно-цифровое табло</t>
  </si>
  <si>
    <t>1.1</t>
  </si>
  <si>
    <t>Системы управления остановочными пунктами</t>
  </si>
  <si>
    <t>Смета №7П</t>
  </si>
  <si>
    <t>форма №2П, 707/пр
к Дополнительному соглашению № 
от «23» января 2024 г.</t>
  </si>
  <si>
    <t>7. Смета на строительство 5% = 3689 руб.</t>
  </si>
  <si>
    <t>6. Мероприятия по обеспечению пожарной безопасности 2% = 1476 руб.</t>
  </si>
  <si>
    <t>5. Мероприятия по охране окружающей среды 6% = 4427 руб.</t>
  </si>
  <si>
    <t>4. Проект организации строительства 6% = 4427 руб.</t>
  </si>
  <si>
    <t>3. Технологические и конструктивные решения линейного объекта. Искусственные сооружения 78.5% = 57923 руб.</t>
  </si>
  <si>
    <t>2. Проект полосы отвода 2% = 1476 руб.</t>
  </si>
  <si>
    <t>1. Пояснительная записка 0.5% = 369 руб.</t>
  </si>
  <si>
    <t>Разделы документации</t>
  </si>
  <si>
    <t>Воздушные линии электропередачи напряжением до 1 кВ. Длина от 1 до 5 км включительно.</t>
  </si>
  <si>
    <t>3. Технологические и конструктивные решения линейного объекта. Искусственные сооружения 76% = 145349 руб.</t>
  </si>
  <si>
    <t>Смета №3П</t>
  </si>
  <si>
    <t>форма №2П, 707/пр
к Дополнительному соглашению № 
от «26» июля 2023 г.</t>
  </si>
  <si>
    <t>7. Смета на строительство 5% = 24491 руб.</t>
  </si>
  <si>
    <t>6. Мероприятия по обеспечению пожарной безопасности 2% = 9796 руб.</t>
  </si>
  <si>
    <t>5. Мероприятия по охране окружающей среды 7.5% = 36737 руб.</t>
  </si>
  <si>
    <t>4. Проект организации строительства 6% = 29389 руб.</t>
  </si>
  <si>
    <t>3. Технологические и конструктивные решения линейного объекта. Искусственные сооружения 77% = 377162 руб.</t>
  </si>
  <si>
    <t>2. Проект полосы отвода 2% = 9796 руб.</t>
  </si>
  <si>
    <t>1. Пояснительная записка 0.5% = 2449 руб.</t>
  </si>
  <si>
    <t>Разделы документации (0.5% + 2.0% + 77.0% + 6.0% + 7.5% + 2.0% + 5.0%) = 100%</t>
  </si>
  <si>
    <t>НЗ 11.03_0-3-3.2-1-4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3.2. Линии наружного освещения, п.1
A=199.6 тыс.руб; B=0.082 тыс.руб;
Осн. показ. Х=5220 (п.м) 
Количество = 1</t>
  </si>
  <si>
    <t>Линия наружного освещения воздушная. Протяженность от 3000 до 6000 п.м включительно.</t>
  </si>
  <si>
    <t>7. Смета на строительство 5% = 25708 руб.</t>
  </si>
  <si>
    <t>6. Мероприятия по обеспечению пожарной безопасности 2% = 10283 руб.</t>
  </si>
  <si>
    <t>5. Мероприятия по охране окружающей среды 7.5% = 38563 руб.</t>
  </si>
  <si>
    <t>4. Проект организации строительства 6% = 30850 руб.</t>
  </si>
  <si>
    <t>3. Технологические и конструктивные решения линейного объекта. Искусственные сооружения 76% = 390769 руб.</t>
  </si>
  <si>
    <t>2. Проект полосы отвода 3% = 15425 руб.</t>
  </si>
  <si>
    <t>1. Пояснительная записка 0.5% = 2571 руб.</t>
  </si>
  <si>
    <t>Разделы документации (0.5% + 3.0% + 76.0% + 6.0% + 7.5% + 2.0% + 5.0%) = 100%</t>
  </si>
  <si>
    <t>НЗ 11.03_0-3-3.2-2-4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3.2. Линии наружного освещения, п.2
A=437.4 тыс.руб; B=0.064 тыс.руб;
Осн. показ. Х=3460 (п.м) 
Количество = 1</t>
  </si>
  <si>
    <t>Линия наружного освещения кабельная. Протяженность от 3000 до 6000 п.м включительно.</t>
  </si>
  <si>
    <t>15. Смета на строительство 5% = 9223 руб.</t>
  </si>
  <si>
    <t>14. Мероприятия по обеспечению энергетической эффективности 1% = 1845 руб.</t>
  </si>
  <si>
    <t>13. Мероприятия по обеспечению пожарной безопасности 5% = 9223 руб.</t>
  </si>
  <si>
    <t>12. Перечень мероприятий по охране окружающей среды 9% = 16602 руб.</t>
  </si>
  <si>
    <t>11. Проект организации строительства 4% = 7378 руб.</t>
  </si>
  <si>
    <t>10. Инженерное оборудование, сети, инженерно-технические мероприятия, технологические решения. Технологические решения 31% = 57183 руб.</t>
  </si>
  <si>
    <t>9. Инженерное оборудование, сети, инженерно-технические мероприятия, технологические решения. Сети связи 2% = 3689 руб.</t>
  </si>
  <si>
    <t>8. Инженерное оборудование, сети, инженерно-технические мероприятия, технологические решения. Отопление, вентиляция и кондиционирование воздуха 4% = 7378 руб.</t>
  </si>
  <si>
    <t>7. Инженерное оборудование, сети, инженерно-технические мероприятия, технологические решения. Путевое развитие 5% = 9223 руб.</t>
  </si>
  <si>
    <t>6. Инженерное оборудование, сети, инженерно-технические мероприятия, технологические решения. Система водоснабжения и водоотведения 4% = 7378 руб.</t>
  </si>
  <si>
    <t>5. Инженерное оборудование, сети, инженерно-технические мероприятия, технологические решения. Система электроснабжения 5% = 9223 руб.</t>
  </si>
  <si>
    <t>4. Конструктивные и объемно-планировочные решения 12% = 22135 руб.</t>
  </si>
  <si>
    <t>3. Архитектурные решения 9% = 16602 руб.</t>
  </si>
  <si>
    <t>2. Схема планировочной организации земельного участка 3% = 5534 руб.</t>
  </si>
  <si>
    <t>1. Пояснительная записка 1% = 1845 руб.</t>
  </si>
  <si>
    <t>Разделы документации (1.0% + 3.0% + 9.0% + 12.0% + 5.0% + 4.0% + 5.0% + 4.0% + 2.0% + 31.0% + 4.0% + 9.0% + 5.0% + 1.0% + 5.0%) = 100%</t>
  </si>
  <si>
    <t>СБЦП 81-02-09-2001_0-0-23-3.5 Справочник базовых цен на проектные работы в строительстве "Железные дороги". Таблица 23. Отдельные виды работ на станциях, п.3.5
A=5.32 тыс.руб.; 
Количество = 21 (1 объект)</t>
  </si>
  <si>
    <t>Электрическое наружное освещение. Остановочный пункт</t>
  </si>
  <si>
    <t>Смета №4П</t>
  </si>
  <si>
    <t>10. Смета на строительство 7% = 1299 руб.</t>
  </si>
  <si>
    <t>9. Мероприятия по обеспечению доступа инвалидов 2% = 371 руб.</t>
  </si>
  <si>
    <t>8. Мероприятия по обеспечению пожарной безопасности 6% = 1113 руб.</t>
  </si>
  <si>
    <t>7. Охрана окружающей среды (ООС) 7% = 1299 руб.</t>
  </si>
  <si>
    <t>6. Проект организация строительства 6% = 1113 руб.</t>
  </si>
  <si>
    <t>5.7. Технологические решения 5% [из 37%] = 928 руб.</t>
  </si>
  <si>
    <t>5.6. Газоснабжение 2% [из 37%] = 371 руб.</t>
  </si>
  <si>
    <t>5.5. Связь 3% [из 37%] = 557 руб.</t>
  </si>
  <si>
    <t>5.4. Отопление, вентиляция, кондиционирование воздуха 12% [из 37%] = 2226 руб.</t>
  </si>
  <si>
    <t>5.3. Водоотведение 4% [из 37%] = 742 руб.</t>
  </si>
  <si>
    <t>5.2. Водоснабжение 4% [из 37%] = 742 руб.</t>
  </si>
  <si>
    <t>5.1. Электроснабжение 7% [из 37%] = 1299 руб.</t>
  </si>
  <si>
    <t>5. Инженерное оборудование, сети инженерно-технические мероприятия, технологические решения 37% = 6865 руб.</t>
  </si>
  <si>
    <t>4. Конструктивные и объемно-планировочные решения 15% = 2783 руб.</t>
  </si>
  <si>
    <t>3. Архитектурные решения 14% = 2598 руб.</t>
  </si>
  <si>
    <t>2. Схема планировочной организации земельного участка 4% = 742 руб.</t>
  </si>
  <si>
    <t>1. Пояснительная записка 2% = 371 руб.</t>
  </si>
  <si>
    <t>K2 = 1.1 При проектировании объектов в городах с населением от 500 тысяч человек до 1 миллиона человек к ценам применяется коэффициент Глава 2.11, п.2.11.4 (Ценообразующий)</t>
  </si>
  <si>
    <t>СБЦП 81-02-03-2001_0-2.11-36-3 Объекты жилищно-гражданского строительства. 2010 г. Раздел 4. Таблица 36. Контактные сети и транспортные узлы троллейбусных и трамвайных линий, п.3
B=5.02 тыс.руб;
Осн. показ. Х=1 (1 спецчасть) 
Количество = 6</t>
  </si>
  <si>
    <t>Транспортные узлы контактной сети троллейбусных и трамвайных линий. Количество спецчастей в узле от 1 до 4.</t>
  </si>
  <si>
    <t>Смета №2П</t>
  </si>
  <si>
    <t>Сумма от п.2</t>
  </si>
  <si>
    <t>Сумма от п.1.5</t>
  </si>
  <si>
    <t>1.6</t>
  </si>
  <si>
    <t>1.5</t>
  </si>
  <si>
    <t>9. Смета на строительство 5% = 7037 руб.</t>
  </si>
  <si>
    <t>8. Мероприятия по обеспечению пожарной безопасности 3% = 4222 руб.</t>
  </si>
  <si>
    <t>7. Мероприятия по охране окружающей среды 9% = 12667 руб.</t>
  </si>
  <si>
    <t>6. Проект организации работ по сносу (демонтажу) 1% = 1407 руб.</t>
  </si>
  <si>
    <t>5. Проект организации строительства 2% = 2815 руб.</t>
  </si>
  <si>
    <t>4. Здания и сооружения, входящие в инфраструктуру объекта 6% = 8445 руб.</t>
  </si>
  <si>
    <t>3.7. Связь, сигнализация, АСУ 1.5% [из 70%] = 2111 руб.</t>
  </si>
  <si>
    <t>3.6. Водоснабжение и водоотведение 2.5% [из 70%] = 3519 руб.</t>
  </si>
  <si>
    <t>3.5. Электроснабжение 10% [из 70%] = 14074 руб.</t>
  </si>
  <si>
    <t>3.4. Обустройство 2.5% [из 70%] = 3519 руб.</t>
  </si>
  <si>
    <t>3.3. Искусственные сооружения 1.5% [из 70%] = 2111 руб.</t>
  </si>
  <si>
    <t>3.2. Конструктивные решения 27.5% [из 70%] = 38705 руб.</t>
  </si>
  <si>
    <t>3.1. Технологические решения 24.5% [из 70%] = 34482 руб.</t>
  </si>
  <si>
    <t>3. Технологические и конструктивные решения линейного объекта. Искусственные сооружения (инженерное обустройство, сети) 70% = 98521 руб.</t>
  </si>
  <si>
    <t>2. Проект полосы отвода 2% = 2815 руб.</t>
  </si>
  <si>
    <t>1. Пояснительная записка 2% = 2815 руб.</t>
  </si>
  <si>
    <t>7. Иная документация 0% = 0 руб.</t>
  </si>
  <si>
    <t>6. Мероприятия по обеспечению пожарной безопасности 3% = 2667 руб.</t>
  </si>
  <si>
    <t>5. Проект организации работ по сносу (демонтажу) линейного объекта 1% = 889 руб.</t>
  </si>
  <si>
    <t>4. Проект организации строительства 2% = 1778 руб.</t>
  </si>
  <si>
    <t>3. Здания, строения и сооружения, входящие в инфраструктуру объекта 6% = 5333 руб.</t>
  </si>
  <si>
    <t>2. Технологические и Конструктивные и объемно-планировочные решения линейного объекта. Искусственные сооружения 70% = 62219 руб.</t>
  </si>
  <si>
    <t>1. Пояснительная записка 2% = 1778 руб.</t>
  </si>
  <si>
    <t>K2 = 1.1 При проектировании объектов в городах с населением от 500 тысяч человек до 1 миллиона человек к ценам применяется коэффициент Глава 2.11, п.2.11.4</t>
  </si>
  <si>
    <t>K1 = 1.4 При определении базовой цены проектирования в случае сокращения по просьбе заказчика, установленного в задании на проектирование, сроков проектирования по сравнению с нормативными рекомендуется применять коэффициенты: при сокращении срока в 2 и более раз МУ 2009 г. Часть III п.3.11</t>
  </si>
  <si>
    <t>9. Смета на строительство 5% = 17364 руб.</t>
  </si>
  <si>
    <t>8. Мероприятия по обеспечению пожарной безопасности 3% = 10418 руб.</t>
  </si>
  <si>
    <t>7. Охрана окружающей среды (ООС) 9% = 31255 руб.</t>
  </si>
  <si>
    <t>6. Проект организации работ по сносу (демонтажу) линейного объекта 1% = 3473 руб.</t>
  </si>
  <si>
    <t>5. Проект организации строительства 2% = 6946 руб.</t>
  </si>
  <si>
    <t>4. Здания, строения и сооружения, входящие в инфраструктуру объекта 6% = 20837 руб.</t>
  </si>
  <si>
    <t>3. Технологические и Конструктивные и объемно-планировочные решения линейного объекта. Искусственные сооружения 70% = 243095 руб.</t>
  </si>
  <si>
    <t>2. Проект полосы отвода 2% = 6946 руб.</t>
  </si>
  <si>
    <t>1. Пояснительная записка 2% = 6946 руб.</t>
  </si>
  <si>
    <t>«Строительство трамвайных путей и контактной сети. г. Ярославль.
 Проектная  документация.</t>
  </si>
  <si>
    <t xml:space="preserve">Участок от разворотного круга ул. Александра Невского до 
разворотного круга «Больница № 9» (29-я линия)»
</t>
  </si>
  <si>
    <t>Смета №1П</t>
  </si>
  <si>
    <t>Стадия: Рабочая документация Кст = 0.6</t>
  </si>
  <si>
    <t>Всего Оптические линии по линейной части.:</t>
  </si>
  <si>
    <t>Итого Оптические линии по линейной части.:</t>
  </si>
  <si>
    <t>Оптические линии по линейной части.</t>
  </si>
  <si>
    <t>Смета №8П</t>
  </si>
  <si>
    <t>15. Смета на строительство 5% = 24320 руб.</t>
  </si>
  <si>
    <t>14. Мероприятия по обеспечению энергетической эффективности 1% = 4864 руб.</t>
  </si>
  <si>
    <t>13. Мероприятия по обеспечению пожарной безопасности 5% = 24320 руб.</t>
  </si>
  <si>
    <t>12. Перечень мероприятий по охране окружающей среды 9% = 43777 руб.</t>
  </si>
  <si>
    <t>11. Проект организации строительства 4% = 19456 руб.</t>
  </si>
  <si>
    <t>10. Инженерное оборудование, сети, инженерно-технические мероприятия, технологические решения. Технологические решения 31% = 150787 руб.</t>
  </si>
  <si>
    <t>9. Инженерное оборудование, сети, инженерно-технические мероприятия, технологические решения. Сети связи 2% = 9728 руб.</t>
  </si>
  <si>
    <t>8. Инженерное оборудование, сети, инженерно-технические мероприятия, технологические решения. Отопление, вентиляция и кондиционирование воздуха 4% = 19456 руб.</t>
  </si>
  <si>
    <t>7. Инженерное оборудование, сети, инженерно-технические мероприятия, технологические решения. Путевое развитие 5% = 24320 руб.</t>
  </si>
  <si>
    <t>6. Инженерное оборудование, сети, инженерно-технические мероприятия, технологические решения. Системы водоснабжения и водоотведения 4% = 19456 руб.</t>
  </si>
  <si>
    <t>5. Инженерное оборудование, сети, инженерно-технические мероприятия, технологические решения. Система электроснабжения 5% = 24320 руб.</t>
  </si>
  <si>
    <t>4. Конструктивные и объемно-планировочные решения 12% = 58369 руб.</t>
  </si>
  <si>
    <t>3. Архитектурные решения 9% = 43777 руб.</t>
  </si>
  <si>
    <t>2. Схема планировочной организации земельного участка 3% = 14592 руб.</t>
  </si>
  <si>
    <t>1. Пояснительная записка 1% = 4864 руб.</t>
  </si>
  <si>
    <t>СБЦП 81-02-09-2001_0-0-7-5.1 Таблица 7. п.5.1
A=48.5 тыс.руб; B=0.03 тыс.руб;
Xмин=150; 
Осн. показ. Х=6 (10 м2) 
Количество = 21</t>
  </si>
  <si>
    <t>Пассажирские здания, турникетно-кассовые павильоны, навесы и платформы. Платформы низкие пассажирские или грузовые. Платформы низкие пассажирские или грузовые площадью до 1500 м2.</t>
  </si>
  <si>
    <t>Смета № 10П</t>
  </si>
  <si>
    <t>ООО "ЕДСО"</t>
  </si>
  <si>
    <t xml:space="preserve"> 493 675 (Четыреста девяносто три тысячи шестьсот семьдесят пять рублей, 00 копеек)</t>
  </si>
  <si>
    <t>1 345 191 (Один миллион триста сорок пять тысяч сто девяносто один рубль, 00 копеек)</t>
  </si>
  <si>
    <t>1 169 453 (Один миллион сто шестьдесят девять тысяч четыреста пятьдесят три рубля, 00 копеек)</t>
  </si>
  <si>
    <t xml:space="preserve"> 355 148 (Триста пятьдесят пять тысяч сто сорок восемь рублей, 00 копеек)</t>
  </si>
  <si>
    <t>СБЦП 81-02-03-2001_0-2.11-35-1 Таблица 35 п.1
B=98.56 тыс.руб;
Осн. показ. Х=5.49 (км) 
Количество = 1</t>
  </si>
  <si>
    <t>СБЦП 81-02-03-2001_0-2.11-35-1 Таблица 35 п.1
B=98.56 тыс.руб;
Осн. показ. Х=4.71 (км) 
Количество = 1</t>
  </si>
  <si>
    <t>Итого Строительство трамвайных путей -10,2
 км. о.п.:</t>
  </si>
  <si>
    <t>Всего Строительство трамвайных путей -10,2
 км. о.п.:</t>
  </si>
  <si>
    <t>Наземная линия скоростного трамвая протяженностью одиночного пути, км
5,49 км.о.п. - протяженность трамвайного пути в одну сторону)</t>
  </si>
  <si>
    <t>Наземная линия скоростного трамвая протяженностью одиночного пути, км
4,71 км.о.п. - протяженность второго пути рядом с первым(в обратную сторону).</t>
  </si>
  <si>
    <t>1. Пояснительная записка 2%</t>
  </si>
  <si>
    <t xml:space="preserve">2. Схема планировочной организации земельного участка 4% </t>
  </si>
  <si>
    <t>3. Архитектурные решения 14%</t>
  </si>
  <si>
    <t xml:space="preserve">4. Конструктивные и объемно-планировочные решения 15% </t>
  </si>
  <si>
    <t>5. Инженерное оборудование, сети инженерно-технические мероприятия, технологические решения 37%</t>
  </si>
  <si>
    <t xml:space="preserve">5.1. Электроснабжение 7% [из 37%] </t>
  </si>
  <si>
    <t xml:space="preserve">5.2. Водоснабжение 4% [из 37%] = </t>
  </si>
  <si>
    <t xml:space="preserve">5.3. Водоотведение 4% [из 37%] = </t>
  </si>
  <si>
    <t>5.4. Отопление, вентиляция, кондиционирование воздуха 12% [из 37%]</t>
  </si>
  <si>
    <t xml:space="preserve">5.5. Связь 3% [из 37%] </t>
  </si>
  <si>
    <t xml:space="preserve">5.6. Газоснабжение 2% [из 37%] </t>
  </si>
  <si>
    <t xml:space="preserve">5.7. Технологические решения 5% [из 37%] </t>
  </si>
  <si>
    <t xml:space="preserve">6. Проект организация строительства 6% </t>
  </si>
  <si>
    <t xml:space="preserve">7. Охрана окружающей среды (ООС) 7% </t>
  </si>
  <si>
    <t xml:space="preserve">8. Мероприятия по обеспечению пожарной безопасности 6% </t>
  </si>
  <si>
    <t xml:space="preserve">9. Мероприятия по обеспечению доступа инвалидов 2% </t>
  </si>
  <si>
    <t xml:space="preserve">10. Смета на строительство 7% </t>
  </si>
  <si>
    <t xml:space="preserve">3. Архитектурные решения 14% </t>
  </si>
  <si>
    <t>4. Конструктивные и объемно-планировочные решения 15%</t>
  </si>
  <si>
    <t xml:space="preserve">5. Инженерное оборудование, сети инженерно-технические мероприятия, технологические решения 37% </t>
  </si>
  <si>
    <t xml:space="preserve">5.4. Отопление, вентиляция, кондиционирование воздуха 12% [из 37%] </t>
  </si>
  <si>
    <t>5.7. Технологические решения 5% [из 37%]</t>
  </si>
  <si>
    <t>7. Охрана окружающей среды (ООС) 7%</t>
  </si>
  <si>
    <t>НЗ 11.03_0-3-3.16-1-1 Таблица 3.16. п.1
A=21.2 тыс.руб; B=30.176 тыс.руб;
Осн. показ. Х=3.429 (км) 
Количество = 1</t>
  </si>
  <si>
    <t>1. Пояснительная записка 0.5%</t>
  </si>
  <si>
    <t xml:space="preserve">4. Проект организации строительства 6% </t>
  </si>
  <si>
    <t>7. Смета на строительство 5%</t>
  </si>
  <si>
    <t xml:space="preserve">2. Проект полосы отвода 3% </t>
  </si>
  <si>
    <t>НЗ 11.03_0-3-3.11-1-3 Таблица 3.11. п.1
A=53.1 тыс.руб; B=0.186 тыс.руб;
Осн. показ. Х=1236 (п.м) 
Количество = 1</t>
  </si>
  <si>
    <t>НЗ 11.03_0-3-3.11-1-3 Таблица 3.11. п.1
A=53.1 тыс.руб; B=0.186 тыс.руб;
Осн. показ. Х=1784 (п.м) 
Количество = 1</t>
  </si>
  <si>
    <t>Строительство трамвайных путей -10,2
 км. о.п.</t>
  </si>
  <si>
    <t>«Адепт: Проект в 15.8»
© ООО «Адепт»</t>
  </si>
  <si>
    <t>форма №2П
от 24.08.2023г</t>
  </si>
  <si>
    <t>на инженерно-геодезические изыскания</t>
  </si>
  <si>
    <t>Наименование объекта изысканий:</t>
  </si>
  <si>
    <t xml:space="preserve"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Этап-2. </t>
  </si>
  <si>
    <t>Заказчик:</t>
  </si>
  <si>
    <t xml:space="preserve">Подрядчик: </t>
  </si>
  <si>
    <t>Сметный расчет составлен в ценах II кв. 2023 г.</t>
  </si>
  <si>
    <t>Наименование работ и затрат</t>
  </si>
  <si>
    <t>Обоснование стоимости</t>
  </si>
  <si>
    <t>Стоимость, руб.</t>
  </si>
  <si>
    <t>Полевые работы</t>
  </si>
  <si>
    <t>Стадия: Изыскания</t>
  </si>
  <si>
    <t>Разделы документации (100%) = 100%</t>
  </si>
  <si>
    <t>(100%) = 100%</t>
  </si>
  <si>
    <t>Итого Полевые работы:</t>
  </si>
  <si>
    <t>Всего Полевые работы:</t>
  </si>
  <si>
    <t>Лабораторные работы</t>
  </si>
  <si>
    <t>Итого Лабораторные работы:</t>
  </si>
  <si>
    <t>Всего Лабораторные работы:</t>
  </si>
  <si>
    <t>Сумма от п.2.1</t>
  </si>
  <si>
    <t>Камеральные работы</t>
  </si>
  <si>
    <t>3.1</t>
  </si>
  <si>
    <t>3.2</t>
  </si>
  <si>
    <t>3.3</t>
  </si>
  <si>
    <t>Итого Камеральные работы:</t>
  </si>
  <si>
    <t>3.4</t>
  </si>
  <si>
    <t>Всего Камеральные работы:</t>
  </si>
  <si>
    <t>Сумма от п.3.3</t>
  </si>
  <si>
    <t>Прочие расходы</t>
  </si>
  <si>
    <t>4.1</t>
  </si>
  <si>
    <t>Надбавки за выполнение полевых работ и выполняемых в условиях полевого лагеря камеральных работ в неблагоприятный период года Продолжительность неблагоприятного периода года 6-7.5 мес</t>
  </si>
  <si>
    <t>О.у. п.8г табл 2</t>
  </si>
  <si>
    <t>4.2</t>
  </si>
  <si>
    <t>О.у. п.9 табл 4</t>
  </si>
  <si>
    <t>4.3</t>
  </si>
  <si>
    <t>Расходы по внешнему транспорту. Расстояние проезда и перевозки в одном направлении св.100 до 300 км Продолжительность экспедиции до 1 мес</t>
  </si>
  <si>
    <t>О.у. п.10 табл 5</t>
  </si>
  <si>
    <t>4.4</t>
  </si>
  <si>
    <t>Расходы по организации и ликвидации работ</t>
  </si>
  <si>
    <t>О.у. п.13</t>
  </si>
  <si>
    <t>4.5</t>
  </si>
  <si>
    <t>Всего Прочие расходы:</t>
  </si>
  <si>
    <t>Сумма от п.4.1-4.4</t>
  </si>
  <si>
    <t>Письмо Минстроя России от 02.05.2023 №24756-ИФ/09</t>
  </si>
  <si>
    <t>Сумма от п.6</t>
  </si>
  <si>
    <t xml:space="preserve">Смета №2И </t>
  </si>
  <si>
    <t>Сметный расчет составлен по следующим документам: Справочник базовых цен на инженерно-геологические и инженерно-экологические изыскания для строительства. 1999 г., Сборник цен на изыскательские работы для капитального строительства. 1981г.(кроме Главы16 и Главы 20)</t>
  </si>
  <si>
    <t xml:space="preserve">Сметный расчет составлен в ценах II кв. </t>
  </si>
  <si>
    <t>Инженерно-геологическая, гидрогеологическая рекогносцировка при проходимости: удовлетворительной. Категория сложности II</t>
  </si>
  <si>
    <t>СБЦи5.2_0-1-9-2-2-1 Инженерно-геологические и инженерно-экологические изыскания для строительства. 1999 г. Глава 1. Инженерно-геологическое, инженерно-гидрогеологическое и инженерно-экологическое рекогносцировочное (маршрутное) обследование Таблица 9. Рекогносцировочное обследование п.2
A=27 руб; 
Количество = 4.6 (1 км маршрута)</t>
  </si>
  <si>
    <t>A * Количество
27 руб * 4.6</t>
  </si>
  <si>
    <t>Плановая и высотная привязка при расстоянии между геологическими выработками или точками, м: св. 100 до 200. Категория сложности II</t>
  </si>
  <si>
    <t>СБЦи5.2_0-25-93-3-2 Инженерно-геологические и инженерно-экологические. 1999 г. Глава 25. Геодезические работы Таблица 93. Цены на плановую и высотную привязку отдельных точек. п.3
A=14.4 руб; 
Количество = 12 (1 выработка (точка))</t>
  </si>
  <si>
    <t>A * Количество
14.4 руб * 12</t>
  </si>
  <si>
    <t>Бурение скважины механическим ударно-канатным способом, диаметром свыше 127 до 168 мм, глубиной, м: до 20. Категория породы III</t>
  </si>
  <si>
    <t>СБЦи5.2_0-5-19-2-3 Инженерно-геологические и инженерно-экологические изыскания для строительства. 1999 г. Глава 5. Механическое ударно-канатное бурение Таблица 19. Бурение скважин механическим ударно-канатным способом. п.2
A=29.2 руб; 
Количество = 90 (1 м)</t>
  </si>
  <si>
    <t>A * Количество
29.2 руб * 90</t>
  </si>
  <si>
    <t>Отбор монолитов с глубины, м: до 10. Из буровых скважин (связные грунты)</t>
  </si>
  <si>
    <t>СБЦи5.2_0-16-57-1-1 Инженерно-геологические и инженерно-экологические изыскания для строительства. 1999 г. Глава 16. Отбор проб Таблица 57. Цены на отбор монолитов связных и несвязных грунтов для лабораторных исследований из буровых скважин, горных выработок и котлованов. п.1
A=22.9 руб; 
Количество = 26 (1 монолит)</t>
  </si>
  <si>
    <t>A * Количество
22.9 руб * 26</t>
  </si>
  <si>
    <t>Отбор точечных проб для анализа на загрязненность по химическим показателям:почво-грунтов (методами конверта, по диагонали и т.п.)</t>
  </si>
  <si>
    <t>СБЦи5.2_0-16-60-7 Инженерно-геологические и инженерно-экологические изыскания для строительства. 1999 г. Глава 16. Отбор проб Таблица 60. Цены на отбор проб воды, льда, снега, донных отложений, почво-грунтов, воздуха почвенного (грунтового) и приземной атмосферы для анализов на загрязненность по химическим и бактериологическим (микробиологическим и гидробиологическим) показателям. п.7
A=6.9 руб; 
Количество = 6 ( проба)</t>
  </si>
  <si>
    <t>A * Количество
6.9 руб * 6</t>
  </si>
  <si>
    <t>Отбор точечных проб для анализа на загрязненность по химическим показателям:воды с поверхности</t>
  </si>
  <si>
    <t>СБЦи5.2_0-16-60-1 Инженерно-геологические и инженерно-экологические изыскания для строительства. 1999 г. Глава 16. Отбор проб Таблица 60. Цены на отбор проб воды, льда, снега, донных отложений, почво-грунтов, воздуха почвенного (грунтового) и приземной атмосферы для анализов на загрязненность по химическим и бактериологическим (микробиологическим и гидробиологическим) показателям. п.1
A=4.6 руб; 
Количество = 3 (1проба)</t>
  </si>
  <si>
    <t>A * Количество
4.6 руб * 3</t>
  </si>
  <si>
    <t>1.7</t>
  </si>
  <si>
    <t>Статическое зондирование грунтов непрерывным вдавливанием зонда со скоростью не свыше 1м/мин.Глубина зондирования, м: до 10</t>
  </si>
  <si>
    <t>СБЦи5.2_0-15-45-5-1 Инженерно-геологические и инженерно-экологические изыскания для строительства. 1999 г. Глава 15. Полевые исследования грунтов Таблица 45. Цены на динамическое и статическое зондирование грунтов. п.5
A=128.3 руб; 
Количество = 6 (1 испытание)</t>
  </si>
  <si>
    <t>A * Количество
128.3 руб * 6</t>
  </si>
  <si>
    <t>1.8</t>
  </si>
  <si>
    <t>1.9</t>
  </si>
  <si>
    <t>Сумма от п.1.8</t>
  </si>
  <si>
    <t>Комплексные исследования физико-механических свойств глинистых грунтов. Полный комплекс физико-механических свойств грунта нарушенной структуры с заданной влажностью и плотностью сухого грунта, с определением сопротивления грунту срезу (консолидированный срез) и компрессионными испытаниями с нагрузкой до 2,5 МПа. Гидроскопическая влажность, границы текучести и раскатывания, плотность частиц грунта. Гранулометрический анализ ситовым методом и методом ареометра. Сопротивление срезу с нагрузками до 2,5 МПа - 8 точек. Влажность и плотность до и после опыта. Показатели сжимаемости по одной ветви с нагрузкой до 0,6 МПа - 9 точек с наблюдением за консолидацией. Плотность и влажность до и после опыта</t>
  </si>
  <si>
    <t>СБЦи5.2_0-17-63-29 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63. Цены на комплексные исследования физико-механических свойств глинистых грунтов. п.29
A=353.6 руб; 
Количество = 22 (1 образец)</t>
  </si>
  <si>
    <t>A * Количество
353.6 руб * 22</t>
  </si>
  <si>
    <t>Определение физико-механических свойств глинистых грунтов. Наблюдения за консолидацией при компрессорных испытаниях под нагрузкой не выше 2,5 МПа (одна точка)</t>
  </si>
  <si>
    <t>СБЦи5.2_0-17-62-33 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62. Цены на единичные определения физико-механических свойств глинистых грунтов. п.33
A=8.7 руб; 
Количество = 15 (1 образец)</t>
  </si>
  <si>
    <t>A * Количество
8.7 руб * 15</t>
  </si>
  <si>
    <t>Определения физико-механических свойств песчаных грунтов. Гранулометрический анализ ситовым методом с разделением на фракции от 10 до 0,1 мм</t>
  </si>
  <si>
    <t>СБЦи5.2_0-17-64-11 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64. Цены на единичные определения физико-механических свойств песчаных грунтов. п.11
A=13.7 руб; 
Количество = 4 (1 образец)</t>
  </si>
  <si>
    <t>A * Количество
13.7 руб * 4</t>
  </si>
  <si>
    <t>2.4</t>
  </si>
  <si>
    <t>Определения физико-механических свойств песчаных грунтов. Влажность</t>
  </si>
  <si>
    <t>СБЦи5.2_0-17-64-1 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64. Цены на единичные определения физико-механических свойств песчаных грунтов. п.1
A=1.9 руб; 
Количество = 2 (1 образец)</t>
  </si>
  <si>
    <t>A * Количество
1.9 руб * 2</t>
  </si>
  <si>
    <t>2.5</t>
  </si>
  <si>
    <t>Определение коррозионной  активности грунта по отношению к стали по поляризационным кривым</t>
  </si>
  <si>
    <t>СиЦ5.41-306-001 Сборник цен на изыскательские работы для капитального строительства. Часть IV. Глава 17. Таблица 306. Прочие виды анализов. Исследования коррозионной активности грунтов п.1
A=0.001 тыс.руб.; 
Количество = 3 (1 проба)</t>
  </si>
  <si>
    <t>A * Количество
1 руб * 3</t>
  </si>
  <si>
    <t>2.6</t>
  </si>
  <si>
    <t>Определения химического состава воды. Определение 1 химического элемента</t>
  </si>
  <si>
    <t>СБЦи5.2_0-18-72-92 Инженерно-геологические и инженерно-экологические изыскания для строительства. 1999 г. Глава 18. Единичные определения и комплексные исследования химического состава грунтов (почв) и воды Таблица 72. Цены на единичные определения химического состава воды. п.92
A=147.1 руб; 
Количество = 3 (1 проба)</t>
  </si>
  <si>
    <t>A * Количество
147.1 руб * 3</t>
  </si>
  <si>
    <t>2.7</t>
  </si>
  <si>
    <t>2.8</t>
  </si>
  <si>
    <t>Сумма от п.2.7</t>
  </si>
  <si>
    <t>СБЦи5.2_0-1-9-2-2-2 Инженерно-геологические и инженерно-экологические изыскания для строительства. 1999 г. Глава 1. Инженерно-геологическое, инженерно-гидрогеологическое и инженерно-экологическое рекогносцировочное (маршрутное) обследование Таблица 9. Рекогносцировочное обследование п.2
A=18.5 руб; 
Количество = 4.6 (1 км маршрута)</t>
  </si>
  <si>
    <t>A * Количество
18.5 руб * 4.6</t>
  </si>
  <si>
    <t>Камеральная обработка полевого испытания грунтов на сдвиг прибором вращательного среза</t>
  </si>
  <si>
    <t>СБЦи5.2_0-21-83-4 Инженерно-геологические и инженерно-экологические. 1999 г. Глава 21. Камеральная обработка материалов полевых и лабораторных работ Таблица 83. Цены на камеральную обработку материалов полевых опытных испытаний грунтов. п.4
A=8.1 руб; 
Количество = 25 (1 испытание)</t>
  </si>
  <si>
    <t>A * Количество
8.1 руб * 25</t>
  </si>
  <si>
    <t>Коэф - т 0.3 от п.1.9</t>
  </si>
  <si>
    <t>Расходы по внутреннему транспорту. Расстояние от базы до участка изысканий до 5 км. Сметная стоимость полевых изыск.работ до 75 тыс.руб</t>
  </si>
  <si>
    <t>8.75% от п.1.9, 4.1</t>
  </si>
  <si>
    <t>19.6% от п.1.9, 4.1 - 4.2</t>
  </si>
  <si>
    <t>Расходы по организации и ликвидации работ с учетом коэффициента для изысканий со сметной стоимостью до 30 тыс. руб. (К=2.5)</t>
  </si>
  <si>
    <t>Коэф - т 2.5 и 6% от п.1.9, 4.1 - 4.2</t>
  </si>
  <si>
    <t>Индекс на II квартал 2023 года на изыскательские работы к уровню цен на 01.01.1991</t>
  </si>
  <si>
    <t>Коэф - т 62.19 от п.5</t>
  </si>
  <si>
    <t>на инженерно-гидрометеорологические изыскания</t>
  </si>
  <si>
    <t>Систематизация собранных материалов и данных метеорологических наблюдений. Подбор станций или постов с оценкой качества материалов наблюдений и степени их репрезентативности</t>
  </si>
  <si>
    <t>3.5</t>
  </si>
  <si>
    <t>3.6</t>
  </si>
  <si>
    <t>3.7</t>
  </si>
  <si>
    <t>3.8</t>
  </si>
  <si>
    <t>Составление технического отчета. Стоимость камеральных работ св. 500 до 1000 руб. Изученная</t>
  </si>
  <si>
    <t>форма №2П
от 24.08.2023г
к Договору  от 24.08.2023 г.</t>
  </si>
  <si>
    <t>Смета №4И</t>
  </si>
  <si>
    <t>на инженерно-экологические изыскания</t>
  </si>
  <si>
    <t>Инженерно-экологические изыскания. Этап-2</t>
  </si>
  <si>
    <t>Сметный расчет составлен по следующим документам: Справочник базовых цен на инженерно-геологические и инженерно-экологические изыскания для строительства. 1999 г.</t>
  </si>
  <si>
    <t>Инженерно-геологические и инженерно-экологические изыскания для строительства. 1999 г. Глава 1. Инженерно-геологическое, инженерно-гидрогеологическое и инженерно-экологическое рекогносцировочное (маршрутное) обследование Таблица 9. Рекогносцировочное обследование п.2
A=27 руб; 
Количество = 5.5 (1 км маршрута)</t>
  </si>
  <si>
    <t>A * Количество
27 руб * 5.5</t>
  </si>
  <si>
    <t>Отбор проб для бактериологического анализа:почво-грунтов с одной пробной площадки</t>
  </si>
  <si>
    <t>Инженерно-геологические и инженерно-экологические изыскания для строительства. 1999 г. Глава 16. Отбор проб Таблица 60. Цены на отбор проб воды, льда, снега, донных отложений, почво-грунтов, воздуха почвенного (грунтового) и приземной атмосферы для анализов на загрязненность по химическим и бактериологическим (микробиологическим и гидробиологическим) показателям. п.10
A=37.7 руб; 
Количество = 30 (1 проба)</t>
  </si>
  <si>
    <t>A * Количество
37.7 руб * 30</t>
  </si>
  <si>
    <t>Измерение потока радона на участке.</t>
  </si>
  <si>
    <t>Инженерно-геологические и инженерно-экологические. 1999 г. Глава 24. Радиометрические работы Таблица 91. Цены на определение плотности потока радона. п.1
A=535 руб; 
Количество = 4 (20 точек)</t>
  </si>
  <si>
    <t>A * Количество
535 руб * 4</t>
  </si>
  <si>
    <t>Инженерно-геологические и инженерно-экологические изыскания для строительства. 1999 г. Глава 1. Инженерно-геологическое, инженерно-гидрогеологическое и инженерно-экологическое рекогносцировочное (маршрутное) обследование Таблица 9. Рекогносцировочное обследование п.2
A=18.5 руб; 
Количество = 5.5 (1 км маршрута)</t>
  </si>
  <si>
    <t>A * Количество
18.5 руб * 5.5</t>
  </si>
  <si>
    <t>Инженерно-геологические и инженерно-экологические. 1999 г. Глава 24. Радиометрические работы Таблица 91. Цены на определение плотности потока радона. п.1
A=161 руб; 
Количество = 4 (20 точек)</t>
  </si>
  <si>
    <t>A * Количество
161 руб * 4</t>
  </si>
  <si>
    <t>Сумма от п.</t>
  </si>
  <si>
    <t>Индекс на 4 квартал 2023 года на изыскательские работы к уровню цен на 01.01.1991</t>
  </si>
  <si>
    <t>Коэф - т 64,89 от п.5</t>
  </si>
  <si>
    <t xml:space="preserve">Письмо Минстроя России </t>
  </si>
  <si>
    <t>Инженерно-геологические и инженерно-экологические изыскания для строительства. 1999 г. Глава 16. Отбор проб Таблица 60. Цены на отбор проб воды, льда, снега, донных отложений, почво-грунтов, воздуха почвенного (грунтового) и приземной атмосферы для анализов на загрязненность по химическим и бактериологическим (микробиологическим и гидробиологическим) показателям. п.1
A=4.6 руб; 
Количество = 6 (1 проба)</t>
  </si>
  <si>
    <t>A * Количество
4.6 руб * 6</t>
  </si>
  <si>
    <t>на инженерно-геологические изыскания</t>
  </si>
  <si>
    <t>Кольцевой дренаж. Длина свыше 1000 м.</t>
  </si>
  <si>
    <t>НЗ 11.03_0-3-3.11-1-3 Таблица 3.11. п.1
A=53.1 тыс.руб; B=0.186 тыс.руб;
Осн. показ. Х=2800 (п.м) 
Количество = 1</t>
  </si>
  <si>
    <t xml:space="preserve">5. Мероприятия по охране окружающей среды 7.5% </t>
  </si>
  <si>
    <t>6. Мероприятия по обеспечению пожарной безопасности 2%</t>
  </si>
  <si>
    <t>«Адепт: Проект в 15.9»
© ООО «Адепт»</t>
  </si>
  <si>
    <t>форма №2П, 707/пр
от 12.10.2023г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</si>
  <si>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Этап-2.</t>
  </si>
  <si>
    <t>Проект организации дорожного движения на период строительства</t>
  </si>
  <si>
    <t>«Адепт: Проект в 15.8» © ООО «Адепт»</t>
  </si>
  <si>
    <t>на проектные и изыскательские работы</t>
  </si>
  <si>
    <t>По объекту:</t>
  </si>
  <si>
    <t xml:space="preserve">Наименование проектной организации- генерального проектировщика </t>
  </si>
  <si>
    <t xml:space="preserve">Наименование организации заказчика </t>
  </si>
  <si>
    <t>№п/п</t>
  </si>
  <si>
    <t>Перечень выполняемых работ</t>
  </si>
  <si>
    <t>Полная стоимость работ, руб.</t>
  </si>
  <si>
    <t xml:space="preserve">Реконструкция трамвайных путей. </t>
  </si>
  <si>
    <t>Проектная документация</t>
  </si>
  <si>
    <t xml:space="preserve">Контактная сеть.  </t>
  </si>
  <si>
    <t>Автоматизация и обогрев стрелочных переводов</t>
  </si>
  <si>
    <t>Проект организации дорожного движения на период эксплуатации</t>
  </si>
  <si>
    <t xml:space="preserve">3И </t>
  </si>
  <si>
    <t xml:space="preserve">Итого по сводной смете </t>
  </si>
  <si>
    <t xml:space="preserve">Всего по сводной смете </t>
  </si>
  <si>
    <t>Электроснабжение</t>
  </si>
  <si>
    <t>Наружное освещение</t>
  </si>
  <si>
    <t>Водоотведение</t>
  </si>
  <si>
    <t>Защитные мероприятия</t>
  </si>
  <si>
    <t>Система управления остановочными пунктами</t>
  </si>
  <si>
    <t xml:space="preserve">Внешние каналы связи </t>
  </si>
  <si>
    <t>Остановочные пункты</t>
  </si>
  <si>
    <t xml:space="preserve">форма №2П
</t>
  </si>
  <si>
    <t>Определение коррозионной активности грунтов и воды. Коррозионная активность грунтов по отношению к стали</t>
  </si>
  <si>
    <t>2.9</t>
  </si>
  <si>
    <t>Составление климатической характеристики района изысканий при числе метеорологических станций: 1. Число годостанций: до 50</t>
  </si>
  <si>
    <t>Определение комплексных характеристик климата; 10 годостанций</t>
  </si>
  <si>
    <t>Сумма от п.7</t>
  </si>
  <si>
    <t>Радиационное обследование участка площадью, га:св. 1,0</t>
  </si>
  <si>
    <t>Камеральная обработка химических и бактериологических анализов на загрязненность почво-грунтов, воды, льда, снега и донных отложений при инженерно-экологических изысканиях</t>
  </si>
  <si>
    <t>Установка промышленного телевизионного оборудования в готовом здании с числом камер от 2 до 12</t>
  </si>
  <si>
    <t>K1 = 1.3 При определении стоимости проектных работ для реконструкции (технического перевооружения, модернизации) с применением к цене МНЗ на проектные работы, в которых стоимость основных проектных работ определяется по параметрам цены в зависимости от натуральных показателей объектов проектирования, применяется корректирующий коэффициент Методика, 707/пр. Глава IX, п.156 (Ценообразующий)</t>
  </si>
  <si>
    <t>K2 = 1.4 При определении базовой цены проектирования в случае сокращения по просьбе заказчика, установленного в задании на проектирование, сроков проектирования по сравнению с нормативными рекомендуется применять коэффициенты: при сокращении срока в 2 и более раз МУ 2009 г. Часть III п.3.11 (Ценообразующий)</t>
  </si>
  <si>
    <t>K3 = 1.15 При проектировании трубопроводов из неметаллических труб (пластмассовых, железобетонных и композитных материалов) к базовым ценам применяется ценообразующий коэффициент Общие положения, п.1.12 (Ценообразующий)</t>
  </si>
  <si>
    <t>Разделы документации (2.0% + 4.0% + 33.0% + 37.0% + 7.0% + 9.0% + 1.0% + 7.0% + 2.0% + 4.0% + 33.0% + 37.0% + 7.0% + 9.0% + 1.0% + 7.0%) = 100%</t>
  </si>
  <si>
    <t>1. Пояснительная записка 2% = 4972 руб.</t>
  </si>
  <si>
    <t>2. Проект полосы отвода 4% = 9944 руб.</t>
  </si>
  <si>
    <t>3. Технологические и конструктивные решения линейного объекта. Искусственные сооружения (инженерное обустройство, сети) 70% = 174027 руб.</t>
  </si>
  <si>
    <t>3.1. Технологические решения 33% [из 70%] = 82041 руб.</t>
  </si>
  <si>
    <t>3.2. Конструктивные решения 37% [из 70%] = 91986 руб.</t>
  </si>
  <si>
    <t>4. Проект организации строительства 7% = 17403 руб.</t>
  </si>
  <si>
    <t>5. Мероприятия по охране окружающей среды 9% = 22375 руб.</t>
  </si>
  <si>
    <t>6. Мероприятия по обеспечению пожарной безопасности 1% = 2486 руб.</t>
  </si>
  <si>
    <t>7. Смета на строительство 7% = 17403 руб.</t>
  </si>
  <si>
    <t>СБЦП 81-02-17-2001_0-0-18-2 Объекты водоснабжения и канализации. 2015 г. Таблица 18. Дренаж, п.2
A=155.6 тыс.руб; B=0.015 тыс.руб;
Xмакс=1000;
Осн. показ. Х=3195 (1 м) 
Количество = 1</t>
  </si>
  <si>
    <t>Сметный расчет составлен по следующим документам: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</t>
  </si>
  <si>
    <t>Характеристика предприятия, здания, сооружения или виды работ</t>
  </si>
  <si>
    <t>Номер частей, глав, таблиц, процентов, параграфов и пунктов указаний к разделу Справочника базовых цен на проектные и изыскательские работы для строительства</t>
  </si>
  <si>
    <t xml:space="preserve">Расчет стоимости: (a+bx)*Ki, или (объем строительно-монтажных работ) * проц./100 или количество x цена </t>
  </si>
  <si>
    <t>Узел управления для обслуживания задвижек, гидрантов, воздушников, спускников линейного сооружения сети водоснабжения. Диаметр до 250 мм включительно.</t>
  </si>
  <si>
    <t>НЗ 11.03_0-3-3.4-8.1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3.4. Городские и внутриквартальные линейные сооружения сети водоснабжения, п.8.1
A=95.2 тыс.руб; 
Количество = 1 (узел)</t>
  </si>
  <si>
    <t>K1 = 1.5 При определении стоимости проектных работ для реконструкции (технического перевооружения, модернизации) с применением к цене МНЗ на проектные работы, в которых стоимость основных проектных работ определяется по параметрам цены в зависимости от натуральных показателей объектов проектирования, применяется корректирующий коэффициент Методика, 707/пр. Глава IX, п.156 (Ценообразующий)</t>
  </si>
  <si>
    <t>K2 = 1.4 В случае сокращения срока в 2 и более раз по требованию застройщика (технического заказчика) продолжительности проектных работ по сравнению с установленными нормами продолжительности проектирования при определении стоимости проектных работ по ценам МНЗ на проектные работы применяется ценообразующий коэффициент Методика, 707/пр. Глава IX, п.169 (Ценообразующий)</t>
  </si>
  <si>
    <t>Разделы документации (0.5% + 2.0% + 77.0% + 4.5% + 6.0% + 5.0% + 5.0%) = 100%</t>
  </si>
  <si>
    <t>Линейные сооружения сети водоснабжения диаметром до 150 мм включительно, открытым способом. Протяженность от 100 до 500 п.м включительно.</t>
  </si>
  <si>
    <t>НЗ 11.03_0-3-3.4-1-1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3.4. Городские и внутриквартальные линейные сооружения сети водоснабжения, п.1
A=30.8 тыс.руб; B=0.608 тыс.руб;
Xмин=100; 
Осн. показ. Х=15 (п.м) 
Количество = 1</t>
  </si>
  <si>
    <t>Разделы документации (0.5% + 3.0% + 74.0% + 5.0% + 7.5% + 5.0% + 5.0%) = 100%</t>
  </si>
  <si>
    <t>Линейные сооружения сети водоснабжения диаметром от 150 до 300 мм включительно, открытым способом. Протяженность от 100 до 500 п.м включительно.</t>
  </si>
  <si>
    <t>НЗ 11.03_0-3-3.4-2-1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3.4. Городские и внутриквартальные линейные сооружения сети водоснабжения, п.2
A=35.9 тыс.руб; B=0.863 тыс.руб;
Xмин=100; 
Осн. показ. Х=45 (п.м) 
Количество = 1</t>
  </si>
  <si>
    <t>Линейные сооружения сети водоснабжения диаметром от 300 до 600 мм включительно, открытым способом. Протяженность от 100 до 500 п.м включительно.</t>
  </si>
  <si>
    <t>НЗ 11.03_0-3-3.4-3-1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3.4. Городские и внутриквартальные линейные сооружения сети водоснабжения, п.3
A=94.8 тыс.руб; B=0.97 тыс.руб;
Осн. показ. Х=248 (п.м) 
Количество = 1</t>
  </si>
  <si>
    <t>Линейные сооружения сети водоснабжения диаметром от 600 до 1000 мм включительно, открытым способом. Протяженность от 100 до 500 п.м включительно.</t>
  </si>
  <si>
    <t>НЗ 11.03_0-3-3.4-4-1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3.4. Городские и внутриквартальные линейные сооружения сети водоснабжения, п.4
A=107.3 тыс.руб; B=1.475 тыс.руб;
Xмин=100; 
Осн. показ. Х=30 (п.м) 
Количество = 1</t>
  </si>
  <si>
    <t>Линейное сооружение сети водоотведения диаметром до 300 мм, открытым способом. Протяженность от 100 до 500 п.м включительно.</t>
  </si>
  <si>
    <t>НЗ 11.03_0-3-3.5-1-1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п.1
A=122.6 тыс.руб; B=0.641 тыс.руб;
Осн. показ. Х=251 (п.м) 
Количество = 1</t>
  </si>
  <si>
    <t>Линейное сооружение сети водоотведения диаметром от 300 мм включительно до 500 мм, открытым способом. Протяженность от 100 до 500 п.м включительно.</t>
  </si>
  <si>
    <t>НЗ 11.03_0-3-3.5-2-1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п.2
A=151.9 тыс.руб; B=1.058 тыс.руб;
Осн. показ. Х=152 (п.м) 
Количество = 1</t>
  </si>
  <si>
    <t>Линейное сооружение сети водоотведения диаметром от 500 мм включительно до 800 мм, открытым способом. Протяженность от 100 до 500 п.м включительно.</t>
  </si>
  <si>
    <t>НЗ 11.03_0-3-3.5-3-1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п.3
A=179.4 тыс.руб; B=1.678 тыс.руб;
Осн. показ. Х=161 (п.м) 
Количество = 1</t>
  </si>
  <si>
    <t>Линейное сооружение сети водоотведения диаметром от 800 мм включительно до 1200 мм, открытым способом. Протяженность от 100 до 500 п.м включительно.</t>
  </si>
  <si>
    <t>НЗ 11.03_0-3-3.5-4-1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п.4
A=270.1 тыс.руб; B=1.769 тыс.руб;
Осн. показ. Х=109 (п.м) 
Количество = 1</t>
  </si>
  <si>
    <t>Линейное сооружение сети водоотведения диаметром от 1200 мм включительно до 2000 мм включительно, открытым способом. Протяженность от 100 до 500 п.м включительно.</t>
  </si>
  <si>
    <t>НЗ 11.03_0-3-3.5-5-1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п.5
A=335.2 тыс.руб; B=2.641 тыс.руб;
Xмин=100; 
Осн. показ. Х=28 (п.м) 
Количество = 1</t>
  </si>
  <si>
    <t>НЗ 11.03_0-3-3.5-10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п.10
A=33.3 тыс.руб; 
Количество = 23 (пересечение)</t>
  </si>
  <si>
    <t>Камера индивидуальная (перепадная, поворотная, магистральная, распределительная и другие) на линейном сооружении сети водоотведения. Диаметр свыше 600 мм.</t>
  </si>
  <si>
    <t>НЗ 11.03_0-3-3.5-6.2 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3.5. Городские и внутриквартальные линейные сооружения сети водоотведения, п.6.2
A=27.7 тыс.руб; 
Количество = 1 (камера)</t>
  </si>
  <si>
    <t>форма №2П
к Дополнительному соглашению № 
от «07» февраля 2024 г.</t>
  </si>
  <si>
    <t>Наименование предприятия, здания, сооружения, стадии проектирования, этапа, вида проектных или изыскательских работ</t>
  </si>
  <si>
    <t>Наименование проектной (изыскательской) организации</t>
  </si>
  <si>
    <t>Наименование организации заказчика</t>
  </si>
  <si>
    <t>Сметный расчет составлен по следующим документам: Объекты связи. 2010 г.</t>
  </si>
  <si>
    <t>Кабельные линии связи с волоконно-оптическим кабелем в составе: линейные сооружения. Протяженность до 500 км.</t>
  </si>
  <si>
    <t>СБЦП 81-02-02-2001_0-4-4-10 Таблица 4. п.10
A=178.74 тыс.руб; B=3.15 тыс.руб;
Xмин=500; 
Осн. показ. Х=7.093 (1 км) 
Количество = 1</t>
  </si>
  <si>
    <t>Стадия: Проектная документация Кст = 0.44</t>
  </si>
  <si>
    <t>1. Пояснительная записка 2% = 11491 руб.</t>
  </si>
  <si>
    <t>2. Проект полосы отвода 2% = 11491 руб.</t>
  </si>
  <si>
    <t>3. Технологические и конструктивные решения линейного объекта. Искусственные сооружения (инженерное обустройство, сети) 70% = 402199 руб.</t>
  </si>
  <si>
    <t>3.1. Технологические решения 22% [из 70%] = 126405 руб.</t>
  </si>
  <si>
    <t>3.2. Конструктивные решения 27% [из 70%] = 155134 руб.</t>
  </si>
  <si>
    <t>3.3. Искусственные сооружения 1% [из 70%] = 5746 руб.</t>
  </si>
  <si>
    <t>3.4. Обустройство 2% [из 70%] = 11491 руб.</t>
  </si>
  <si>
    <t>3.5. Электроснабжение 15% [из 70%] = 86185 руб.</t>
  </si>
  <si>
    <t>3.6. Водоснабжение и водоотведение 2% [из 70%] = 11491 руб.</t>
  </si>
  <si>
    <t>3.7. Связь, сигнализация, АСУ 1% [из 70%] = 5746 руб.</t>
  </si>
  <si>
    <t>4. Здания и сооружения, входящие в инфраструктуру объекта 6% = 34474 руб.</t>
  </si>
  <si>
    <t>5. Проект организации строительства 2% = 11491 руб.</t>
  </si>
  <si>
    <t>6. Проект организации работ по сносу (демонтажу) 1% = 5746 руб.</t>
  </si>
  <si>
    <t>7. Охрана окружающей среды (ООС) 9% = 51711 руб.</t>
  </si>
  <si>
    <t>8. Мероприятия по обеспечению пожарной безопасности 3% = 17237 руб.</t>
  </si>
  <si>
    <t>9. Смета на строительство 5% = 28728 руб.</t>
  </si>
  <si>
    <t>СБЦП 81-02-02-2001_0-4-20-7 Таблица 20 п.7
A=36.61 тыс.руб; B=4.57 тыс.руб;
Осн. показ. Х=10 (1 камера) 
Количество = 1</t>
  </si>
  <si>
    <t>1. Пояснительная записка 2% = 1152 руб.</t>
  </si>
  <si>
    <t>2. Схема планировочной организации земельного участка 2% = 1152 руб.</t>
  </si>
  <si>
    <t>3. Архитектурные решения 6% = 3457 руб.</t>
  </si>
  <si>
    <t>4. Конструктивные и объемно-планировочные решения 12% = 6914 руб.</t>
  </si>
  <si>
    <t>5. Инженерное оборудование, сети, инженерно-технические мероприятия, технологические решения 51% = 29385 руб.</t>
  </si>
  <si>
    <t>5.1. Электроснабжение 16% [из 51%] = 9219 руб.</t>
  </si>
  <si>
    <t>5.2. Водоснабжение 2% [из 51%] = 1152 руб.</t>
  </si>
  <si>
    <t>5.3. Водоотведение 2% [из 51%] = 1152 руб.</t>
  </si>
  <si>
    <t>5.4. Отопление, вентиляция, кондиционирование воздуха 10% [из 51%] = 5762 руб.</t>
  </si>
  <si>
    <t>5.5. Связь 2% [из 51%] = 1152 руб.</t>
  </si>
  <si>
    <t>5.6. Газоснабжение 1% [из 51%] = 576 руб.</t>
  </si>
  <si>
    <t>5.7. Технологические решения 18% [из 51%] = 10371 руб.</t>
  </si>
  <si>
    <t>6. Проект организации строительства 3% = 1729 руб.</t>
  </si>
  <si>
    <t>7. Охрана окружающей среды (ООС) 9% = 5186 руб.</t>
  </si>
  <si>
    <t>8. Мероприятия по обеспечению пожарной безопасности 6% = 3457 руб.</t>
  </si>
  <si>
    <t>9. Мероприятия по обеспечению доступа инвалидов 1% = 576 руб.</t>
  </si>
  <si>
    <t>10. Смета на строительство 8% = 4609 руб.</t>
  </si>
  <si>
    <t>НЗ 11.03_0-3-3.11-1-3 Таблица 3.11. п.1
A=53.1 тыс.руб; B=0.186 тыс.руб;
Осн. показ. Х=2950 (п.м) 
Количество = 1</t>
  </si>
  <si>
    <t>НЗ на работы по подготовке проектной документации для стр-ва объектов городской среды Табл. 3.2 п. 8.3
B=6,4  тыс.руб;
Осн. показ. Х=21 (1 табло) 
Количество = 1</t>
  </si>
  <si>
    <t>Система охранная телевизионная наружная (СОТН). Количество видеокамер от 10 до 50 шт. включительно.</t>
  </si>
  <si>
    <t>МНЗ 11.04_0-3-3.3-2-3 Таблица 3.3. п.2
A=110,1 тыс.руб; B=7,105 тыс.руб;
Xмин=50; 
Осн. показ. Х=42 (шт.) 
Количество = 1</t>
  </si>
  <si>
    <t>Сети троллейбусных линий. Протяженность одиночного пути от 0.1 до 12 км.
(линия КС трамвая в одном направлении - 5,49 км)</t>
  </si>
  <si>
    <t>СБЦП 81-02-03-2001_0-2.11-36-1 Объекты жилищно-гражданского строительства. 2010 г. Раздел 4. Таблица 36. Контактные сети и транспортные узлы троллейбусных и трамвайных линий, п.1
A=29.05 тыс.руб; B=7.4 тыс.руб;
Осн. показ. Х=5.49 (км) 
Количество = 1</t>
  </si>
  <si>
    <t>Сети троллейбусных линий. Протяженность одиночного пути от 0.1 до 12 км.
( 2-я проходящая рядом линия КС трамвая - 4,71 км)</t>
  </si>
  <si>
    <t>СБЦП 81-02-03-2001_0-2.11-36-1 Объекты жилищно-гражданского строительства. 2010 г. Раздел 4. Таблица 36. Контактные сети и транспортные узлы троллейбусных и трамвайных линий, п.1
A=29.05 тыс.руб; B=7.4 тыс.руб;
Осн. показ. Х=4.71 (км) 
Количество = 1</t>
  </si>
  <si>
    <t>Смета №11Р</t>
  </si>
  <si>
    <t>Сметный расчет составлен по следующим документам: Автомобильные дороги общего пользования. 2007 г.</t>
  </si>
  <si>
    <t>Автомобильные дороги общего пользования. Категория дороги III. Категория сложности проектирования: 1. Протяжение дороги св. 5 до 10 км.</t>
  </si>
  <si>
    <t>СБЦ 3.10_0-4-2-7-4 Автомобильные дороги общего пользования. 2007 г. Таблица 2. Автомобильные дороги общего пользования, п.7
A=275.38 тыс.руб, B=73.06 тыс.руб;
Протяженость дороги L=5.1 км;
Количество=1</t>
  </si>
  <si>
    <t>Смета №12Р</t>
  </si>
  <si>
    <t>«Адепт: Проект в 16.1»
© ООО «Адепт»</t>
  </si>
  <si>
    <t xml:space="preserve">форма №2П
от 13.02.2024г
ТЗ 
</t>
  </si>
  <si>
    <t>Смета №11П</t>
  </si>
  <si>
    <t>ПОДД на период эксплуатации Проектная  документация.</t>
  </si>
  <si>
    <t>«Строительство трамвайных путей и контактной сети. г. Ярославль.
 Рабочая  документация.</t>
  </si>
  <si>
    <t>Рабочая организация</t>
  </si>
  <si>
    <t>Водоотведение от трамвайных путей. Рабочая документация.</t>
  </si>
  <si>
    <t>Система управления остановочными пунктами. Информационные пилоны и видеонаблюдение.Рабочая документация.</t>
  </si>
  <si>
    <t>Внешние каналы связи (Оптические линии по линейной части, поворотные камеры на опасных участках) . Рабочая  документация.</t>
  </si>
  <si>
    <t>Автоматизация и обогрев стрелочных переводов. Рабочая документация.</t>
  </si>
  <si>
    <t>Стадия: Рабочая документация Кст = 0,6</t>
  </si>
  <si>
    <t>Сумма от п.1.6</t>
  </si>
  <si>
    <t>Сумма от п.1.4</t>
  </si>
  <si>
    <t>К1=1.4 Проектирование сооружений кабельной электрической линии, расположенных на застроенной территории: с коэффициентом застройки свыше 50 до 80 процентов определяется с корректирующим коэффициентом (Табл.3.11.1, п.1.2)</t>
  </si>
  <si>
    <t>K1 = 1.2 Проектирование линий наружного освещения улиц при наличии контактной сети троллейбуса или трамвая определяется с корректирующим коэффициентом. Табл.3.2.1, п.6 (Ценообразующий)</t>
  </si>
  <si>
    <t>K1 = 1.5 При использовании светильников со светодиодами к расценкам на наружное электрическое освещение применяется коэффициент
Глава 2.2, п.2.2.12 (Ценообразующий)</t>
  </si>
  <si>
    <t>Железные дороги. 2014 г. Таблица 7. Пассажирские здания, турникетно-кассовые павильоны, навесы и платформы, п.4.1
A=35 тыс.руб; B=0.19 тыс.руб;
Xмин=250; 
Осн. показ. Х=11.94 (м2) 
Количество = 21</t>
  </si>
  <si>
    <t>Остановочные павильоны (прим. Пассажирские здания, турникетно-кассовые павильоны, навесы и платформы. Навесы пассажирские. Навесы пассажирские площадью от 250 до 500 м2.)</t>
  </si>
  <si>
    <t>K1 = 0.35 Цена привязки типовой или повторно применяемой проектной документации, без внесения изменений в надземную часть здания, определяется по ценам Справочников с применением коэффициента (МУ 2009 г. Часть III п. 3.2)</t>
  </si>
  <si>
    <t>K2 = 1.1 При проектировании объектов в городах с населением от 500 тысяч человек до 1 миллиона человек к ценам применяется коэффициент Глава 2.11, п.2.11.4
K3 = 1.4 При  сокращении  сроков проектирования по сравнению с нормативными  в 2 и более раз МУ 2009 г. Часть III п.3.11 (Ценообразующий)</t>
  </si>
  <si>
    <t>K3 = 0.3 Стоимость проектирования рядом лежащего второго пути применяется коэффициент Глава 2.11, п. 2.11.8
K4 = 1.4 При  сокращении  сроков проектирования по сравнению с нормативными  в 2 и более раз МУ 2009 г. Часть III п.3.11 (Ценообразующий)</t>
  </si>
  <si>
    <t>K3 = 0.3 Стоимость проектирования рядом лежащего второго пути применяется коэффициент Глава 2.11, п. 2.11.8
K4 = 1.4 При  сокращении  сроков проектирования по сравнению с нормативными  в 2 и более раз МУ 2009 г. Часть III п.3.11 (Ценообразующий)</t>
  </si>
  <si>
    <t>K3 = 0.9 Базовая цена проектирования контактной сети трамвайной линии определяется с применением коэффициента Глава 2.11, п.2.11.11 (Ценообразующий)
K4 = 1.4 При  сокращении  сроков проектирования по сравнению с нормативными  в 2 и более раз МУ 2009 г. Часть III п.3.11 (Ценообразующий)</t>
  </si>
  <si>
    <t>K2 = 1.1 При проектировании объектов в городах с населением от 500 тысяч человек до 1 миллиона человек к ценам применяется коэффициент Глава 2.11, п.2.11.4 (Ценообразующий)
K3 = 1.4 При  сокращении  сроков проектирования по сравнению с нормативными  в 2 и более раз МУ 2009 г. Часть III п.3.11 (Ценообразующий)</t>
  </si>
  <si>
    <t>(A + B * Xзад) * Количество * Кст * K1 * K2* К4
(29050 руб + 7400 руб * 5.49) * 1 * 0,6 * 1.1 * 0,9*1,4</t>
  </si>
  <si>
    <t>(A + B * Xзад) * Количество * Кст * K1 * K2* К4
(29050 руб + 7400 руб * 4.71) * 1 * 0,6 *  1.1 *0,3 * 0,9*1,4</t>
  </si>
  <si>
    <t>(A + B * Xзад) * Количество * Кст * K1 * K2* К3
(0 руб + 5020 руб * 1) * 6 * 0,6 *  1.1*1,4</t>
  </si>
  <si>
    <t>K3 = 1.1 При проектировании объектов в городах с населением от 500 тыс. человек до 1 млн. к ценам может быть применен ценообразующий коэффициент Общие положения, п.1.9 (Ценообразующий)
K4 = 1.4 При  сокращении  сроков проектирования по сравнению с нормативными  в 2 и более раз МУ 2009 г. Часть III п.3.11 (Ценообразующий)</t>
  </si>
  <si>
    <t>K3 = 1.1 При проектировании объектов в городах с населением от 500 тыс. человек до 1 млн. к ценам может быть применен ценообразующий коэффициент Общие положения, п.1.9 (Ценообразующий)
K3 = 1.4 При  сокращении  сроков проектирования по сравнению с нормативными  в 2 и более раз МУ 2009 г. Часть III п.3.11 (Ценообразующий)</t>
  </si>
  <si>
    <t>K2= 0.3 К'пон = Xзад / (0.5 * Xмин) понижающий коэффициент, учитывающий разницу в трудоемкости работ по проектируемому объекту и объекту аналогу (Ценообразующий)
K3 = 1.4 При  сокращении  сроков проектирования по сравнению с нормативными  в 2 и более раз МУ 2009 г. Часть III п.3.11 (Ценообразующий)</t>
  </si>
  <si>
    <t>K2= 0.9 К'пон = Xзад / (0.5 * Xмин) понижающий коэффициент, учитывающий разницу в трудоемкости работ по проектируемому объекту и объекту аналогу (Ценообразующий)
K3 = 1.4 При  сокращении  сроков проектирования по сравнению с нормативными  в 2 и более раз МУ 2009 г. Часть III п.3.11 (Ценообразующий)</t>
  </si>
  <si>
    <t>K2 = 0.6 К'пон = Xзад / (0.5 * Xмин) понижающий коэффициент, учитывающий разницу в трудоемкости работ по проектируемому объекту и объекту аналогу (Ценообразующий)
K3 = 1.4 При  сокращении  сроков проектирования по сравнению с нормативными  в 2 и более раз МУ 2009 г. Часть III п.3.11 (Ценообразующий)</t>
  </si>
  <si>
    <t>K2 = 0.56 К'пон = Xзад / (0.5 * Xмин) понижающий коэффициент, учитывающий разницу в трудоемкости работ по проектируемому объекту и объекту аналогу (Ценообразующий)</t>
  </si>
  <si>
    <t>Смета №6Р</t>
  </si>
  <si>
    <r>
      <t xml:space="preserve">Коэффициенты
</t>
    </r>
    <r>
      <rPr>
        <sz val="10"/>
        <rFont val="Arial"/>
        <family val="2"/>
        <charset val="204"/>
      </rPr>
      <t>K4 = 1.4 При  сокращении  сроков проектирования по сравнению с нормативными  в 2 и более раз МУ 2009 г. Часть III п.3.11 (Ценообразующий)</t>
    </r>
  </si>
  <si>
    <t>K3 = 0.7 К'пон = Xзад / (0.5 * Xмин) понижающий коэффициент, учитывающий разницу в трудоемкости работ по проектируемому объекту и объекту аналогу
K4 = 1.4 При  сокращении  сроков проектирования по сравнению с нормативными  в 2 и более раз МУ 2009 г. Часть III п.3.11 (Ценообразующий) 4</t>
  </si>
  <si>
    <t>K2 = 1.1 При проектировании объектов в городах с населением от 500 тыс. человек до 1 млн. к базовым ценам применяется коэффициент Глава 2, п.2.1</t>
  </si>
  <si>
    <t>K3 = 0.7 К'пон = Xзад / (0.5 * Xмин) понижающий коэффициент, учитывающий разницу в трудоемкости работ по проектируемому объекту и объекту аналогу
K4 = 1.4 При  сокращении  сроков проектирования по сравнению с нормативными  в 2 и более раз МУ 2009 г. Часть III п.3.11 (Ценообразующий)</t>
  </si>
  <si>
    <t>K3 = 0.1 К'пон = Xзад / (0.5 * Xмин) понижающий коэффициент, учитывающий разницу в трудоемкости работ по проектируемому объекту и объекту аналогу
K4 = 1.4 При  сокращении  сроков проектирования по сравнению с нормативными  в 2 и более раз МУ 2009 г. Часть III п.3.11 (Ценообразующий)</t>
  </si>
  <si>
    <t>Изыскательских</t>
  </si>
  <si>
    <t>Инженерные изыскания</t>
  </si>
  <si>
    <t>Рабочая документация</t>
  </si>
  <si>
    <t>5П</t>
  </si>
  <si>
    <t>6П</t>
  </si>
  <si>
    <t>7П</t>
  </si>
  <si>
    <t>8П</t>
  </si>
  <si>
    <t>9П</t>
  </si>
  <si>
    <t>10П</t>
  </si>
  <si>
    <t>11П</t>
  </si>
  <si>
    <t>12П</t>
  </si>
  <si>
    <t>5Р</t>
  </si>
  <si>
    <t>6Р</t>
  </si>
  <si>
    <t>7Р</t>
  </si>
  <si>
    <t>8Р</t>
  </si>
  <si>
    <t>9Р</t>
  </si>
  <si>
    <t>10Р</t>
  </si>
  <si>
    <t>11Р</t>
  </si>
  <si>
    <t>12Р</t>
  </si>
  <si>
    <t>(A + B * Xзад) * Количество * Кст * K1 * K2* К4
(29050 руб + 7400 руб * 5.49) * 1 * 0,4 * 1.1 * 0,9*1,4</t>
  </si>
  <si>
    <t>(A + B * Xзад) * Количество * Кст * K1 * K2* К4
(29050 руб + 7400 руб * 4.71) * 1 * 0,4 *  1.1 *0,3 * 0,9*1,4</t>
  </si>
  <si>
    <t>(A + B * Xзад) * Количество * Кст * K1 * K2* К3
(0 руб + 5020 руб * 1) * 6 * 0,4 *  1.1*1,4</t>
  </si>
  <si>
    <t>1П</t>
  </si>
  <si>
    <t>2П</t>
  </si>
  <si>
    <t>3П</t>
  </si>
  <si>
    <t>4П</t>
  </si>
  <si>
    <t>1Р</t>
  </si>
  <si>
    <t>2Р</t>
  </si>
  <si>
    <t>3Р</t>
  </si>
  <si>
    <t>4Р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</si>
  <si>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2 этап: «Строительство трамвайных путей и контактной сети. Участок от разворотного круга ул. Александра Невского до разворотного круга «Больница № 9» (29-я линия)».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</si>
  <si>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</si>
  <si>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</si>
  <si>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</si>
  <si>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</si>
  <si>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</si>
  <si>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</si>
  <si>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</si>
  <si>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</si>
  <si>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</si>
  <si>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</si>
  <si>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</si>
  <si>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</si>
  <si>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Итого:</t>
  </si>
  <si>
    <t>Кроме того НДС</t>
  </si>
  <si>
    <t>Директор по проектированию</t>
  </si>
  <si>
    <t>Ю.В. Трунов</t>
  </si>
  <si>
    <t>Е.А. Макеева</t>
  </si>
  <si>
    <t>Зам.начальника СДО</t>
  </si>
  <si>
    <t>ИСПОЛНИТЕЛЬНАЯ СВОДНАЯ СМЕТА №1</t>
  </si>
  <si>
    <t>33</t>
  </si>
  <si>
    <t>20% от п.31</t>
  </si>
  <si>
    <t>ООО "МОВИСТА РЕГИОНЫ Ярославль"</t>
  </si>
  <si>
    <t xml:space="preserve"> 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
«Этап 2: "Строительство трамвайных путей и контактной
сети. Участок от разворота круга ул. Александра Невского до разворота круга «Больница № 9» (29-я линия)»</t>
  </si>
  <si>
    <t>ООО «МОВИСТА РЕГИОНЫ Ярославль»</t>
  </si>
  <si>
    <t>Генеральный проектировщик</t>
  </si>
  <si>
    <t>Проектировщик</t>
  </si>
  <si>
    <t>ООО "ЛРТ"</t>
  </si>
  <si>
    <t>Исполнитель</t>
  </si>
  <si>
    <t>ООО "Гелиом"</t>
  </si>
  <si>
    <t>Сметный расчет составлен по
следующим документам</t>
  </si>
  <si>
    <t>'1) (СиЦ-01-01) - Инженерно-геодезические изыскания. 2004 г.</t>
  </si>
  <si>
    <t>Ед.
Изм</t>
  </si>
  <si>
    <t>Кол-
во.</t>
  </si>
  <si>
    <t>Плановая опорная сеть. Класс точности:  2 разряд. Категория сложности II</t>
  </si>
  <si>
    <t>1 пункт</t>
  </si>
  <si>
    <t>6426 руб * 8 *1.3*0.7</t>
  </si>
  <si>
    <t>Стоимость определения координат пунктов опорных геодезических сетей с использованием спутниковых геодезических систем</t>
  </si>
  <si>
    <t>K1 = 1.3
Прим. к табл.8 п.2</t>
  </si>
  <si>
    <t>Стоимость производства измерений без закладки центров и реперов на полевые работы</t>
  </si>
  <si>
    <t>K2 = 0.7
Прим. к табл.8 п.1</t>
  </si>
  <si>
    <t>Высотная опорная сеть. Класс точности: IV класс.  Категория сложности II</t>
  </si>
  <si>
    <t>1897 руб * 8 * 0.4</t>
  </si>
  <si>
    <t>K1 = 0.4
Прим. к табл.8 п.1</t>
  </si>
  <si>
    <t>Съемка плана, профиля и элементов земляного полотна железных дорог на перегонах. Количество главных путей на общем земляном полотне: 2.  Категория сложности II</t>
  </si>
  <si>
    <t>1 км</t>
  </si>
  <si>
    <t>Часть II, Глава 5, Таблица 22.п.2
A=5.370 тыс.руб; 
Количество = 7,78 (1 км)</t>
  </si>
  <si>
    <t>Создание инженерно-топографических планов                              в М 1:500, с сечением рельефа 0,5 м. Застроенная территория, Категория сложности  III</t>
  </si>
  <si>
    <t>1 га</t>
  </si>
  <si>
    <t>Часть I, Глава 1, Таблица 9. п.6
A=4.824 тыс.руб; 
Количество = 15 (1 га)</t>
  </si>
  <si>
    <t>4.824 руб * 15 *   1.55 * (1.3*50%) * 1.2</t>
  </si>
  <si>
    <t xml:space="preserve">Стоимость съемки подземных коммуникаций с помощью приборов поиска (трубокабелеискателя) и составление плана подземных коммуникаций на застроенных территориях </t>
  </si>
  <si>
    <t xml:space="preserve">K1 = 1.55                                         Примечание 4 к Таблице 9 - на застроенных территориях </t>
  </si>
  <si>
    <t>При производстве детальною обследования колодцев подземных коммуникаций и надземных коммуникаций, неполный объем - 50%</t>
  </si>
  <si>
    <t xml:space="preserve">K2 = 1.3 * 50%                                             Прим. к табл.9 п.5 </t>
  </si>
  <si>
    <t xml:space="preserve">K3 = 1.2                                             Таблица 10, п. 1 </t>
  </si>
  <si>
    <t>Изготовление и установка знаков: рабочие пункты.  Категория сложности II</t>
  </si>
  <si>
    <t xml:space="preserve">41 руб * 8 </t>
  </si>
  <si>
    <t>Итого по разделу:</t>
  </si>
  <si>
    <t>При выполнении полевых изыскательских работ в неблагоприятный период года (г. Ярославль 20/Х- 5/V (6,5 месяцев)</t>
  </si>
  <si>
    <t>ОУ, Табл. 2, п.2</t>
  </si>
  <si>
    <t>Всего по разделу:</t>
  </si>
  <si>
    <t>Сумма от п.1.6-1.7</t>
  </si>
  <si>
    <t>2 538 руб * 8 * 1.2 * 1.3</t>
  </si>
  <si>
    <t>К стоимости изыскательских работ при необходимости выполнения камеральных и картографических работ с применением компьютерных технологий</t>
  </si>
  <si>
    <t>К1 = 1.2                                          СБЦ на инж.из. для стр-ва. Инженерно-геодезические изыскания, 2004 г., ОУ п. 15д</t>
  </si>
  <si>
    <t>K2 = 1.3
Прим. к табл.8 п.2</t>
  </si>
  <si>
    <t>428 руб * 8 * 1.2</t>
  </si>
  <si>
    <t>Часть II, Глава 5, Таблица 22.п.2
A=0.274 тыс.руб; 
Количество = 7,78 (1 км)</t>
  </si>
  <si>
    <t>274 руб * 7,78 * 1.2</t>
  </si>
  <si>
    <t>Создание инженерно-топографических планов                              в М 1:500, с сечением рельефа 0,5 м.  Застроенная территория, Категория сложности  III</t>
  </si>
  <si>
    <t>Часть I, Глава 1, Таблица 9. п.6
A=1.559 тыс.руб; 
Количество = 15 (1 га)</t>
  </si>
  <si>
    <t>1 559 руб * 15 * 1.55 * 1.2 * (1,3*50%) * 1.1</t>
  </si>
  <si>
    <t xml:space="preserve">К1 = 1.55                                          СБЦ на инж.из. для стр-ва. Инженерно-геодезические изыскания, 2004 г., Примечание 4 к Таблице 9 - на застроенных территориях </t>
  </si>
  <si>
    <t>К2 = 1.2                                          СБЦ на инж.из. для стр-ва. Инженерно-геодезические изыскания, 2004 г., ОУ п. 15д</t>
  </si>
  <si>
    <t>K3 = 1.3 * 50%
Прим. к табл.9 п.4</t>
  </si>
  <si>
    <t>Составления плана подземных и надземных сооружений в цвете (красках)</t>
  </si>
  <si>
    <t>К4 = 1.1                                         СБЦ на инж.из. для стр-ва. Инженерно-геодезические изыскания, 2004 г., ОУ п. 15г</t>
  </si>
  <si>
    <t>Составление и вычерчивание
продольных профилей трассы
линейных сооружений (коммуникации).  Количество ординат на 1 дм
профиля: до 20</t>
  </si>
  <si>
    <t>1 дм профиля</t>
  </si>
  <si>
    <t>109 руб * 44 * 1.2</t>
  </si>
  <si>
    <t>Согласование подземных коммуникации с эксплуатирующими организациями.                               9 организаций</t>
  </si>
  <si>
    <t>организация</t>
  </si>
  <si>
    <t xml:space="preserve">Часть II, Пункт 12  Таблица 75 прим.3                                   A=0.480 тыс.руб; 
Количество = 10 (1 шт.) 			</t>
  </si>
  <si>
    <t>480 руб * 10</t>
  </si>
  <si>
    <t>Расходы на составление программы (предписания)по геодезическим работам. Составление программы (предписания) по геодезическим работам при стоимости полевых и камеральных работ, определенной по ценам глав 4-8, до 100 тыс. руб.</t>
  </si>
  <si>
    <t>СБЦ на инж.из. для стр-ва "Инженерно-геодезические изыскания" (табл. 78 п.1)</t>
  </si>
  <si>
    <t>4.3% от п.1.3, п.1.5, п.2.3, п.2.5, п.2.6 * К1</t>
  </si>
  <si>
    <t>Расходы на составление технического отчета (пояснительной записки) по геодезическим работам. Составление технического отчета (пояснительной записки) по геодезическим работам при стоимости полевых и камеральных работ, определенной по ценам глав 4-8, до 100 тыс. руб</t>
  </si>
  <si>
    <t>СБЦ на инж.из. для стр-ва "Инженерно-геодезические изыскания" (табл. 79 п.1)</t>
  </si>
  <si>
    <t>10% от п.1.3, п.1.5, п.2.3, п.2.5, п.2.6 * К1</t>
  </si>
  <si>
    <t>Расходы по внутреннему транспорту. Расстояние от базы до участка изысканий св. 30 до 40 км. Сметная стоимость полевых изыск.работ св. 150 до 300 тыс.руб</t>
  </si>
  <si>
    <t>СБЦ на инж.из. для стр-ва "Инженерно-геодезические изыскания" (ОУ п. 9 Таблица 4, п.6)</t>
  </si>
  <si>
    <t>18,75 % от п.1.8</t>
  </si>
  <si>
    <t>Расходы по внешнему транспорту. Расстояние проезда и перевозки в одном направлении от 500 до 1000 км. (Санкт-Питербург - Ярославль, 841.9 км). Продолжительность экспедиции 1 мес</t>
  </si>
  <si>
    <t>СБЦ на инж.из. для стр-ва "Инженерно-геодезические изыскания"                          (ОУ п. 10 Таблица 5, п.4)</t>
  </si>
  <si>
    <t>30,8% от п.1.8, 3.1</t>
  </si>
  <si>
    <t>СБЦ на инж.из. для стр-ва "Инженерно-геодезические изыскания" (ОУ п. 13)</t>
  </si>
  <si>
    <t>6% от п.1.8, 3.1</t>
  </si>
  <si>
    <t>Итого по разделу</t>
  </si>
  <si>
    <t>Сумма от п.3.1 - 3.3</t>
  </si>
  <si>
    <t>Итого по смете</t>
  </si>
  <si>
    <t>Сумма от п.1.8 + п. 2.9 + п. 3.4</t>
  </si>
  <si>
    <t>Сумма от п.5</t>
  </si>
  <si>
    <t>Всего по смете (тыс. руб.):</t>
  </si>
  <si>
    <t>Дополнительные работы</t>
  </si>
  <si>
    <t>ООО ИФ "Интергео"</t>
  </si>
  <si>
    <t>Часть I, Глава 1, Таблица 9. п.6
A=4.824 тыс.руб; 
Количество = 0,72 (1 га)</t>
  </si>
  <si>
    <t>4 824 руб * 0,72 *   1.55 * (1.3*50%) * 1.4</t>
  </si>
  <si>
    <t>Стоимость полевых работ при съемке небольших участков (до 1 га)</t>
  </si>
  <si>
    <t xml:space="preserve">K3 = 1.4                                             Таблица 10, п. 1 </t>
  </si>
  <si>
    <t>Уборка снега плотного.  Категория сложности II</t>
  </si>
  <si>
    <t>1000 м кв.</t>
  </si>
  <si>
    <t>Часть III, Глава 10, Таблица 84, п.16
A=2.292 тыс.руб; 
Количество = 7,2 (1 пункт)</t>
  </si>
  <si>
    <t>2 292 руб * 7.2</t>
  </si>
  <si>
    <t>При проведении полевых работ без выплаты рабошикам полевого довольствия или командировочных к ценам на эти работы применяется коэффициент 0,85</t>
  </si>
  <si>
    <t>ОУ, п.14 К-0,85 от п. 1.3</t>
  </si>
  <si>
    <t>Сумма от п.1.4+1.5</t>
  </si>
  <si>
    <t>Часть I, Глава 1, Таблица 9. п.6
A=1.559 тыс.руб; 
Количество = 0,72 (1 га)</t>
  </si>
  <si>
    <t>1 559 руб * 0,72 * 1.55 * 1.2 * (1,3*50%) * 1.1</t>
  </si>
  <si>
    <t xml:space="preserve">Часть II, Пункт 12  Таблица 75 прим.3                                   A=0.480 тыс.руб; 
Количество = 24 (1 шт.) 			</t>
  </si>
  <si>
    <t>480 руб * 24</t>
  </si>
  <si>
    <t>4.3% от п.2.2 * К1</t>
  </si>
  <si>
    <t>10% от п.2.2 * К1</t>
  </si>
  <si>
    <t>Сумма от п.2.5</t>
  </si>
  <si>
    <t>Расходы по внутреннему транспорту. Расстояние от базы до участка изысканий св. 15 до 20 км. Сметная стоимость полевых изыск.работ до 75 тыс.руб</t>
  </si>
  <si>
    <t>СБЦ на инж.из. для стр-ва "Инженерно-геодезические изыскания" (ОУ п. 9 Таблица 4, п.4)</t>
  </si>
  <si>
    <t>16,25 % от п.1.6</t>
  </si>
  <si>
    <t>6% от п.1.6, 3.1 * 2.5</t>
  </si>
  <si>
    <t>Для изысканий со сметной стоимостью до 30 тыс. руб.</t>
  </si>
  <si>
    <t>К1 = 2.5                                          СБЦ на инж.из. для стр-ва. Инженерно-геодезические изыскания, 2004 г., ОУ п. 13, прим.1</t>
  </si>
  <si>
    <t>Сумма от п.3.1 - 3.2</t>
  </si>
  <si>
    <t>Сумма от п.1.6 + п. 2.6 + п. 3.3</t>
  </si>
  <si>
    <t>«Адепт: Проект в 16.2»
© ООО «Адепт»</t>
  </si>
  <si>
    <t>форма №2П
от 19.03.2024г
к Договору  от 19.03.2024 г.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</si>
  <si>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
«Этап 2: «Строительство трамвайных путей и контактной
сети. Участок от разворота круга ул. Александра Невского до разворота круга «Больница № 9» (29-я линия)»</t>
  </si>
  <si>
    <t>ООО ИФ «Интергео»</t>
  </si>
  <si>
    <t>1) (СиЦ-91-02) - Инженерно-геологические и инженерно-экологические изыскания для строительства. 1999 г.</t>
  </si>
  <si>
    <t>Стоимость,  руб.</t>
  </si>
  <si>
    <t>Инженерно-геологическая, гидрогеологическая рекогносцировка при проходимости: хорошая. Категория сложности II</t>
  </si>
  <si>
    <t>1 км маршрута</t>
  </si>
  <si>
    <t>СБЦи5.2_0-1-9-1-1-1 Таблица 9 п.1
A=23,3 руб; 
Количество = 5,3 (1 км маршрута)</t>
  </si>
  <si>
    <t>23,3 руб * 5,3</t>
  </si>
  <si>
    <t xml:space="preserve">Плановая и высотная привязка при расстоянии между геологическими выработками или точками, м: до 50. Категория сложности II. </t>
  </si>
  <si>
    <t>1 выработка (точка)</t>
  </si>
  <si>
    <t>СБЦи5.2_0-25-93-4-2 Таблица 93 п.4
A=18,4 руб; 
Количество = 19 (1 выработка (точка))</t>
  </si>
  <si>
    <t>18,4 руб * 19 * 0.5</t>
  </si>
  <si>
    <t>Стоимость предварительной разбивки местоположения выработок (точек) определяется по ценам с применением коэффициента</t>
  </si>
  <si>
    <t>18,4 руб * 19</t>
  </si>
  <si>
    <t>Бурение скважины механическим ударно-канатным способом, диаметром свыше 127 до 168 мм, глубиной, м: до 20. Категория породы II</t>
  </si>
  <si>
    <t>1 м</t>
  </si>
  <si>
    <t>Инженерно-геологические и инженерно-экологические изыскания для строительства. 1999 г. Глава 5. Механическое ударно-канатное бурение Таблица 19. Бурение скважин механическим ударно-канатным способом. п.2
A=22.1 руб; 
Количество = 80 (1 м)</t>
  </si>
  <si>
    <t>22,1 руб * 80</t>
  </si>
  <si>
    <t>Инженерно-геологические и инженерно-экологические изыскания для строительства. 1999 г. Глава 5. Механическое ударно-канатное бурение Таблица 19. Бурение скважин механическим ударно-канатным способом. п.2
A=29.2 руб; 
Количество = 66 (1 м)</t>
  </si>
  <si>
    <t>29,2 руб * 66</t>
  </si>
  <si>
    <t>Гидрогеологические наблюдения при бурении скважины диаметром, мм: св. 127 до 168. Глубина скважины, м: до 20</t>
  </si>
  <si>
    <t>При выполнении гидрогеологических наблюдений без "тартания" к ценам применяется коэффициент</t>
  </si>
  <si>
    <t>K1 = 0.6
Часть II, Глава 5, п.7</t>
  </si>
  <si>
    <t>Крепление скважины при бурении диаметром, мм: св. 127 до 168. Глубина скважины, м: до 20</t>
  </si>
  <si>
    <t>1 монолит</t>
  </si>
  <si>
    <t>Инженерно-геологические и инженерно-экологические изыскания для строительства. 1999 г. Глава 16. Отбор проб Таблица 57. Цены на отбор монолитов связных и несвязных грунтов для лабораторных исследований из буровых скважин, горных выработок и котлованов. п.1
A=22.9 руб; 
Количество = 24 (1 монолит)</t>
  </si>
  <si>
    <t>22,9 руб * 24</t>
  </si>
  <si>
    <t>Статическое зондирование грунтов непрерывным вдавливанием зонда со скоростью не свыше 1 м/мин. Глубина до 10 м</t>
  </si>
  <si>
    <t>1 испытание</t>
  </si>
  <si>
    <t>Инженерно-геологические и инженерно-экологические изыскания для строительства. 1999 г. Глава 15. Полевые исследования грунтов Таблица 45. Цены на динамическое и статическое зондирование грунтов. п.5
A=128,3 руб; 
Количество = 9 (1 испытание)</t>
  </si>
  <si>
    <t>128,3 руб * 9 * 1,5 * 1,1</t>
  </si>
  <si>
    <t>При зондировании с разбуриванием</t>
  </si>
  <si>
    <t>K1 = 1,5
Примечание 1</t>
  </si>
  <si>
    <t>При расстоянии 50 и более метров между точками зондирования</t>
  </si>
  <si>
    <t>1.10</t>
  </si>
  <si>
    <t>1.11</t>
  </si>
  <si>
    <t>ОУ, п.14 К-0,85 от п. 1.10</t>
  </si>
  <si>
    <t>1.12</t>
  </si>
  <si>
    <t>Полный комплекс определений физических свойств для грунтов с включениями частиц диаметром более 1 мм (менее 10 %).  Глинистые грунты.</t>
  </si>
  <si>
    <t>1 образец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</si>
  <si>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63. Цены на комплексные исследования физико-механических свойств глинистых грунтов. п.9
A=38,4 руб; 
Количество = 5 (1 образец)</t>
  </si>
  <si>
    <t>38,4 руб * 5</t>
  </si>
  <si>
    <t>Сокращенный комплекс физико-механических
свойств грунтов при консолидированном срезе под нагрузкой до 0,6 МПа. Глинистые грунты.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</si>
  <si>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63. Цены на комплексные исследования физико-механических свойств глинистых грунтов. п.11
A=135,0 руб; 
Количество = 17 (1 образец)</t>
  </si>
  <si>
    <t>135,0 руб * 17</t>
  </si>
  <si>
    <t xml:space="preserve"> Предварительное уплотнение глинистых грунтов перед срезом. Глинистые грунты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</si>
  <si>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62. Цены на единичные определения физико-механических свойств глинистых грунтов. п.27
A=14.4 руб; 
Количество = 17 (1 образец)</t>
  </si>
  <si>
    <t>14,4 руб * 17</t>
  </si>
  <si>
    <t>Сокращенный комплекс физико-механических свойств грунта. Показатели сжимаемости и сопутствующие определения при компрессионных испытаниях по одной ветви с нагрузкой до 0,6 МПа (или определение просадочности). Глинистые грунты</t>
  </si>
  <si>
    <t>Гранулометрический состав глинистых грунтов методом ареометра, с разделением на фракции от 10 до 0,005 мм. Глинистые грунты.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</si>
  <si>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62. Цены на единичные определения физико-механических свойств глинистых грунтов. п.23
A= 17,6 руб; 
Количество = 9 (1 образец)</t>
  </si>
  <si>
    <t>17,6 руб * 9</t>
  </si>
  <si>
    <t>Инженерно-геологические и инженерно-экологические изыскания для строительства. 1999 г. Глава 18. Единичные определения и комплексные исследования химического состава грунтов (почв) и воды. Таблица 75. Цены на определение коррозионной активности грунтов и воды. п.4
A=18,2 руб; 
Количество = 6 (1 образец)</t>
  </si>
  <si>
    <t>18,2 руб * 6</t>
  </si>
  <si>
    <t>Анализ водной вытяжки с определением по разности суммы натрия и калия</t>
  </si>
  <si>
    <t>1 проба</t>
  </si>
  <si>
    <t>Инженерно-геологические и инженерно-экологические изыскания для строительства. 1999 г. Глава 18. Единичные определения и комплексные исследования химического состава грунтов (почв) и воды. Таблица 71. Цены на комплексные исследования химического состава грунтов (почв). п.1
A=48,8 руб; 
Количество = 3 (1 проба)</t>
  </si>
  <si>
    <t>48,8 руб * 3</t>
  </si>
  <si>
    <t xml:space="preserve">Сокращенный анализ воды. </t>
  </si>
  <si>
    <t>Инженерно-геологические и инженерно-экологические изыскания для строительства. 1999 г. Глава 18. Единичные определения и комплексные исследования химического состава грунтов (почв) и воды Таблица 73. Цены на комплексные исследования химического состава воды. п.3
A=45.7 руб; 
Количество = 3 (1 проба)</t>
  </si>
  <si>
    <t>45,7 руб * 4</t>
  </si>
  <si>
    <t>2.10</t>
  </si>
  <si>
    <t>Цены на составление программы производства работ. Средняя глубина исследования св. 5 до 10 м. Исследуемая площадь до 1 км2</t>
  </si>
  <si>
    <t>1 программа</t>
  </si>
  <si>
    <t>500 руб * 1 * 1.25</t>
  </si>
  <si>
    <t>Для районов II категории сложности инженерно-геологических условий к ценам применяется коэффициент</t>
  </si>
  <si>
    <t>K1 = 1.25
Часть VII, Глава 20, примечание 1 к таблице 81 (Ценообразующий)</t>
  </si>
  <si>
    <t>СБЦи5.2_0-1-9-1-3-1 Таблица 9 п.1
A=18,5 руб; 
Количество = 5,3 (1 км маршрута)</t>
  </si>
  <si>
    <t>18,5 тыс.руб * 5,3</t>
  </si>
  <si>
    <t>Сбор, изучение и систематизация материалов изысканий прошлых лет: по цифровым показателям. Категория сложности II</t>
  </si>
  <si>
    <t>10 цифровых значений</t>
  </si>
  <si>
    <t>Часть VII, Глава 20. Предполевые камеральные работы Таблица 78. Цены на изучение и систематизацию материалов изысканий прошлых лет . п.2-2
A=3,6 руб; 
Количество = 17 (10 цифровых значений)</t>
  </si>
  <si>
    <t>3,6 руб * 17</t>
  </si>
  <si>
    <t>Камеральная обработка комплексных исследований и отдельных определений физико-механических свойств грунтов (пород):. глинистых</t>
  </si>
  <si>
    <t>-</t>
  </si>
  <si>
    <t>СБЦи5.2_0-21-86-1 Таблица 86 п.1
Количество = 1</t>
  </si>
  <si>
    <t>Камеральная обработка определения коррозионной активности грунтов и воды</t>
  </si>
  <si>
    <t>СБЦи5.2_0-21-86-8 Таблица 86 п.8
Количество = 1</t>
  </si>
  <si>
    <t>Камеральная обработка комплексных исследований и отдельных определений:. химического состава грунтов и почв</t>
  </si>
  <si>
    <t>СБЦи5.2_0-21-86-4 Таблица 86 п.4
Количество = 1</t>
  </si>
  <si>
    <t>Камеральная обработка комплексных исследований и отдельных определений:. химического и бактериологического состава воды</t>
  </si>
  <si>
    <t>СБЦи5.2_0-21-86-5 Таблица 86 п.5
Количество = 1</t>
  </si>
  <si>
    <t>Камеральная обработка полевого испытания грунтов статическим зондированием с последующей корректировкой разреза по данным лабораторных работ, на глубину, м: 10</t>
  </si>
  <si>
    <t>СБЦи5.2_0-21-83-1 Таблица 83 п.1
Количество = 9</t>
  </si>
  <si>
    <t>29,7 руб * 9</t>
  </si>
  <si>
    <t>3.9</t>
  </si>
  <si>
    <t>Камеральная обработка материалов буровых и горнопроходческих работ без гидрогеологических наблюдений. Категория сложности инженерно-геологических условий II</t>
  </si>
  <si>
    <t>1 м выработки</t>
  </si>
  <si>
    <t>3.10</t>
  </si>
  <si>
    <t>Камеральная обработка материалов буровых и горнопроходческих работ с гидрогеологическими наблюдениями.Категория сложности инженерно-геологических условий II</t>
  </si>
  <si>
    <t>3.11</t>
  </si>
  <si>
    <t>Составление технического отчета (заключения) о результатах выполненных работ. Стоимость камеральных работ до 5 тыс.руб. Категория сложности инженерно-геологических условий II</t>
  </si>
  <si>
    <t>При составлении инженерно-геологических карт и разрезов с применением компьютерных технологий к ценам таблицы 87 СБЦ может быть применен повышающий коэффициент</t>
  </si>
  <si>
    <t>K1 = 1.5
МП 2004 г, Приложение 6, СБЦ на инженерно-геологические и инженерно-экологические изыскания для строительства, 1999 г. (Ценообразующий)</t>
  </si>
  <si>
    <t>3.12</t>
  </si>
  <si>
    <t>Расходы по внутреннему транспорту. Расстояние от базы до участка изысканий св. 10 до 15 км. Сметная стоимость полевых изыск.работ св.5 до 10 тыс.руб</t>
  </si>
  <si>
    <t>СБЦ на инженерно-геологические и инженерно-экологические изыскания для строительства (ОУ п. 9 Таблица 4, п.3)</t>
  </si>
  <si>
    <t>12,5% от п.1.12
6 438,84 руб * 12,5 / 100</t>
  </si>
  <si>
    <t>6% от п.1.12, 4.1 * 1,5</t>
  </si>
  <si>
    <t>Для изысканий со сметной стоимостью св. 5 до 10 тыс. руб.</t>
  </si>
  <si>
    <t>К1 = 1.5                                          СБЦ на инж.из. для стр-ва. Инженерно-геодезические изыскания, 2004 г., ОУ п. 13, прим.1</t>
  </si>
  <si>
    <t>Итого Прочие расходы</t>
  </si>
  <si>
    <t>Сумма от п.4.1 - 4.2</t>
  </si>
  <si>
    <t>1) (СиЦ-91-04) - Инженерно-гидрографические и инженерно-гидрометеорологические изыскания на реках. 2000 г.</t>
  </si>
  <si>
    <t>Рекогносцировочное обследование бассейна реки. Категория сложности I</t>
  </si>
  <si>
    <t>18,0 руб * 5,5</t>
  </si>
  <si>
    <t>ОУ, п.14 К-0,85 от п. 1.2</t>
  </si>
  <si>
    <t>Рекогносцировочное обследование бассейна реки.Категория сложности I</t>
  </si>
  <si>
    <t>6 руб * 5,5</t>
  </si>
  <si>
    <t>1 годостанция</t>
  </si>
  <si>
    <t>СБЦи5.3_0-12-67-1 Таблица 67 п.1
A=90 руб; 
Количество = 1 (1 годостанция)</t>
  </si>
  <si>
    <t>90 руб * 1</t>
  </si>
  <si>
    <t>1 записка</t>
  </si>
  <si>
    <t>201 руб * 1</t>
  </si>
  <si>
    <t>1 расчет</t>
  </si>
  <si>
    <t>331 руб * 1</t>
  </si>
  <si>
    <t>Составление схемы гидрометеорологической изученности бассейна реки при числе пунктов наблюдений:до 50</t>
  </si>
  <si>
    <t>1 схема</t>
  </si>
  <si>
    <t>61 руб * 1</t>
  </si>
  <si>
    <t>Стоимость камеральных работ, тыс. руб.: до 2. Обоснование проекта (ТЭО)</t>
  </si>
  <si>
    <t>450 руб * 1</t>
  </si>
  <si>
    <t>60% от п.2.6
716,00 руб * 60% * 1,15</t>
  </si>
  <si>
    <t>При разнообразных физико-географических условиях района (участка) изысканий</t>
  </si>
  <si>
    <t>Сумма от п.2.6-2.8</t>
  </si>
  <si>
    <t>Расходы по внутреннему транспорту. Расстояние от базы до участка изысканий св. 10 до 15 км. Сметная стоимость полевых изыск.работ до 5 тыс.руб</t>
  </si>
  <si>
    <t>13.75% от п.1.4
9,0 руб * 13.75 / 100</t>
  </si>
  <si>
    <t>6% от п.1.4, 4.1; К=2,5</t>
  </si>
  <si>
    <t xml:space="preserve">Краткая климатическая характеристика (температурный и ветровой режимы) района расположения объекта </t>
  </si>
  <si>
    <t>Акт №БПБП-000551 от 13 июля 2023 г.</t>
  </si>
  <si>
    <t>Стоимость, тыс. руб.</t>
  </si>
  <si>
    <t>Инженерно-экологическая, гидрогеологическая рекогносцировка при проходимости: хорошей. Категория сложности II</t>
  </si>
  <si>
    <t>23,3 руб * 5,5 * 1,1</t>
  </si>
  <si>
    <t xml:space="preserve">Стоимость инженерно-экологической рекогносцировки для II категории сложности </t>
  </si>
  <si>
    <t>K1 = 1,1
примечание 1 к таблице 9 (Ценообразующий)</t>
  </si>
  <si>
    <t>Наблюдения при передвижении по маршруту при составлении карты фактического материала с определением мощности эквивалентной дозы гамма-излучения при проходимости: хорошей в масштабе: 1:2000 - 1:1000</t>
  </si>
  <si>
    <t>16,3 руб * 5,5 * 1,3</t>
  </si>
  <si>
    <t>При определении мощности эквивалентной дозы гамма-излучения</t>
  </si>
  <si>
    <t>K1 = 1,3
примечание 1 к таблице 10 (Ценообразующий)</t>
  </si>
  <si>
    <t>Отбор проб почвы на химическое загрязнение послойно методом конверта (0,0-0,2 м; 0,2 м -1,0 м)</t>
  </si>
  <si>
    <t>6,9 руб * 6</t>
  </si>
  <si>
    <t>Отбор проб почвы на бактериологическое загрязнение с одной пробной площадки (1 проба из 10 точечных)</t>
  </si>
  <si>
    <t>37,7 руб * 8</t>
  </si>
  <si>
    <t>37,7 руб * 8 * 0.9</t>
  </si>
  <si>
    <t>Стоимость отбора пробы почво-грунтов на гельминтологический анализ определяется по цене с применением коэффициента</t>
  </si>
  <si>
    <t>K1 = 0.9
Часть V, Глава 16, примечание 4 к таблице 60 (Ценообразующий)</t>
  </si>
  <si>
    <t>Отбор проб почвы на радиоактивное загрязнение методами конверта</t>
  </si>
  <si>
    <t>6,9 руб * 4 * 1,2</t>
  </si>
  <si>
    <t>Стоимость отбора пробы на радиоактивное загрязнение</t>
  </si>
  <si>
    <t>K1 = 1,2
Часть V, Глава 16, примечание 2 к таблице 60 (Ценообразующий)</t>
  </si>
  <si>
    <t>Отбор точечных проб для анализа на загрязненность по химическим показателям:воды с глубины более 0,5 м</t>
  </si>
  <si>
    <t>7,6 руб * 1 * 0,5</t>
  </si>
  <si>
    <t>При отборе пробы без использования плавсредств</t>
  </si>
  <si>
    <t>K1 = 0,5
Часть V, Глава 16, примечание 3 к таблице 60 (Ценообразующий)</t>
  </si>
  <si>
    <t>0,1 га</t>
  </si>
  <si>
    <t>Пробоподготовка для выполнения физико-химических исследований солей тяжелых металлов</t>
  </si>
  <si>
    <t>Таблица 70,  п.85
A = 52,3 руб. 
Количество =6 (1 образец)</t>
  </si>
  <si>
    <t>52,3  руб * 6</t>
  </si>
  <si>
    <t>Приготовление солянокислой
вытяжки</t>
  </si>
  <si>
    <t xml:space="preserve"> Таблица 70,  п.84
A = 8,5 руб.; 
Количество =6 (1 образец)</t>
  </si>
  <si>
    <t>8,5 руб. * 6</t>
  </si>
  <si>
    <t>Приготовление водной вытяжки</t>
  </si>
  <si>
    <t xml:space="preserve"> Таблица 70, п.83
A = 3,8 руб.;  
Количество =6 (1 образец)</t>
  </si>
  <si>
    <t>3,8 руб * 6</t>
  </si>
  <si>
    <t>Водородный показатель рН водной или солевой вытяжки электриметрическим методом</t>
  </si>
  <si>
    <t xml:space="preserve"> Таблица 70, п. 14
A=2,0 руб; 
Количество = 6 (1 образец)</t>
  </si>
  <si>
    <t>2,0 руб * 6</t>
  </si>
  <si>
    <t>Определения химического состава грунтов (почв) (Определение солей тяжелых металлов без пробоподготовки методом атомной абсорбции (1 металл)).
Свинец, кадмий, цинк, медь, никель, мышьяк</t>
  </si>
  <si>
    <t xml:space="preserve"> Таблица 70,  п.57
A = 7,8; 
N = 6; 
Количество =6 (1 образец)</t>
  </si>
  <si>
    <t>(7,8 руб * 6) * 6</t>
  </si>
  <si>
    <t>Ртуть</t>
  </si>
  <si>
    <t xml:space="preserve"> Таблица 70, п.59
A = 23,0 руб.; 
Количество =6 (1 образец)</t>
  </si>
  <si>
    <t>23,0 руб * 6</t>
  </si>
  <si>
    <t>Определение полициклических ароматических углеводородов хроматографическим методом</t>
  </si>
  <si>
    <t xml:space="preserve"> Таблица 70, п.66
A = 95,8; 
Количество =6 (1 образец)</t>
  </si>
  <si>
    <t>95,8 руб  * 6</t>
  </si>
  <si>
    <t>Определение нефтяных углеводородов хроматографическим методом</t>
  </si>
  <si>
    <t xml:space="preserve"> Таблица 70, п.63
A = 19,7 руб.; 
Количество =6 (1 образец)</t>
  </si>
  <si>
    <t>19,7 руб * 6</t>
  </si>
  <si>
    <t>Определение летучих ароматических углеводородов хроматографическим методом</t>
  </si>
  <si>
    <t xml:space="preserve"> Таблица 70, п.67
A = 59 руб.; 
Количество =6 (1 образец)</t>
  </si>
  <si>
    <t>59 руб * 6</t>
  </si>
  <si>
    <t>Лабораторный химический анализ подземной воды</t>
  </si>
  <si>
    <t>Свинец. Колориметрический метод</t>
  </si>
  <si>
    <t xml:space="preserve"> Таблица 72,  п. 49
A = 12,2 руб.; 
Количество = 1 (1 образец)</t>
  </si>
  <si>
    <t>12,2 руб * 1</t>
  </si>
  <si>
    <t>2.11</t>
  </si>
  <si>
    <t>Кадмий. Колориметрический метод</t>
  </si>
  <si>
    <t xml:space="preserve"> Таблица 72,  п. 15
A = 6,1 руб.; 
Количество = 1 (1 образец)</t>
  </si>
  <si>
    <t>6,1 руб * 1</t>
  </si>
  <si>
    <t>2.12</t>
  </si>
  <si>
    <t>Цинк. Колориметрический метод</t>
  </si>
  <si>
    <t xml:space="preserve"> Таблица 72,  п. 75
A = 8,1 руб.; 
Количество = 1 (1 образец)</t>
  </si>
  <si>
    <t>8,1 руб * 1</t>
  </si>
  <si>
    <t>2.13</t>
  </si>
  <si>
    <t>Медь. Пламенный атомно-абсорбционный метод</t>
  </si>
  <si>
    <t xml:space="preserve"> Таблица 72,  п. 32
A = 23,5 руб.; 
Количество = 1 (1 образец)</t>
  </si>
  <si>
    <t>23,5 руб * 1</t>
  </si>
  <si>
    <t>2.14</t>
  </si>
  <si>
    <t>Никель. Пламенный атомно-абсорбционный метод</t>
  </si>
  <si>
    <t xml:space="preserve"> Таблица 72,  п. 40
A = 21,5 руб.; 
Количество = 1 (1 образец)</t>
  </si>
  <si>
    <t>21,5 руб * 1</t>
  </si>
  <si>
    <t>2.15</t>
  </si>
  <si>
    <t>Марганец. Колориметрический метод с концентрированием</t>
  </si>
  <si>
    <t xml:space="preserve"> Таблица 72,  п. 30
A = 4,5 руб.; 
Количество = 1 (1 образец)</t>
  </si>
  <si>
    <t>4,5 руб * 1</t>
  </si>
  <si>
    <t>2.16</t>
  </si>
  <si>
    <t>Бенз(а)пирен. Углеводороды летучие ароматические. Хроматографический метод</t>
  </si>
  <si>
    <t xml:space="preserve"> Таблица 72,  п. 61
A = 59 руб.; 
Количество = 1 (1 образец)</t>
  </si>
  <si>
    <t>59 руб * 1</t>
  </si>
  <si>
    <t>2.17</t>
  </si>
  <si>
    <t>Мышьяк. Колориметрический метод</t>
  </si>
  <si>
    <t xml:space="preserve"> Таблица 72,  п. 35
A = 9,6 руб.; 
Количество = 1 (1 образец)</t>
  </si>
  <si>
    <t>9,6 руб * 1</t>
  </si>
  <si>
    <t>2.18</t>
  </si>
  <si>
    <t>Аммоний-ион. Колориметрический метод</t>
  </si>
  <si>
    <t xml:space="preserve"> Таблица 72,  п. 2
A = 8,8 руб.; 
Количество = 1 (1 образец)</t>
  </si>
  <si>
    <t>8,8 руб * 1</t>
  </si>
  <si>
    <t>2.19</t>
  </si>
  <si>
    <t>Нитраты. Колориметрический метод</t>
  </si>
  <si>
    <t xml:space="preserve"> Таблица 72,  п. 41
A = 3,1 руб.; 
Количество = 1 (1 образец)</t>
  </si>
  <si>
    <t>3,1 руб * 1</t>
  </si>
  <si>
    <t>2.20</t>
  </si>
  <si>
    <t>Нитриты. Колориметрический метод</t>
  </si>
  <si>
    <t xml:space="preserve"> Таблица 72,  п. 42
A = 2,7 руб.; 
Количество = 1 (1 образец)</t>
  </si>
  <si>
    <t>2,7 руб * 1</t>
  </si>
  <si>
    <t>2.21</t>
  </si>
  <si>
    <t>Нефтепродукты. Метод тонкослойной хроматографии с УФ спектральным окончанием</t>
  </si>
  <si>
    <t xml:space="preserve"> Таблица 72,  п. 38
A = 14 руб.; 
Количество = 1 (1 образец)</t>
  </si>
  <si>
    <t>14 руб * 1</t>
  </si>
  <si>
    <t>2.22</t>
  </si>
  <si>
    <t>Растворенный кислород.	
Электрохимический метод</t>
  </si>
  <si>
    <t xml:space="preserve"> Таблица 72,  п. 22
A = 2,3 руб.; 
Количество = 1 (1 образец)</t>
  </si>
  <si>
    <t>2,3 руб * 1</t>
  </si>
  <si>
    <t>2.23</t>
  </si>
  <si>
    <t>Ртуть. Колориметрический метод</t>
  </si>
  <si>
    <t xml:space="preserve"> Таблица 72,  п. 48
A = 8,7 руб.; 
Количество = 1 (1 образец)</t>
  </si>
  <si>
    <t>8,7 руб * 1</t>
  </si>
  <si>
    <t>2.24</t>
  </si>
  <si>
    <t>Хлорид-ионы. Объемный метод</t>
  </si>
  <si>
    <t xml:space="preserve"> Таблица 72,  п. 72
A = 2,6 руб.; 
Количество = 1 (1 образец)</t>
  </si>
  <si>
    <t>2,6 руб * 1</t>
  </si>
  <si>
    <t>2.25</t>
  </si>
  <si>
    <t>Поверхностно-активные вещества (ПАВ) анаоно-активные. Фотометрический метод</t>
  </si>
  <si>
    <t xml:space="preserve"> Таблица 72,  п. 85
A = 14,7 руб.; 
Количество = 1 (1 образец)</t>
  </si>
  <si>
    <t>14,7 руб * 1</t>
  </si>
  <si>
    <t>2.26</t>
  </si>
  <si>
    <t>Концентрация водородных ионов - рН. колориметрический метод</t>
  </si>
  <si>
    <t xml:space="preserve"> Таблица 72,  п. 24
A = 2,9 руб.; 
Количество = 1 (1 образец)</t>
  </si>
  <si>
    <t>2,9 руб * 1</t>
  </si>
  <si>
    <t>2.27</t>
  </si>
  <si>
    <t>Фенолы. Фотометрический метод с пирамидоном</t>
  </si>
  <si>
    <t xml:space="preserve"> Таблица 72,  п. 66
A = 11,3 руб.; 
Количество = 1 (1 образец)</t>
  </si>
  <si>
    <t>11,3 руб * 1</t>
  </si>
  <si>
    <t>2.28</t>
  </si>
  <si>
    <t>Сульфаты. Весовой метод</t>
  </si>
  <si>
    <t xml:space="preserve"> Таблица 72,  п. 55
A = 7,4 руб.; 
Количество = 1 (1 образец)</t>
  </si>
  <si>
    <t>7,4 руб * 1</t>
  </si>
  <si>
    <t>2.29</t>
  </si>
  <si>
    <t>Фосфаты общие. Фотометрический метод</t>
  </si>
  <si>
    <t xml:space="preserve"> Таблица 72,  п. 69
A = 8,3 руб.; 
Количество = 1 (1 образец)</t>
  </si>
  <si>
    <t>8,3 руб * 1</t>
  </si>
  <si>
    <t>2.30</t>
  </si>
  <si>
    <t>Б.П.К.-5, биологическое потребление кислорода. Трехкратное определение кислорода, аэрация, фильтрование</t>
  </si>
  <si>
    <t xml:space="preserve"> Таблица 72,  п. 78
A = 10,3 руб.; 
Количество = 1 (1 образец)</t>
  </si>
  <si>
    <t>10,3 руб * 1</t>
  </si>
  <si>
    <t>2.31</t>
  </si>
  <si>
    <t>Химическое потребление кислорода</t>
  </si>
  <si>
    <t xml:space="preserve"> Таблица 72,  п. 79
A = 8,8 руб.; 
Количество = 1 (1 образец)</t>
  </si>
  <si>
    <t>2.32</t>
  </si>
  <si>
    <t>Окисляемость пермангантная. Объемный метод</t>
  </si>
  <si>
    <t xml:space="preserve"> Таблица 72,  п. 43
A = 5,6 руб.; 
Количество = 1 (1 образец)</t>
  </si>
  <si>
    <t>5,6 руб * 1</t>
  </si>
  <si>
    <t>2.33</t>
  </si>
  <si>
    <t>Железо общее. Колориметрический метод</t>
  </si>
  <si>
    <t xml:space="preserve"> Таблица 72,  п. 8
A = 4,1 руб.; 
Количество = 1 (1 образец)</t>
  </si>
  <si>
    <t>4,1 руб * 1</t>
  </si>
  <si>
    <t>2.34</t>
  </si>
  <si>
    <t>Сероводород. 	
объемный йодометрический метод</t>
  </si>
  <si>
    <t xml:space="preserve"> Таблица 72,  п. 51
A = 5,5 руб.; 
Количество = 1 (1 образец)</t>
  </si>
  <si>
    <t>5,5 руб * 1</t>
  </si>
  <si>
    <t>2.35</t>
  </si>
  <si>
    <t>Спектрометрия (альфа, или бета, или гамма) лабораторно с пробоподготовкой</t>
  </si>
  <si>
    <t>Таблица 91,  п. 4
A = 148 руб.; 
Количество = 4 (1 образец)</t>
  </si>
  <si>
    <t>148 руб * 4</t>
  </si>
  <si>
    <t>2.36</t>
  </si>
  <si>
    <t>Сумма от 2.1-2.35</t>
  </si>
  <si>
    <t>2.38</t>
  </si>
  <si>
    <t>Цены на составление программы производства работ. Средняя глубина исследования до 5 м. Исследуемая площадь до 1 км2</t>
  </si>
  <si>
    <t>200 руб * 1,25</t>
  </si>
  <si>
    <t>18,5  руб * 5,5 * 1,1</t>
  </si>
  <si>
    <t>1,6 руб * 5,5 * 1,3</t>
  </si>
  <si>
    <t>14,8 руб * 79,6</t>
  </si>
  <si>
    <t>Выдача государственными органами справок</t>
  </si>
  <si>
    <t>1 справка</t>
  </si>
  <si>
    <t>Таблица 99, п.3
A=50,70 руб; 
Количество = 12 (1 справка)</t>
  </si>
  <si>
    <t>Расходы по внутреннему транспорту. Расстояние от базы до участка изысканий св.10 до 15 км. Сметная стоимость полевых изыск.работ до 5 тыс.руб</t>
  </si>
  <si>
    <t>13.75% от п.1.11
4 101,42 руб * 13.75 / 100</t>
  </si>
  <si>
    <t>Расходы по организации и ликвидации работ с учетом коэффициента для изысканий со сметной стоимостью свыше 2 до 5 тыс. руб (К=2.0 - для изысканий со сметной стоимостью свыше 2 до 5 тыс. руб.;)</t>
  </si>
  <si>
    <t>Коэф - т 2 и 6% от п.1.11, 4.1
(4 101,42 + 563,95) руб * 2 * 6 / 100</t>
  </si>
  <si>
    <t>Справка о фоновых концентрациях загрязняющих веществ в атмосферном воздухе по данным госдарственной наблюдательной сети - 5 показателей</t>
  </si>
  <si>
    <t>1 показатель</t>
  </si>
  <si>
    <t xml:space="preserve">4730
</t>
  </si>
  <si>
    <t>Итого по фактическим затратам</t>
  </si>
  <si>
    <t>Сумма от п.6, п.8</t>
  </si>
  <si>
    <t>1И, 2И</t>
  </si>
  <si>
    <t xml:space="preserve">4И </t>
  </si>
  <si>
    <t>5И</t>
  </si>
  <si>
    <t>Индекс на II квартал 2024 года на проектные работы к уровню цен 01.01.2001</t>
  </si>
  <si>
    <t>Письмо Минстроя России от 27.04.2024 №24796-АЛ/09</t>
  </si>
  <si>
    <t xml:space="preserve">Коэф - т 5.94 от п.2
</t>
  </si>
  <si>
    <t xml:space="preserve">Письмо Минстроя России от 27.04.2024 №24796-АЛ/09     К=5.96   </t>
  </si>
  <si>
    <t>Коэф - т 5.96 от п.4</t>
  </si>
  <si>
    <t>Индекс на II квартал 2024 года на изыскательские работы к уровню цен на 01.01.1991</t>
  </si>
  <si>
    <t xml:space="preserve">Коэф - т 67,78 от п.5
</t>
  </si>
  <si>
    <t>Инженерно-геодезические изыскания</t>
  </si>
  <si>
    <t>Инженерно-геологические изыскания</t>
  </si>
  <si>
    <t>Инженерно-гидрометеорологические изыскания</t>
  </si>
  <si>
    <t>Инженерно-экологические изыскания.</t>
  </si>
  <si>
    <t>Ктек=5.94
инд.2кв.2024г.к 01.01.2001 на пр.раб.
Письмо Минстроя России от 27.04.2024 №24796-АЛ/09</t>
  </si>
  <si>
    <t>Индекс на 2 квартал 2024 года на проектные работы к уровню цен 01.01.2001</t>
  </si>
  <si>
    <t>Индекс на 2 квартал 2024 года на проектные работы к уровню цен 01.01.2021</t>
  </si>
  <si>
    <t xml:space="preserve">Коэф - т 1.4 от п.3
</t>
  </si>
  <si>
    <t>Ктек = 5.94 инд.2кв.2024г.к 01.01.2001 на пр.раб.
Письмо Минстроя России от 27.04.2024 №24796-АЛ/09</t>
  </si>
  <si>
    <t xml:space="preserve">Коэф - т 1.4 от п.13
</t>
  </si>
  <si>
    <t>Ктек = 1.29 инд.2кв.2024г.к 01.01.2022 на пр.раб.
Письмо Минстроя России от 27.04.2024 №24796-АЛ/09</t>
  </si>
  <si>
    <t>Ктек = 1.4 инд.1кв.2024г.к 01.01.2021 на пр.раб.
Письмо Минстроя России от 27.04.2024 №24796-АЛ/09</t>
  </si>
  <si>
    <t>Ктек = 1.4 инд.2кв.2024г.к 01.01.2021 на пр.раб.
Письмо Минстроя России от 27.04.2024 №24796-АЛ/09</t>
  </si>
  <si>
    <t>Составлена в уровне цен на 2 кв. 2024 г.</t>
  </si>
  <si>
    <t>Сметный расчет составлен в ценах 2 кв. 2024 г.</t>
  </si>
  <si>
    <t>Ктек = 5.94 инд.2кв.2024г.к 01.01.2021 на пр.раб.
Письмо Минстроя России от 27.04.2024 №24796-АЛ/09</t>
  </si>
  <si>
    <t>Составлена в уровне цен на 2  кв. 2024  г.</t>
  </si>
  <si>
    <t>Ктек=1.4
инд.2кв.2024г.к 01.01.2021 на пр.раб.
Письмо Минстроя России от 27.04.2024 №24796-АЛ/09</t>
  </si>
  <si>
    <t>Составлена в уровне цен на 4 кв. 2024 г.</t>
  </si>
  <si>
    <t>K3 = 1.4 При  сокращении  сроков проектирования по сравнению с нормативными  в 2 и более раз МУ 2009 г. Часть III п.3.11 (Ценообразующий)</t>
  </si>
  <si>
    <t>(A + B * Xзад) * Количество * Кст * K1 * K2* К3
(53100 руб + 186 руб * 2800) * 1 * 0.4 * 1.4 *  1,4</t>
  </si>
  <si>
    <t>(A + B * Xзад) * Количество * Кст * K1 * K2* К3
(21200 руб + 30176 руб * 3.429) * 1 * 0.4 *1,4</t>
  </si>
  <si>
    <t>(A + B * Xзад) * Количество * Кст * Ктек * K1 * K2
(437400 руб + 64 руб * 3460) * 1 * 0.4 * 1.4 * 1.2 *1,4</t>
  </si>
  <si>
    <t>(A + B * Xзад) * Количество * Кст * Ктек * K1 * K2
(199600 руб + 82 руб * 5220) * 1 * 0.4 * 1.4 * 1.2 * 1,4</t>
  </si>
  <si>
    <t>K2 = 1.4 При  сокращении  сроков проектирования по сравнению с нормативными  в 2 и более раз МУ 2009 г. Часть III п.3.11 (Ценообразующий)</t>
  </si>
  <si>
    <t>A * Количество * Кст * K1 * K2 
95200 руб * 1 * 0.4 * 1,4</t>
  </si>
  <si>
    <t>(A + B * (0.4 * Xмин + 0.6 * (Xмин / 2))) * Количество * Кст * K1 * K2 * K3 
(30800 руб + 608 руб * (0.4 * 100 + 0.6 * 100 / 2)) * 1 * 0.4 *  0.3*1,4</t>
  </si>
  <si>
    <t>(A + B * (0.4 * Xмин + 0.6 * (Xмин / 2))) * Количество * Кст * K1 * K2 * K3 
(35900 руб + 863 руб * (0.4 * 100 + 0.6 * 100 / 2)) * 1 * 0.4 *   0.9*1,4</t>
  </si>
  <si>
    <t>(A + B * Xзад) * Количество * Кст * K1 * K2 
(94800 руб + 970 руб * 248) * 1 * 0.4 *  *1,4</t>
  </si>
  <si>
    <t>(A + B * (0.4 * Xмин + 0.6 * (Xмин / 2))) * Количество * Кст * K1 * K2 * K3 
(107300 руб + 1475 руб * (0.4 * 100 + 0.6 * 100 / 2)) * 1 * 0.4 *   0.6*1,4</t>
  </si>
  <si>
    <t>(A + B * Xзад) * Количество * Кст * K1 * K2 
(122600 руб + 641 руб * 251) * 1 * 0.4 * 1,4</t>
  </si>
  <si>
    <t>(A + B * Xзад) * Количество * Кст * K1 * K2 * K3
(151900 руб + 1058 руб * 152) * 1 * 0.4 *1,4</t>
  </si>
  <si>
    <t xml:space="preserve">
K2 = 1.4 При  сокращении  сроков проектирования по сравнению с нормативными  в 2 и более раз МУ 2009 г. Часть III п.3.11 (Ценообразующий)</t>
  </si>
  <si>
    <t>(A + B * Xзад) * Количество * Кст * K1 * K2 * K3
(179400 руб + 1678 руб * 161) * 1 * 0.4 * 1,4</t>
  </si>
  <si>
    <t>(A + B * Xзад) * Количество * Кст * K1 * K2 
(270100 руб + 1769 руб * 109) * 1 * 0.4 *  1,4</t>
  </si>
  <si>
    <t>(A + B * (0.4 * Xмин + 0.6 * (Xмин / 2))) * Количество * Кст * K1 * K2 * K3 
(335200 руб + 2641 руб * (0.4 * 100 + 0.6 * 100 / 2)) * 1 * 0.4 *   0.56*1,4</t>
  </si>
  <si>
    <t>A * Количество * Кст * K1 * K2 * K3
33300 руб * 23 * 0.4 *1,4</t>
  </si>
  <si>
    <t>A * Количество * Кст * K1 * K2 
27700 руб * 1 * 0.4 *  1,4</t>
  </si>
  <si>
    <t>(A + B * Xзад) * Количество * Кст * Ктек * K1 * K2
(0 руб + 6400 руб * 21) * 1 * 0.4 * 1,29 * 1,4</t>
  </si>
  <si>
    <t>(A + B * Xзад) * Количество * Кст * Ктек * K1 * K2
(53100 руб + 186 руб * 1780) * 1 * 0.4 * 1.4  *1,4</t>
  </si>
  <si>
    <t>(A + B * (0.4 * Xмин + 0.6 * Xзад)) * Количество * Кст * Ктек * K1 * K2
(110100 руб + 7105 руб * 42) * 1 * 0.4 * 1.4 *1,4</t>
  </si>
  <si>
    <t>(A + B * Xзад) * Количество * Кст * K1 * K2
(53100 руб + 186 руб * 1236) * 1 * 0.4 *  1,4</t>
  </si>
  <si>
    <t>(A + B * Xзад) * Количество * Кст * K1 * K2
(53100 руб + 186 руб * 1784) * 1 * 0.4 *  1,4</t>
  </si>
  <si>
    <t>(A + B * Xзад) * Количество * Кст * K1 * K2* К3
(53100 руб + 186 руб * 2800) * 1 * 0,6 * 1.4 * 1,4</t>
  </si>
  <si>
    <t>(A + B * Xзад) * Количество * Кст * K1 * K2* К3
(21200 руб + 30176 руб * 3.429) * 1 * 0,6 *1,4</t>
  </si>
  <si>
    <t>(A + B * Xзад) * Количество * Кст * Ктек * K1 * K2
(437400 руб + 64 руб * 3460) * 1 * 0,6 * 1.4 * 1.2 * 1,4</t>
  </si>
  <si>
    <t>(A + B * Xзад) * Количество * Кст * Ктек * K1 * K2
(199600 руб + 82 руб * 5220) * 1 * 0,6 * 1.4 * 1.2 * 1,4</t>
  </si>
  <si>
    <t>A * Количество * Кст * K1 * K2 
95200 руб * 1 * 0.6 * 1,4</t>
  </si>
  <si>
    <t>(A + B * (0.4 * Xмин + 0.6 * (Xмин / 2))) * Количество * Кст * K1 * K2 * K3 
(30800 руб + 608 руб * (0.4 * 100 + 0.6 * 100 / 2)) * 1 * 0.6  * 0.3*1,4</t>
  </si>
  <si>
    <t>(A + B * (0.4 * Xмин + 0.6 * (Xмин / 2))) * Количество * Кст * K1 * K2 * K3 
(35900 руб + 863 руб * (0.4 * 100 + 0.6 * 100 / 2)) * 1 * 0.6 *  0.9*1,4</t>
  </si>
  <si>
    <t>(A + B * Xзад) * Количество * Кст * K1 * K2 
(94800 руб + 970 руб * 248) * 1 * 0.6 *  *1,4</t>
  </si>
  <si>
    <t>(A + B * (0.4 * Xмин + 0.6 * (Xмин / 2))) * Количество * Кст * K1 * K2 * K3 
(107300 руб + 1475 руб * (0.4 * 100 + 0.6 * 100 / 2)) * 1 * 0.6 * 0.6*1,4</t>
  </si>
  <si>
    <t>(A + B * Xзад) * Количество * Кст * K1 * K2 
(122600 руб + 641 руб * 251) * 1 * 0.6* 1,4</t>
  </si>
  <si>
    <t>(A + B * Xзад) * Количество * Кст * K1 * K2 * K3
(151900 руб + 1058 руб * 152) * 1 * 0.6 *  1,4</t>
  </si>
  <si>
    <t>(A + B * Xзад) * Количество * Кст * K1 * K2 * K3
(179400 руб + 1678 руб * 161) * 1 * 0.6 *  1,4</t>
  </si>
  <si>
    <t>(A + B * Xзад) * Количество * Кст * K1 * K2 
(270100 руб + 1769 руб * 109) * 1 * 0.6 *  1,4</t>
  </si>
  <si>
    <t>(A + B * (0.4 * Xмин + 0.6 * (Xмин / 2))) * Количество * Кст * K1 * K2 * K3 
(335200 руб + 2641 руб * (0.4 * 100 + 0.6 * 100 / 2)) * 1 * 0.6 * 0.56*1,4</t>
  </si>
  <si>
    <t>A * Количество * Кст * K1 * K2 * K3
33300 руб * 23 * 0.6 *1,4</t>
  </si>
  <si>
    <t>A * Количество * Кст * K1 * K2 
27700 руб * 1 * 0.6 *  1,4</t>
  </si>
  <si>
    <t>(A + B * Xзад) * Количество * Кст * Ктек * K1 * K2
(0 руб + 6400 руб * 21) * 1 * 0,6 * 1,29  *1,4</t>
  </si>
  <si>
    <t>(A + B * Xзад) * Количество * Кст * Ктек * K1 * K2
(53100 руб + 186 руб * 1780) * 1 * 0,6 * 1.4  *1,4</t>
  </si>
  <si>
    <t>(A + B * (0,6 * Xмин + 0.6 * Xзад)) * Количество * Кст * Ктек * K1 * K2
(110100 руб + 7105 руб * 42) * 1 * 0,6 * 1.4 *1,4</t>
  </si>
  <si>
    <t>(A + B * Xзад) * Количество * Кст * K1 * K2
(53100 руб + 186 руб * 1236) * 1 * 0,6 *  1,4</t>
  </si>
  <si>
    <t>(A + B * Xзад) * Количество * Кст * K1 * K2
(53100 руб + 186 руб * 1784) * 1 * 0,6 *  1,4</t>
  </si>
  <si>
    <t>Итого ПД</t>
  </si>
  <si>
    <t>Итого РД</t>
  </si>
  <si>
    <t>K2 = 1,1
Примечание 2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</si>
  <si>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63. Цены на комплексные исследования физико-механических свойств глинистых грунтов. п.17
A=101.9 руб; 
Количество = 20 (1 образец)</t>
  </si>
  <si>
    <t>101,9 руб * 20</t>
  </si>
  <si>
    <t>Полный комплекс
определений
физических
свойств</t>
  </si>
  <si>
    <t>Инженерно-геологические и инженерно-экологические изыскания для строительства. 1999 г. Глава 17. Единичные определения и комплексные исследования (испытания) физико-механических свойств грунтов (пород) Таблица 65. Цены на единичные определения физико-механических свойств песчаных грунтов. п.1
A= 45,5 руб; 
Количество = 2 (1 образец)</t>
  </si>
  <si>
    <t>45,5 руб * 2</t>
  </si>
  <si>
    <t>20% от п.2.1-2.5
4 928,20 руб * 20%</t>
  </si>
  <si>
    <t>Камеральная обработка комплексных исследований и отдельных определений физико-механических свойств грунтов (пород):. Песчаных</t>
  </si>
  <si>
    <t>СБЦи5.2_0-21-86-1 Таблица 86 п.2
Количество = 1</t>
  </si>
  <si>
    <t>15% от п.2.6
91,00 руб * 15%</t>
  </si>
  <si>
    <t>15% от п.2.7
109,20 руб * 15%</t>
  </si>
  <si>
    <t>12% от п.2.8
146,40 руб * 12%</t>
  </si>
  <si>
    <t>15% от п.2.9
182,8 руб * 15%</t>
  </si>
  <si>
    <t>СБЦи5.2_0-22-87-2-3 Таблица 87 п.1
Количество = 1</t>
  </si>
  <si>
    <t>3.13</t>
  </si>
  <si>
    <t>Письмо Минстроя РФ от 27.04.2024г. №24796-АЛ/09</t>
  </si>
  <si>
    <t>Исполнительная смета №2_ИГДИ_доп.</t>
  </si>
  <si>
    <t>Исполнительная смета №3 ИГИ</t>
  </si>
  <si>
    <t>Исполнительная смета №4 ИГМИ</t>
  </si>
  <si>
    <t>Исполнительная смета №5 ИЭИ</t>
  </si>
  <si>
    <t>Трамвайные пути</t>
  </si>
  <si>
    <t>Электроснабжение и заземление остановок</t>
  </si>
  <si>
    <t>Водоотведение от трамвайных путей</t>
  </si>
  <si>
    <t>Защитные мероприятия по сохранению инженерных коммуникаций</t>
  </si>
  <si>
    <t>Система управления остановочными пунктами. Информационные пилоны и видеонаблюдение</t>
  </si>
  <si>
    <t>«Адепт: Проект в 16.7»
© ООО «Адепт»</t>
  </si>
  <si>
    <t>форма №2П
от 05.08.2024г</t>
  </si>
  <si>
    <t>на изыскательские работы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</si>
  <si>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Ярославль в Ярославской области". 2 этап: "Строительство трамвайных путей и контактной сети. Участок от разворотного круга ул. Александра Невского до разворотного круга "Больница №9" (29-я линия)"</t>
  </si>
  <si>
    <t>Обследование трамвайных путей</t>
  </si>
  <si>
    <t>Сметный расчет составлен по следующим документам: Инженерно-геодезические изыскания при строительстве и эксплуатации зданий и сооружений. 2006 г.</t>
  </si>
  <si>
    <t>Сметный расчет составлен в ценах II кв. 2024 г.</t>
  </si>
  <si>
    <t>100 м подъездного пути</t>
  </si>
  <si>
    <t>1. Пол ком раб</t>
  </si>
  <si>
    <t>Составление технического отчета (пояснительной записки) по результатам инженерно-геодезических работ. Стоимость полевых и камеральных работ св. 100 до 250 тыс.руб.</t>
  </si>
  <si>
    <t>Инженерно-геодезические изыскания при строительстве и эксплуатации зданий и сооружений. 2006 г. Таблица 68. Составление технического отчета (пояснительной записки) по результатам инженерно-геодезических работ. п.2
Количество = 1</t>
  </si>
  <si>
    <t>((п.2.1+п.1.3) - 100 тыс.руб) * 3.6 / 100 + 6.6 тыс.руб
Сумма * Количество
8.563 тыс.руб * 1</t>
  </si>
  <si>
    <t>СБЦ на инж.из. для стр-ва "Инженерно-геодезические изыскания при строительстве и эксплуатации зданий и сооружений" (ОУ п. 9 Таблица 4)</t>
  </si>
  <si>
    <t>СБЦ на инж.из. для стр-ва "Инженерно-геодезические изыскания при строительстве и эксплуатации зданий и сооружений" (ОУ п. 10 Таблица 5)</t>
  </si>
  <si>
    <t>Расходы по организации и ликвидации работ с учетом коэффициента для изысканий со сметной стоимостью свыше 75 до 150 тыс. руб (К=1.5)</t>
  </si>
  <si>
    <t>СБЦ на инж.из. для стр-ва "Инженерно-геодезические изыскания при строительстве и эксплуатации зданий и сооружений" (ОУ п. 13)</t>
  </si>
  <si>
    <t>Индекс на II квартал 2024 года на изыскательские работы к уровню цен на 01.01.2001</t>
  </si>
  <si>
    <t>6И</t>
  </si>
  <si>
    <t>Составлена в уровне цен на  кв.  г.</t>
  </si>
  <si>
    <t>7И</t>
  </si>
  <si>
    <t>форма №2П, 707/пр
от 05.08.2024г</t>
  </si>
  <si>
    <t>Обследование остановочных павильонов</t>
  </si>
  <si>
    <t>Составлена в уровне цен на II кв. 2024 г.</t>
  </si>
  <si>
    <t>Наименование, номера глав, таблиц, параграфов и пунктов НЗ на проектные работы</t>
  </si>
  <si>
    <t>Сметная стоимость, тыс. руб.</t>
  </si>
  <si>
    <t>Корректирующий коэффициент, учитывающий строительный объем зданий и сооружений до 1000 м3</t>
  </si>
  <si>
    <t>K1 = 4.3
Таблица 11, п.1 (Ценообразующий)</t>
  </si>
  <si>
    <t>Коэф - т 5.96 от п.2</t>
  </si>
  <si>
    <t>8И</t>
  </si>
  <si>
    <t>форма №2П, 707/пр
от 06.08.2024г</t>
  </si>
  <si>
    <t>Обследование контактной сети</t>
  </si>
  <si>
    <t>Сбор исходных данных по объекту (подстанции или линии электропередачи), поручаемый Заказчиком проектной организации. ЛЭП. (Применительно)</t>
  </si>
  <si>
    <t>Объекты энергетики. Электросетевые объекты. 2016 г. Таблица 16. Высокочастотные каналы по линиям электропередачи, п.10.4
A=32.67 тыс.руб; 
Количество = 2 (1 объект)</t>
  </si>
  <si>
    <t>Полный комплекс работ
(100%):
A * Количество * Кст
32.67 тыс.руб * 2 * 1</t>
  </si>
  <si>
    <t>Коэф - т 5.94 от п.2</t>
  </si>
  <si>
    <t>Смета №8-ОБС</t>
  </si>
  <si>
    <t>Смета №6-ОБС</t>
  </si>
  <si>
    <t>Смета №13П</t>
  </si>
  <si>
    <t>Временное электроснабжение</t>
  </si>
  <si>
    <t>Стадия: Проектная документация</t>
  </si>
  <si>
    <t>Кст = 0.4</t>
  </si>
  <si>
    <t>В случае сокращения срока в 2 и более раз по требованию застройщика (технического заказчика) продолжительности проектных работ по сравнению с установленными нормами продолжительности проектирования при определении стоимости проектных работ по ценам МНЗ на проектные работы применяется ценообразующий коэффициент</t>
  </si>
  <si>
    <t>K1 = 1.4
Методика, 707/пр. Глава IX, п.169 (Ценообразующий)</t>
  </si>
  <si>
    <t>Проектирование сооружений кабельной электрической линии, расположенных на застроенной территории: с коэффициентом застройки свыше 50 до 80 процентов определяется с корректирующим коэффициентом</t>
  </si>
  <si>
    <t>K2 = 1.4
Табл.3.11.1, п.1.2 (Ценообразующий)</t>
  </si>
  <si>
    <t>Проектирование нескольких параллельных кабелей сооружений кабельной электрической линии, прокладываемых одинаковым способом определяется с корректирующим коэффициентом к стоимости проектирования каждого последующего после первого кабеля</t>
  </si>
  <si>
    <t>K3 = 1.9, n=4 (кол-во послед. кабелей)
Табл.3.11.1, п.2 (Ценообразующий)</t>
  </si>
  <si>
    <t>Проектирование сооружений кабельной электрической линии напряжением до 1 кВ определяется с корректирующим коэффициентом</t>
  </si>
  <si>
    <t>K4 = 0.8
Табл.3.11.1, п.3 (Ценообразующий)</t>
  </si>
  <si>
    <t>Смета №13Р</t>
  </si>
  <si>
    <t>Стадия: Рабочая документация</t>
  </si>
  <si>
    <t>Кст = 0.6</t>
  </si>
  <si>
    <t>Смета №14П</t>
  </si>
  <si>
    <t>Демонтаж</t>
  </si>
  <si>
    <t>Демонтаж остановочных павильонов (прим. Пассажирские здания, турникетно-кассовые павильоны, навесы и платформы. Навесы пассажирские. Навесы пассажирские площадью от 250 до 500 м2.)</t>
  </si>
  <si>
    <t>При определении базовой цены проектирования в случае сокращения по просьбе заказчика, установленного в задании на проектирование, сроков проектирования по сравнению с нормативными рекомендуется применять коэффициенты: при сокращении срока в 2 и более раз</t>
  </si>
  <si>
    <t>K1 = 1.4
МУ 2009 г. Часть III п.3.11 (Ценообразующий)</t>
  </si>
  <si>
    <t>Базовая цена разработки раздела «Проект организации работ по сносу или демонтажу объектов капитального строительства», в случае необходимости выполнения этой работы, определяется с применением коэффициента для площадочных сооружений, учитывающих соотношение трудоемкости проектных работ для объекта в условиях капитального строительства и разработки документации для осуществления демонтажа аналогичного объекта</t>
  </si>
  <si>
    <t>K2 = 0.2
Глава 2, п.2.5 (Ценообразующий)</t>
  </si>
  <si>
    <t>При проектировании объектов в городах с населением от 500 тыс. человек до 1 млн. к базовым ценам применяется коэффициент</t>
  </si>
  <si>
    <t>K3 = 1.1
Глава 2, п.2.1 (Ценообразующий)</t>
  </si>
  <si>
    <t>К'пон = Xзад / (0.5 * Xмин)</t>
  </si>
  <si>
    <t>K4 = 0.1
понижающий коэффициент, учитывающий разницу в трудоемкости работ по проектируемому объекту и объекту аналогу (Ценообразующий)</t>
  </si>
  <si>
    <t>Демонтаж трамвайных путей</t>
  </si>
  <si>
    <t>Наземная линия скоростного трамвая протяженностью одиночного пути, км. 
5,49 км.о.п. - протяженность трамвайного пути в одну сторону</t>
  </si>
  <si>
    <t>Объекты жилищно-гражданского строительства. 2010 г. Раздел 4. Таблица 35. Наземные линии скоростного трамвая. Обычные трамвайные линии п.1
B=98.56 тыс.руб;
Осн. показ. Х=5.49 (км) 
Количество = 1</t>
  </si>
  <si>
    <t>(A + B * Xзад) * Количество * Кст * K1 * K2 * K3
(0 тыс.руб + 98.56 тыс.руб * 5.49) * 1 * 0.4 * 0.35 * 1.4 * 1.1</t>
  </si>
  <si>
    <t>Базовая цена разработки раздела «Проект организации работ по сносу или демонтажу объектов капитального строительства», в случае необходимости выполнения этой работы, определяется с применением коэффициента для линейных объектов, учитывающих соотношение трудоемкости проектных работ для объекта в условиях капитального строительства и разработки документации для осуществления демонтажа аналогичного объекта</t>
  </si>
  <si>
    <t>K1 = 0.35
СБ-цип-2008-2017-2.4 (Ценообразующий)</t>
  </si>
  <si>
    <t>K2 = 1.4
МУ 2009 г. Часть III п.3.11 (Ценообразующий)</t>
  </si>
  <si>
    <t>При проектировании объектов в городах с населением от 500 тысяч человек до 1 миллиона человек к ценам применяется коэффициент</t>
  </si>
  <si>
    <t>K3 = 1.1
Глава 2.11, п.2.11.4 (Ценообразующий)</t>
  </si>
  <si>
    <t>Наземная линия скоростного трамвая протяженностью одиночного пути, км. 
4,71 км.о.п. - протяженность второго пути рядом с первым (в обратную сторону)</t>
  </si>
  <si>
    <t>Объекты жилищно-гражданского строительства. 2010 г. Раздел 4. Таблица 35. Наземные линии скоростного трамвая. Обычные трамвайные линии п.1
B=98.56 тыс.руб;
Осн. показ. Х=4.71 (км) 
Количество = 1</t>
  </si>
  <si>
    <t>(A + B * Xзад) * Количество * Кст * K1 * K2 * K3 * K4
(0 тыс.руб + 98.56 тыс.руб * 4.71) * 1 * 0.4 * 0.35 * 1.4 * 1.1 * 0.3</t>
  </si>
  <si>
    <t>Стоимость проектирования рядом лежащего второго пути применяется коэффициент</t>
  </si>
  <si>
    <t>K4 = 0.3
Глава 2.11, п. 2.11.8 (Ценообразующий)</t>
  </si>
  <si>
    <t>Итого Демонтаж трамвайных путей:</t>
  </si>
  <si>
    <t>Всего Демонтаж трамвайных путей:</t>
  </si>
  <si>
    <t>Демонтаж контактной сети</t>
  </si>
  <si>
    <t>Объекты жилищно-гражданского строительства. 2010 г. Раздел 4. Таблица 36. Контактные сети и транспортные узлы троллейбусных и трамвайных линий, п.1
A=29.05 тыс.руб; B=7.4 тыс.руб;
Осн. показ. Х=5.49 (км) 
Количество = 1</t>
  </si>
  <si>
    <t>(A + B * Xзад) * Количество * Кст * K1 * K2 * K3 * K4
(29.05 тыс.руб + 7.4 тыс.руб * 5.49) * 1 * 0.4 * 0.35 * 1.4 * 1.1 * 0.9</t>
  </si>
  <si>
    <t>Базовая цена проектирования контактной сети трамвайной линии определяется с применением коэффициента</t>
  </si>
  <si>
    <t>K4 = 0.9
Глава 2.11, п.2.11.11 (Ценообразующий)</t>
  </si>
  <si>
    <t>Объекты жилищно-гражданского строительства. 2010 г. Раздел 4. Таблица 36. Контактные сети и транспортные узлы троллейбусных и трамвайных линий, п.1
A=29.05 тыс.руб; B=7.4 тыс.руб;
Осн. показ. Х=4.71 (км) 
Количество = 1</t>
  </si>
  <si>
    <t>Итого Демонтаж контактной сети:</t>
  </si>
  <si>
    <t>Всего Демонтаж контактной сети:</t>
  </si>
  <si>
    <t>Коэф - т 5.94 от п.4</t>
  </si>
  <si>
    <t>(A + B * Xзад) * Количество * Кст * K1 * K2 * K3
(0 тыс.руб + 98.56 тыс.руб * 5.49) * 1 * 0.6 * 0.35 * 1.4 * 1.1</t>
  </si>
  <si>
    <t>(A + B * Xзад) * Количество * Кст * K1 * K2 * K3 * K4
(0 тыс.руб + 98.56 тыс.руб * 4.71) * 1 * 0.6 * 0.35 * 1.4 * 1.1 * 0.3</t>
  </si>
  <si>
    <t>(A + B * Xзад) * Количество * Кст * K1 * K2 * K3 * K4
(29.05 тыс.руб + 7.4 тыс.руб * 5.49) * 1 * 0.6 * 0.35 * 1.4 * 1.1 * 0.9</t>
  </si>
  <si>
    <t>13П</t>
  </si>
  <si>
    <t>14П</t>
  </si>
  <si>
    <t>13Р</t>
  </si>
  <si>
    <t>14Р</t>
  </si>
  <si>
    <t>К4 = 1.11 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инженерных сетей и сооружений. Кабельные линии напряжением до 0.4-10 кВ (Методика, Приказ №854, прил.1, табл.1.5, п.4)</t>
  </si>
  <si>
    <t>(A + B * Xзад) * Количество * Кст * Ктек * K1 * К2* К3 * К4
(53100 руб + 186 руб * 2950) * 1 * 0.4 * 1.4 * 1.4 * 1,4 * 1.11</t>
  </si>
  <si>
    <t>(A + B * Xзад) * Количество * Кст * Ктек * K1 * К2* К3 * К4
(53100 руб + 186 руб * 2950) * 1 * 0,6 * 1.4 * 1.4 * 1,4 * 1.11</t>
  </si>
  <si>
    <t xml:space="preserve">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автомобильных дорог и транспортных развязок и объектов железнодорожного транспорта. Контактная сеть </t>
  </si>
  <si>
    <t xml:space="preserve">Коэф - т 5.94 от п.5
</t>
  </si>
  <si>
    <t>К5= 1.1 Корректирующий коэффициент, применяемый к относительной стоимости разделов ПЗУ, АР, КР, ИОС (ЭО, ВС, ВО, СС, ГС, ТХ), ПОС, СМ ПД и соответствующих комплектов РД, содержащих материалы в форме информационной модели объектов жилищно-гражданского строительства. Автостоянки: плоскостная стоянка для открытого хранения автомобилей (Методика, Приказ №854, прил.1, табл.1.1, п.61)</t>
  </si>
  <si>
    <t>Разделы документации (1.0% + 3.0%*1,1 + 9.0%*1,1 + 12.0%*1,1 + 5.0%*1,1 + 4.0%*1,1 + 5.0%*1,1 + 4.0%*1,1 + 2.0%*1,1 + 31.0%*1,1 + 4.0%*1,1 + 9.0% + 5.0% + 1.0% + 5.0%*1,1) = 108,4%</t>
  </si>
  <si>
    <t>(A + B * (0.4 * Xмин + 0.6 * (Xмин / 2))) * Количество * Кст * K1 * K2 * K3 * K4
(48500 руб + 30 руб * (0.4 * 150 + 0.6 * 150 / 2)) * 21 * 0.4 * 1.1 * 0.7*1,4*1,084</t>
  </si>
  <si>
    <t>К5 = 1.07 Корректирующий коэффициент, применяемый к относительной стоимости разделов ПЗУ, АР, КР, ИОС (ЭО, ВС, ВО, СС, ГС, ТХ), ПОС, СМ ПД и соответствующих комплектов РД, содержащих материалы в форме информационной модели объектов жилищно-гражданского строительства. Автостоянки: гараж (Методика, Приказ №854, прил.1, табл.1.1, п.60)</t>
  </si>
  <si>
    <t>(35000 руб + 190 руб * (0.4 * 250 + 0.6 * 250 / 2)) * 21 * 0.4 * 0.35 *  1.1 * 0.1*1,4 * 1,058</t>
  </si>
  <si>
    <t>К5 = 1.10 Корректирующий коэффициент, применяемый к относительной стоимости разделов ПЗУ, АР, КР, ИОС (ЭО, ВС, ВО, СС, ГС, ТХ), ПОС, СМ ПД и соответствующих комплектов РД, содержащих материалы в форме информационной модели объектов жилищно-гражданского строительства. Автостоянки: плоскостная стоянка для открытого хранения автомобилей (Методика, Приказ №854, прил.1, табл.1.1, п.61)</t>
  </si>
  <si>
    <t>Разделы документации (1.0% + 3.0%*1,1 + 7.0%*1,1 + 12.0%*1,1 + 7.0%*1,1 + 8.0%*1,1 + 3.0%*1,1 + 5.0%*1,1 + 5.0%*1,1 + 42.0%*1,1 + 1.0%*1,1 + 6.0%*1,1 + 4.0%*1,1) = 114,2%</t>
  </si>
  <si>
    <t>(35000 руб + 190 руб * (0.4 * 250 + 0.6 * 250 / 2)) * 21 * 0.6 * 0.35 *  1.1 * 0.1*1,4*1,1114</t>
  </si>
  <si>
    <t>Итого ИИ</t>
  </si>
  <si>
    <t>Обоснование</t>
  </si>
  <si>
    <t>34</t>
  </si>
  <si>
    <t>35</t>
  </si>
  <si>
    <t>36</t>
  </si>
  <si>
    <t>37</t>
  </si>
  <si>
    <t>38</t>
  </si>
  <si>
    <t>39</t>
  </si>
  <si>
    <t>40</t>
  </si>
  <si>
    <t>41</t>
  </si>
  <si>
    <t>Смета №12П</t>
  </si>
  <si>
    <t>Смета №1Р</t>
  </si>
  <si>
    <t>Смета №2Р</t>
  </si>
  <si>
    <t>Смета №3Р</t>
  </si>
  <si>
    <t>Смета №4Р</t>
  </si>
  <si>
    <t>Смета №5Р</t>
  </si>
  <si>
    <t>Смета №7Р</t>
  </si>
  <si>
    <t>Смета №8Р</t>
  </si>
  <si>
    <t>Смета №9Р</t>
  </si>
  <si>
    <t>Смета № 10Р</t>
  </si>
  <si>
    <t>Составлена в уровне цен на 2 кв. 2024г.</t>
  </si>
  <si>
    <t>K4 = 1.1 При проектировании объектов в городах с населением от 500 тысяч человек до 1 миллиона человек к ценам применяется коэффициент Глава 2. п.2.1 (Ценообразующий)
K5 = 1.4 При  сокращении  сроков проектирования по сравнению с нормативными  в 2 и более раз МУ 2009 г. Часть III п.3.11 (Ценообразующий)</t>
  </si>
  <si>
    <t>Стадия: Проектная документация Кст = 0.2</t>
  </si>
  <si>
    <t>Стадия: Рабочая документация Кст = 0,8</t>
  </si>
  <si>
    <t>K4 = 1.1 При проектировании объектов в городах с населением от 500 тысяч человек до 1 миллиона человек к ценам применяется коэффициент Глава 2, п.2.1 (Ценообразующий)
K5 = 1.4 При  сокращении  сроков проектирования по сравнению с нормативными  в 2 и более раз МУ 2009 г. Часть III п.3.11 (Ценообразующий)</t>
  </si>
  <si>
    <t>Стадия: Проектная документация Кст = 0.6</t>
  </si>
  <si>
    <t>Стадия: Рабочая документация Кст = 0,4</t>
  </si>
  <si>
    <t>K1 = 1.4 При  сокращении  сроков проектирования по сравнению с нормативными  в 2 и более раз МУ 2009 г. Часть III п.3.11 (Ценообразующий)</t>
  </si>
  <si>
    <t xml:space="preserve">
K1 = 1.4 При  сокращении  сроков проектирования по сравнению с нормативными  в 2 и более раз МУ 2009 г. Часть III п.3.11 (Ценообразующий)</t>
  </si>
  <si>
    <t>(A + B * (0.4 * Xмин + 0.6 * (Xмин / 2))) * Количество * Кст * K1 * K2 * K3
(178740 руб + 3150 руб * (0.4 * 500 + 0.6 * 500 / 2)) * 1 * 0.44 *  0.7*1,4</t>
  </si>
  <si>
    <t>Стадия: Проектная документация Кст = 0.5</t>
  </si>
  <si>
    <t>(A + B * Xзад) * Количество * Кст * K1
(36610 руб + 4570 руб * 10) * 1 * 0.5 *1,4</t>
  </si>
  <si>
    <t>Стадия: Рабочая документация Кст = 0,56</t>
  </si>
  <si>
    <t>Разделы документации :
Организация содержания автомобильных дорог - 6% 
Сметная документация = 0,06 * 0,11 = 0,66%</t>
  </si>
  <si>
    <t xml:space="preserve">К = 6% + 0,66% = 6,66% </t>
  </si>
  <si>
    <t>Стадия: Проектная документация Кст = 0.34
K1 = 1.4 При  сокращении  сроков проектирования по сравнению с нормативными  в 2 и более раз МУ 2009 г. Часть III п.3.11 (Ценообразующий)</t>
  </si>
  <si>
    <t>(A + B * L) * Количество * Кст
(275380 руб + 73060 руб * 5.1) * 1 * 0.34 * 0.0666 *1 ,4</t>
  </si>
  <si>
    <t>Разделы документации Организация и безопасность движения, обустройство дорог (12%) = 12%
Сметная документация (0,96%) = 0,96%</t>
  </si>
  <si>
    <t xml:space="preserve">Защитные мероприятия по сохранению инженерных коммуникаций, находящихся в зоне реконструкции Проектная документация. Проектная документация </t>
  </si>
  <si>
    <t xml:space="preserve">Остановочные пункты. Проектная документация </t>
  </si>
  <si>
    <t xml:space="preserve">«Строительство трамвайных путей и контактной сети. г. Ярославль.
</t>
  </si>
  <si>
    <t>ПОДД на период строительства. Проектная  документация.</t>
  </si>
  <si>
    <t>Временное электроснабжение. Проектная документация</t>
  </si>
  <si>
    <t>Демонтаж. Проектная документация</t>
  </si>
  <si>
    <t>Защитные мероприятия по сохранению инженерных коммуникаций, находящихся в зоне реконструкции Рабочая документация.  Рабочая  документация.</t>
  </si>
  <si>
    <t>Остановочные пункты.  Рабочая  документация.</t>
  </si>
  <si>
    <t>Проект организации дорожного движения на период строительства.  Рабочая  документация.</t>
  </si>
  <si>
    <t>Временное электроснабжение.  Рабочая  документация.</t>
  </si>
  <si>
    <t>Обследовательские и обмерные работы трамвайных линий строительной длиной 10,675 км.</t>
  </si>
  <si>
    <t>Полный комплекс работ
(100%):
A * Количество
1.109 тыс.руб * 106,75</t>
  </si>
  <si>
    <t>Инженерно-геодезические изыскания при строительстве и эксплуатации зданий и сооружений. 2006 г. Часть 3. Базовые цены на обмерные работы Глава 10. Топографические и обмерные работы для составления технических паспортов подъезных железнодорожных путей и техническо-распорядительных актов железнодорожных станций Таблица 55. Топографические и обмерные работы для составления технических паспортов подъездных железнодорожных путей п.1
A=1109 руб; 
Количество = 106,75 (100 м подъездного пути)</t>
  </si>
  <si>
    <t>Инженерно-геодезические изыскания при строительстве и эксплуатации зданий и сооружений. 2006 г. Часть 3. Базовые цены на обмерные работы Глава 10. Топографические и обмерные работы для составления технических паспортов подъезных железнодорожных путей и техническо-распорядительных актов железнодорожных станций Таблица 55. Топографические и обмерные работы для составления технических паспортов подъездных железнодорожных путей п.1
A=406 руб; 
Количество = 106,75 (100 м подъездного пути)</t>
  </si>
  <si>
    <t>Полный комплекс работ
(100%):
A * Количество
0.406 тыс.руб * 106,75</t>
  </si>
  <si>
    <t>Раздел ПД № 3 Часть 1 стр. 115 по pdf</t>
  </si>
  <si>
    <t>250 км</t>
  </si>
  <si>
    <t>Раздел ПД № 3 Часть 2 стр. 18 по пдф</t>
  </si>
  <si>
    <t>том 9.4</t>
  </si>
  <si>
    <t>Расходы по внешнему транспорту. Расстояние проезда и перевозки в одном направлении св. 100 до 300 км. Продолжительность экспедиции до 1 мес</t>
  </si>
  <si>
    <t>A * Количество * Кст * Ктек * K1 * K2
5320 руб * 21 * 0.2 * 5.94  * 1.5 * 1,1*1,4</t>
  </si>
  <si>
    <t>(A + B * (0.4 * Xмакс + 0.6 * Xзад)) * Количество * Кст * K1 * K2 * K3 * K4
(155600 руб + 15 руб * (0.4 * 1000 + 0.6 * 3195)) * 1 * 0.6 *   1,15 * 1,1*1,4</t>
  </si>
  <si>
    <t>A * Количество * Кст * Ктек * K1 * K2
5320 руб * 21 * 0,8 * 5.94  * 1.5 *  1,1*1,4</t>
  </si>
  <si>
    <t>Исполнительная смета №1_ ИГДИ</t>
  </si>
  <si>
    <t>Часть I, Глава 1, Таблица 8п.3
A=6.426 тыс.руб; 
Количество = 8 (1 шт.)</t>
  </si>
  <si>
    <t>Часть I, Глава 1, Таблица 8 п.4
A=1.897 тыс.руб; 
Количество = 8 (1 пункт)</t>
  </si>
  <si>
    <t>5 370 руб * 7,78</t>
  </si>
  <si>
    <t xml:space="preserve">Создание инженерно-топографических планов                              в М 1:500, с сечением рельефа 0,5 м. Застроенная территория, Категория сложности  III    </t>
  </si>
  <si>
    <r>
      <t xml:space="preserve">Стоимость полевых работ при узких полос. </t>
    </r>
    <r>
      <rPr>
        <b/>
        <sz val="10"/>
        <color rgb="FF00B050"/>
        <rFont val="Times New Roman"/>
        <family val="1"/>
        <charset val="204"/>
      </rPr>
      <t>(Ширина полосы сьемки составляет 30 м)</t>
    </r>
  </si>
  <si>
    <r>
      <t xml:space="preserve">Часть I, Глава </t>
    </r>
    <r>
      <rPr>
        <sz val="10"/>
        <color rgb="FF00B050"/>
        <rFont val="Times New Roman"/>
        <family val="1"/>
        <charset val="204"/>
      </rPr>
      <t>7</t>
    </r>
    <r>
      <rPr>
        <sz val="10"/>
        <color indexed="64"/>
        <rFont val="Times New Roman"/>
        <family val="1"/>
        <charset val="204"/>
      </rPr>
      <t>, Таблица 46. п.11
A=0.041 тыс.руб; 
Количество = 8 (1 пункт)</t>
    </r>
  </si>
  <si>
    <t>Часть I, Глава 1, Таблица 8 п.3
A=2.538 тыс.руб; 
Количество = 8 (1 шт.)</t>
  </si>
  <si>
    <t>Часть I, Глава 1, Таблица 8 п.4
A=0.428 тыс.руб; 
Количество = 8 (1 пункт)</t>
  </si>
  <si>
    <r>
      <t xml:space="preserve">Часть II, Глава 8, Таблица </t>
    </r>
    <r>
      <rPr>
        <sz val="10"/>
        <color rgb="FF00B050"/>
        <rFont val="Times New Roman"/>
        <family val="1"/>
        <charset val="204"/>
      </rPr>
      <t>74</t>
    </r>
    <r>
      <rPr>
        <sz val="10"/>
        <color indexed="64"/>
        <rFont val="Times New Roman"/>
        <family val="1"/>
        <charset val="204"/>
      </rPr>
      <t>.п.1
A=0.109 тыс.руб; 
Количество = 44 (1 дм профиля)</t>
    </r>
  </si>
  <si>
    <t xml:space="preserve">Согласование подземных коммуникации с эксплуатирующими организациями.     </t>
  </si>
  <si>
    <t>Сумма от п.2.9</t>
  </si>
  <si>
    <t>K1 = 0.5
Часть VIII, Глава 25, примечание 1 к таблице 93</t>
  </si>
  <si>
    <t>Инженерно-геологические и инженерно-экологические изыскания для строительства. 1999 г. Глава 5. Механическое ударно-канатное бурение, Таблица 20 Сопутствующие работы.;  п.2
A=1,5 руб; 
Количество = 89 (1 м)</t>
  </si>
  <si>
    <t>1,5 руб * 89 * 0,6</t>
  </si>
  <si>
    <t>Инженерно-геологические и инженерно-экологические изыскания для строительства. 1999 г. Глава 5. Механическое ударно-канатное бурение Таблица 20. Сопутствующие работы. п.9
A=5.5 руб; 
Количество = 89 (1 м)</t>
  </si>
  <si>
    <t>5,5 руб * 89</t>
  </si>
  <si>
    <t>Сумма от п. 1.11</t>
  </si>
  <si>
    <t>Сумма от п.2.1-2.9</t>
  </si>
  <si>
    <t>Сумма от п. 2.10</t>
  </si>
  <si>
    <r>
      <t>Инженерно-геологические и инженерно-экологические. 1999 г. Глава 20. Предполевые камеральные работы Таблица 81. Цены на составление программы производства работ. п.</t>
    </r>
    <r>
      <rPr>
        <sz val="10"/>
        <color rgb="FF00B05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
A=500 руб; 
Количество = 1 (1 программа)</t>
    </r>
  </si>
  <si>
    <t>Инженерно-геологические и инженерно-экологические. 1999 г. Глава 21. Камеральная обработка материалов полевых и лабораторных работ Таблица 82. Цены на камеральную обработку материалов буровых и горнопроходческих работ. п.1
A=8,2 руб; 
Количество = 57 (1 м выработки)</t>
  </si>
  <si>
    <t>8,2 руб * 57</t>
  </si>
  <si>
    <t>Инженерно-геологические и инженерно-экологические. 1999 г. Глава 21. Камеральная обработка материалов полевых и лабораторных работ Таблица 82. Цены на камеральную обработку материалов буровых и горнопроходческих работ. п.2
A=9,3 руб; 
Количество = 89 (1 м выработки)</t>
  </si>
  <si>
    <t>9,3 руб * 89</t>
  </si>
  <si>
    <t>21% от п.3.2-3.11
2 782,31 тыс.руб * 21% * 1.5</t>
  </si>
  <si>
    <t>Часть II, Глава 8, Таблица 43. Цены на рекогносцировочное обследование бассейна реки п.2
A=18 руб; 
Количество = 5,5 (1 км маршрута)</t>
  </si>
  <si>
    <t>Часть II, Глава 8, Таблица 43. Цены на рекогносцировочное обследование бассейна реки п.2
A=6 руб; 
Количество = 5.5 (1 км маршрута)</t>
  </si>
  <si>
    <t>Часть II, Глава 12, Таблица 69. Цены на составление климатической характеристики района изысканий п.1
A=201 руб; 
Количество = 1 (1 записка)</t>
  </si>
  <si>
    <t>Часть II, Глава 12, Таблица 68. Цены на метеорологические расчеты п.23
A=331 руб; 
Количество = 1 (1 расчет)</t>
  </si>
  <si>
    <t>Часть II, Глава 11, Таблица 51. Цены на обобщение материалов гидрометеорологической изученности п.3
A=61 руб; 
Количество = 1 (1 схема)</t>
  </si>
  <si>
    <t>Сумма от п. 2.1-2.5</t>
  </si>
  <si>
    <t>Часть 2 Глава 11 Таблица 53-1.2. Цены на составление программы производства гидрологических работ п.1
A=450 руб; 
Количество = 1 (1 программа)</t>
  </si>
  <si>
    <t>Таблица 62. Составление технического отчета. п.2
Количество = 1</t>
  </si>
  <si>
    <t>K1 = 1,15
(прим 6 к табл.62)</t>
  </si>
  <si>
    <t>ОУ п. 9 Таблица 4, п.3</t>
  </si>
  <si>
    <t>ОУ п. 13, прим. 1 к ОУ п.13 - К=2,5 для изысканий со сметной стоимостью до 2 тыс. руб.</t>
  </si>
  <si>
    <t>Сумма от п.3.1-3.2</t>
  </si>
  <si>
    <t>Сумма от 1.4, п.2.9, п.3.3</t>
  </si>
  <si>
    <t>Глава 1, Таблица 9,  п.1
A=23,3 руб; 
Количество = 5,5 (1 км маршрута)</t>
  </si>
  <si>
    <t>Глава 1, Таблица 10, п.4
A=16.3 руб; 
Количество = 5,5 (1 км маршрута)</t>
  </si>
  <si>
    <t>Глава 16, Таблица 60, п.7
A=6.9 руб; 
Количество = 6 (1 проба)</t>
  </si>
  <si>
    <t>Глава 16, Таблица 60, п.10
A=37.7 руб; 
Количество = 8 (1 проба)</t>
  </si>
  <si>
    <t>Глава 16, Таблица 60,  п.10
A=37.7 руб; 
Количество = 8 (1 проба)</t>
  </si>
  <si>
    <t>Глава 16, Таблица 60, п.7
A= 6,9 руб; 
Количество = 4 (1 проба)</t>
  </si>
  <si>
    <t>Глава 16, Таблица 60, п.2
A=7.6 руб; 
Количество = 1 (1 проба)</t>
  </si>
  <si>
    <t>Глава 24, Таблица 92, п.3
A=49.2 руб; 
Количество = 79,6 (0,1 га)</t>
  </si>
  <si>
    <t>49,2 руб * 79,6</t>
  </si>
  <si>
    <t>ОУ, п.14 К-0,85 от п. 1.9</t>
  </si>
  <si>
    <t>Глава 20, Таблица 81, п.1
A=200 руб; 
Количество = 1 (1 программа)</t>
  </si>
  <si>
    <t>Глава 1, Таблица 9, п.1
A=18,5 руб; 
Количество = 5,5 (1 км маршрута)</t>
  </si>
  <si>
    <t>Глава 1, Таблица 10, п.4
A=1,6 руб; 
Количество = 1 (1 км маршрута)</t>
  </si>
  <si>
    <t>Глава 24, Таблица 92, п.3
A=14.8 руб; 
Количество = 79,6  (0,1 га)</t>
  </si>
  <si>
    <t>Таблица 86, п.6
Количество = 1</t>
  </si>
  <si>
    <t>20% от п.2.38
2 723,00 руб * 20%</t>
  </si>
  <si>
    <t>50,70 руб * 12</t>
  </si>
  <si>
    <t>ОУ п. 9 Таблица 4, п. 3</t>
  </si>
  <si>
    <t>ОУ п. 13, прим.1 к ОУ п.13</t>
  </si>
  <si>
    <t>Железные дороги. 2014 г. Таблица 7. Пассажирские здания, турникетно-кассовые павильоны, навесы и платформы, п.4.1
A=35 тыс.руб; B=0.19 тыс.руб;
Xмин=250; 
Осн. показ. Х=11.94 (м2) 
Количество = 5</t>
  </si>
  <si>
    <t>(A + B * (0.4 * Xмин + 0.6 * (Xмин / 2))) * Количество * Кст * K1 * K2 * K3 * K4
(35 тыс.руб + 0.19 тыс.руб * (0.4 * 250 + 0.6 * 250 / 2)) * 5 * 0.4 * 1.4 * 0.2 * 1.1 * 0.1</t>
  </si>
  <si>
    <r>
      <t xml:space="preserve">Составление технического отчета (заключения) о результатах выполненных работ. Стоимость камеральных работ </t>
    </r>
    <r>
      <rPr>
        <b/>
        <sz val="10"/>
        <color rgb="FF00B050"/>
        <rFont val="Times New Roman"/>
        <family val="1"/>
        <charset val="204"/>
      </rPr>
      <t>до</t>
    </r>
    <r>
      <rPr>
        <b/>
        <sz val="10"/>
        <rFont val="Times New Roman"/>
        <family val="1"/>
        <charset val="204"/>
      </rPr>
      <t xml:space="preserve"> 5 тыс.руб. Категория сложности инженерно-геологических условий II</t>
    </r>
  </si>
  <si>
    <r>
      <t>Таблица 87,  п.</t>
    </r>
    <r>
      <rPr>
        <sz val="10"/>
        <color rgb="FF00B05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
Количество = 1</t>
    </r>
  </si>
  <si>
    <r>
      <rPr>
        <sz val="10"/>
        <color rgb="FF00B050"/>
        <rFont val="Times New Roman"/>
        <family val="1"/>
        <charset val="204"/>
      </rPr>
      <t>21</t>
    </r>
    <r>
      <rPr>
        <sz val="10"/>
        <rFont val="Times New Roman"/>
        <family val="1"/>
        <charset val="204"/>
      </rPr>
      <t>% от п.3.2-3.</t>
    </r>
    <r>
      <rPr>
        <sz val="10"/>
        <color rgb="FF00B05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
</t>
    </r>
    <r>
      <rPr>
        <sz val="10"/>
        <color rgb="FF00B050"/>
        <rFont val="Times New Roman"/>
        <family val="1"/>
        <charset val="204"/>
      </rPr>
      <t>1 846,05</t>
    </r>
    <r>
      <rPr>
        <sz val="10"/>
        <rFont val="Times New Roman"/>
        <family val="1"/>
        <charset val="204"/>
      </rPr>
      <t xml:space="preserve"> руб * </t>
    </r>
    <r>
      <rPr>
        <sz val="10"/>
        <color rgb="FF00B050"/>
        <rFont val="Times New Roman"/>
        <family val="1"/>
        <charset val="204"/>
      </rPr>
      <t>21</t>
    </r>
    <r>
      <rPr>
        <sz val="10"/>
        <rFont val="Times New Roman"/>
        <family val="1"/>
        <charset val="204"/>
      </rPr>
      <t>%</t>
    </r>
  </si>
  <si>
    <t>Расходы по внутреннему транспорту. Расстояние от базы до участка изысканий до 5 км. Сметная стоимость полевых изыск.работ св.75 до 1500 тыс.руб</t>
  </si>
  <si>
    <t>7,5% от п.1.3</t>
  </si>
  <si>
    <t>2 км</t>
  </si>
  <si>
    <t>19,6% от п.1.3 и 3.1</t>
  </si>
  <si>
    <t>Коэф - т 1.5 и 6% от п.1.3, 3.1</t>
  </si>
  <si>
    <t>Справочник базовых цен на обмерные работы и обследования зданий и сооружений. 2016 г. Глава 3. Базовые цены на выполнение обмерных работ и обследований. Таблица 1. Базовые цены на выполнение обмерных работ для одноэтажных зданий, п.3
B=0.3838 тыс.руб;
Осн. показ. Х=0.225 (100 м3) 
Количество = 5</t>
  </si>
  <si>
    <t>(A + B * Xзад) * Количество * K1
(0 тыс.руб + 0.3838 тыс.руб * 0.225) * 5 * 4.3</t>
  </si>
  <si>
    <t>(A + B * L) * Количество * Кст
(275380 руб + 73060 руб * 5.1) * 1 * 0.34 * 0.0666*1,4</t>
  </si>
  <si>
    <t xml:space="preserve">К = 12% + 0,96% = 11,52% </t>
  </si>
  <si>
    <t>(A + B * L) * Количество * Кст
(275380 руб + 73060 руб * 5.1) * 1 * 0.66 * 0.1152*1,4</t>
  </si>
  <si>
    <t>(A + B * Xзад) * Количество * Кст * K1 * K2 * K3 * K4
(29.05 тыс.руб + 7.4 тыс.руб * 4.71) * 1 * 0.4 * 0.35 * 1.4 * 1.1 * 0.9 *0,3</t>
  </si>
  <si>
    <t>К5=0,3 проектирование рядом проходящей линии Глава 2.11 п. 2.11.11</t>
  </si>
  <si>
    <t>К5=0,3  Глава 2.11 п. 2.11.11</t>
  </si>
  <si>
    <t>проектирование рядом проходящей линии</t>
  </si>
  <si>
    <t>Сооружения кабельной электрической линии напряжением до 20 кВ. Протяженность от 100 до 500 п.м включительно.
1. 35 м - 4КЛ 600 В;
2. 35 м - 4КЛ 600 В.</t>
  </si>
  <si>
    <t>Нормативные затраты на работы по подготовке проектной документации для строительства, реконструкции сетей инженерно-технического обеспечения и объектов инфраструктуры. 2023 г. Таблица 3.11. Сооружения кабельных линий электропередачи, п.1
A=17.7 тыс.руб; B=0.234 тыс.руб;
Xмин=100; 
Осн. показ. Х=70 (п.м) 
Количество = 1</t>
  </si>
  <si>
    <t>(A + B * (0.4 * Xмин + 0.6 * Xзад)) * Количество * Кст * K1 * K2 * K3 * K4
(17.7 тыс.руб + 0.234 тыс.руб * (0.4 * 100 + 0.6 * 70)) * 1 * 0.4 * 1.4 * 1.4 * 1.9 * 0.8</t>
  </si>
  <si>
    <t>(A + B * (0.4 * Xмин + 0.6 * Xзад)) * Количество * Кст * K1 * K2 * K3 * K4
(17.7 тыс.руб + 0.234 тыс.руб * (0.4 * 100 + 0.6 * 70)) * 1 * 0.6 * 1.4 * 1.4 * 1.9 * 0.8</t>
  </si>
  <si>
    <t>Демонтаж. Рабочая документация</t>
  </si>
  <si>
    <t>(A + B * Xзад) * Количество * Кст * K1 * K2 * K3 * K4
(29.05 тыс.руб + 7.4 тыс.руб * 4.71) * 1 * 0.6 * 0.35 * 1.4 * 1.1 * 0.9 *0,3</t>
  </si>
  <si>
    <t>Стадия: Рабочая документация 
Кст = 0.66
K1 = 1.4 При  сокращении  сроков проектирования по сравнению с нормативными  в 2 и более раз МУ 2009 г. Часть III п.3.11 (Ценообразующий)</t>
  </si>
  <si>
    <t>Стадия: Рабочая  документация 
Кст = 0.66
K1 = 1.4 При  сокращении  сроков проектирования по сравнению с нормативными  в 2 и более раз МУ 2009 г. Часть III п.3.11 (Ценообразующий)</t>
  </si>
  <si>
    <t>(A + B * (0,6 * Xмакс + 0.6 * Xзад)) * Количество * Кст * K1 * K2 * K3 * K4
(155600 руб + 15 руб * (0,4 * 1000 + 0.6 * 3195)) * 1 * 0,4 *   1,15 * 1,1*1,4</t>
  </si>
  <si>
    <t>(A + B * (0,6 * Xмин + 0.6 * (Xмин / 2))) * Количество * Кст * K1 * K2 * K3
(178740 руб + 3150 руб * (0,4 * 500 + 0.6 * 500 / 2)) * 1 * 0,56  *  0.7*1,4</t>
  </si>
  <si>
    <t>(A + B * (0,6 * Xмин + 0.6 * (Xмин / 2))) * Количество * Кст * K1 * K2 * K3 * K4
(48500 руб + 30 руб * (0,4 * 150 + 0.6 * 150 / 2)) * 21 * 0,6 *  1.1 * 0.7*1,4*1,142</t>
  </si>
  <si>
    <t>Смета №14</t>
  </si>
  <si>
    <t>(A + B * (0.6 * Xмин + 0.6 * (Xмин / 2))) * Количество * Кст * K1 * K2 * K3 * K4
(35 тыс.руб + 0.19 тыс.руб * (0.4 * 250 + 0.6 * 250 / 2)) * 5 * 0.6 * 1.4 * 0.2 * 1.1 * 0.1</t>
  </si>
  <si>
    <t>Остановочные павильоны. Выполнение обмерных работ для каркасных одноэтажных зданий. I категория сложности работ. I категория сложности здания. Высота здания до 4 м.</t>
  </si>
  <si>
    <t>К4 = 1.29 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автомобильных дорог и транспортных развязок и объектов железнодорожного транспорта. Железнодорожные пути (Методика, Приказ №854 с изм. от 14.10.2022 №851/пр, прил.1, табл.1.4, п.3.1)
Разделы: СПОЗУ, АР,КР, ЭО, ВС, ВО, СС, ГС, ТХ, ПОС - 76%</t>
  </si>
  <si>
    <t>К5 = 1.29 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автомобильных дорог и транспортных развязок и объектов железнодорожного транспорта. Железнодорожные пути (Методика, Приказ №854 с изм. от 14.10.2022 №851/пр, прил.1, табл.1.4, п.3.1)
Разделы: СПОЗУ, АР,КР, ЭО, ВС, ВО, СС, ГС, ТХ, ПОС - 76%</t>
  </si>
  <si>
    <t>(A + B * Xзад) * Количество * Кст * Ктек * K1 * K2 * К3 * К4
(0 руб + 98560 руб * 5.49) * 1 * 0.4  * 5.94 *1.1*1.4 * (0,76*1.29+0,24)</t>
  </si>
  <si>
    <t>(A + B * Xзад) * Количество * Кст * Ктек * K1 * K2 * K3 * К4 * К5
(0 руб + 98560 руб * 4.71) * 1 * 0.4 * 5.94  * 1.1 * 0.3 *1,4 * (0,76*1.29+0,24)</t>
  </si>
  <si>
    <t>Методика, Приказ №854 с изм. от 14.10.2022 №851/пр, прил.1, табл.1.4, п.3.3
СПОЗУ, АР,КР, ЭО, СС, ТХ, ПОС - 54%</t>
  </si>
  <si>
    <t>Коэф - т 1.29 от п.4
(0,54*1,29+0,46)=1,1566</t>
  </si>
  <si>
    <t>К4 = 1.29 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автомобильных дорог и транспортных развязок и объектов железнодорожного транспорта. Железнодорожные пути (Методика, Приказ №854 с изм. от 14.10.2022 №851/пр, прил.1, табл.1.4, п.3.1)
Разделы: СПОЗУ, АР,КР, ЭО, ВС, ВО, СС, ГС, ТХ, ПОС - 84%</t>
  </si>
  <si>
    <t>К5 = 1.29 Корректирующий коэффициент, применяемый к базовой цене работ по подготовке ПД и соответствующих комплектов РД, содержащей материалы в форме информационной модели, автомобильных дорог и транспортных развязок и объектов железнодорожного транспорта. Железнодорожные пути (Методика, Приказ №854 с изм. от 14.10.2022 №851/пр, прил.1, табл.1.4, п.3.1)
Разделы: СПОЗУ, АР,КР, ЭО, ВС, ВО, СС, ГС, ТХ, ПОС - 84%</t>
  </si>
  <si>
    <t>(A + B * Xзад) * Количество * Кст * Ктек * K1 * K2* К3 * К4
(0 руб + 98560 руб * 5.49) * 1 * 0,6 * 5.94 *  1.1*1,4 * (0,84*1.29+0,16)</t>
  </si>
  <si>
    <t>(A + B * Xзад) * Количество * Кст * Ктек * K1 * K2 * K3* К4 * К5
(0 руб + 98560 руб * 4.71) * 1 * 0,6 * 5.94 * 1.1 * 0.3*1,4 * (0,84*1.29+0,16)</t>
  </si>
  <si>
    <t>Методика, Приказ №854 с изм. от 14.10.2022 №851/пр, прил.1, табл.1.4, п.3.3
СПОЗУ, АР,КР, ЭО, СС, ТХ, ПОС - 62%</t>
  </si>
  <si>
    <t xml:space="preserve">Коэф - т 1.29 от п.4
(0,62*1,29+0,38)=1,1798
</t>
  </si>
  <si>
    <t>Смета №7-ОБС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</si>
</sst>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###%"/>
    <numFmt numFmtId="165" formatCode="#,##0.000"/>
    <numFmt numFmtId="166" formatCode="_-* #,##0.00_р_._-;\-* #,##0.00_р_._-;_-* &quot;-&quot;??_р_._-;_-@_-"/>
  </numFmts>
  <fonts count="47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sz val="6"/>
      <name val="Arial"/>
      <family val="2"/>
      <charset val="204"/>
    </font>
    <font>
      <sz val="10"/>
      <color indexed="8"/>
      <name val="Arial"/>
      <family val="2"/>
    </font>
    <font>
      <sz val="10"/>
      <name val="Tahoma"/>
      <family val="2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Arial Cyr"/>
      <family val="2"/>
      <charset val="204"/>
    </font>
    <font>
      <sz val="12"/>
      <color indexed="8"/>
      <name val="Arial"/>
      <family val="2"/>
      <charset val="204"/>
    </font>
    <font>
      <b/>
      <sz val="10"/>
      <name val="Arial Cyr"/>
      <charset val="204"/>
    </font>
    <font>
      <sz val="10"/>
      <color indexed="64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64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indexed="64"/>
      <name val="Calibri"/>
      <scheme val="minor"/>
    </font>
    <font>
      <b/>
      <sz val="10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2">
    <xf numFmtId="0" fontId="0" fillId="0" borderId="0"/>
    <xf numFmtId="0" fontId="1" fillId="0" borderId="0"/>
    <xf numFmtId="0" fontId="15" fillId="0" borderId="0"/>
    <xf numFmtId="0" fontId="16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8" fillId="0" borderId="0"/>
    <xf numFmtId="43" fontId="18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0" fontId="27" fillId="0" borderId="0"/>
    <xf numFmtId="0" fontId="1" fillId="0" borderId="0"/>
    <xf numFmtId="0" fontId="33" fillId="0" borderId="0">
      <alignment horizontal="left" vertical="top"/>
    </xf>
    <xf numFmtId="0" fontId="1" fillId="0" borderId="0"/>
    <xf numFmtId="0" fontId="36" fillId="0" borderId="0">
      <alignment horizontal="left" vertical="top"/>
    </xf>
    <xf numFmtId="0" fontId="16" fillId="0" borderId="0"/>
    <xf numFmtId="0" fontId="16" fillId="0" borderId="0"/>
    <xf numFmtId="0" fontId="40" fillId="0" borderId="0"/>
    <xf numFmtId="166" fontId="22" fillId="0" borderId="0" applyFont="0" applyFill="0" applyBorder="0" applyAlignment="0" applyProtection="0"/>
    <xf numFmtId="0" fontId="42" fillId="0" borderId="0"/>
    <xf numFmtId="0" fontId="27" fillId="0" borderId="0"/>
  </cellStyleXfs>
  <cellXfs count="480">
    <xf numFmtId="0" fontId="0" fillId="0" borderId="0" xfId="0"/>
    <xf numFmtId="0" fontId="2" fillId="0" borderId="0" xfId="0" applyFont="1"/>
    <xf numFmtId="0" fontId="5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vertical="center" wrapText="1"/>
    </xf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left" vertical="top"/>
    </xf>
    <xf numFmtId="3" fontId="9" fillId="0" borderId="1" xfId="1" applyNumberFormat="1" applyFont="1" applyBorder="1" applyAlignment="1">
      <alignment horizontal="right" vertical="top" wrapText="1"/>
    </xf>
    <xf numFmtId="0" fontId="9" fillId="0" borderId="1" xfId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right" vertical="top" wrapText="1"/>
    </xf>
    <xf numFmtId="3" fontId="1" fillId="0" borderId="1" xfId="1" applyNumberFormat="1" applyBorder="1" applyAlignment="1">
      <alignment horizontal="right" vertical="top" wrapText="1"/>
    </xf>
    <xf numFmtId="0" fontId="1" fillId="0" borderId="1" xfId="1" applyBorder="1" applyAlignment="1">
      <alignment horizontal="left" vertical="top" wrapText="1"/>
    </xf>
    <xf numFmtId="0" fontId="1" fillId="0" borderId="4" xfId="1" applyBorder="1" applyAlignment="1">
      <alignment horizontal="right" vertical="top" wrapText="1"/>
    </xf>
    <xf numFmtId="0" fontId="1" fillId="0" borderId="4" xfId="1" applyBorder="1" applyAlignment="1">
      <alignment horizontal="left" vertical="top" wrapText="1"/>
    </xf>
    <xf numFmtId="49" fontId="9" fillId="0" borderId="4" xfId="1" applyNumberFormat="1" applyFont="1" applyBorder="1" applyAlignment="1">
      <alignment horizontal="right" vertical="top" wrapText="1"/>
    </xf>
    <xf numFmtId="0" fontId="1" fillId="0" borderId="5" xfId="1" applyBorder="1" applyAlignment="1">
      <alignment horizontal="right" vertical="top" wrapText="1"/>
    </xf>
    <xf numFmtId="0" fontId="1" fillId="0" borderId="5" xfId="1" applyBorder="1" applyAlignment="1">
      <alignment horizontal="left" vertical="top" wrapText="1"/>
    </xf>
    <xf numFmtId="49" fontId="9" fillId="0" borderId="5" xfId="1" applyNumberFormat="1" applyFont="1" applyBorder="1" applyAlignment="1">
      <alignment horizontal="right" vertical="top" wrapText="1"/>
    </xf>
    <xf numFmtId="0" fontId="9" fillId="0" borderId="5" xfId="1" applyFont="1" applyBorder="1" applyAlignment="1">
      <alignment horizontal="right" vertical="top" wrapText="1"/>
    </xf>
    <xf numFmtId="0" fontId="9" fillId="0" borderId="5" xfId="1" applyFont="1" applyBorder="1" applyAlignment="1">
      <alignment horizontal="left" vertical="top" wrapText="1"/>
    </xf>
    <xf numFmtId="3" fontId="1" fillId="0" borderId="6" xfId="1" applyNumberFormat="1" applyBorder="1" applyAlignment="1">
      <alignment horizontal="right" vertical="top" wrapText="1"/>
    </xf>
    <xf numFmtId="0" fontId="1" fillId="0" borderId="6" xfId="1" applyBorder="1" applyAlignment="1">
      <alignment horizontal="left" vertical="top" wrapText="1"/>
    </xf>
    <xf numFmtId="49" fontId="9" fillId="0" borderId="6" xfId="1" applyNumberFormat="1" applyFont="1" applyBorder="1" applyAlignment="1">
      <alignment horizontal="right" vertical="top" wrapText="1"/>
    </xf>
    <xf numFmtId="0" fontId="1" fillId="0" borderId="7" xfId="1" applyBorder="1" applyAlignment="1">
      <alignment horizontal="center" wrapText="1"/>
    </xf>
    <xf numFmtId="49" fontId="1" fillId="0" borderId="7" xfId="1" applyNumberForma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0" xfId="1" applyAlignment="1">
      <alignment vertical="top" wrapText="1"/>
    </xf>
    <xf numFmtId="0" fontId="9" fillId="0" borderId="0" xfId="1" applyFont="1" applyAlignment="1">
      <alignment vertical="top" wrapText="1"/>
    </xf>
    <xf numFmtId="0" fontId="5" fillId="0" borderId="0" xfId="1" applyFont="1" applyAlignment="1">
      <alignment horizontal="right" wrapTex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right" vertical="top"/>
    </xf>
    <xf numFmtId="0" fontId="1" fillId="0" borderId="0" xfId="1" applyAlignment="1">
      <alignment horizontal="right"/>
    </xf>
    <xf numFmtId="0" fontId="9" fillId="0" borderId="1" xfId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1" fillId="0" borderId="0" xfId="1" applyAlignment="1">
      <alignment vertical="top"/>
    </xf>
    <xf numFmtId="0" fontId="14" fillId="0" borderId="0" xfId="1" applyFont="1" applyAlignment="1">
      <alignment vertical="top"/>
    </xf>
    <xf numFmtId="0" fontId="1" fillId="0" borderId="7" xfId="1" applyBorder="1" applyAlignment="1">
      <alignment horizontal="center" vertical="top" wrapText="1"/>
    </xf>
    <xf numFmtId="49" fontId="9" fillId="0" borderId="27" xfId="1" applyNumberFormat="1" applyFont="1" applyBorder="1" applyAlignment="1">
      <alignment horizontal="right" vertical="top" wrapText="1"/>
    </xf>
    <xf numFmtId="0" fontId="1" fillId="0" borderId="27" xfId="1" applyBorder="1" applyAlignment="1">
      <alignment horizontal="left" vertical="top" wrapText="1"/>
    </xf>
    <xf numFmtId="3" fontId="1" fillId="0" borderId="27" xfId="1" applyNumberFormat="1" applyBorder="1" applyAlignment="1">
      <alignment horizontal="right" vertical="top" wrapText="1"/>
    </xf>
    <xf numFmtId="49" fontId="9" fillId="0" borderId="3" xfId="1" applyNumberFormat="1" applyFont="1" applyBorder="1" applyAlignment="1">
      <alignment horizontal="right" vertical="top" wrapText="1"/>
    </xf>
    <xf numFmtId="0" fontId="9" fillId="0" borderId="3" xfId="1" applyFont="1" applyBorder="1" applyAlignment="1">
      <alignment horizontal="left" vertical="top" wrapText="1"/>
    </xf>
    <xf numFmtId="3" fontId="9" fillId="0" borderId="3" xfId="1" applyNumberFormat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 wrapText="1"/>
    </xf>
    <xf numFmtId="0" fontId="1" fillId="0" borderId="3" xfId="1" applyBorder="1" applyAlignment="1">
      <alignment horizontal="left" vertical="top" wrapText="1"/>
    </xf>
    <xf numFmtId="3" fontId="1" fillId="0" borderId="3" xfId="1" applyNumberFormat="1" applyBorder="1" applyAlignment="1">
      <alignment horizontal="right" vertical="top" wrapText="1"/>
    </xf>
    <xf numFmtId="49" fontId="9" fillId="0" borderId="28" xfId="1" applyNumberFormat="1" applyFont="1" applyBorder="1" applyAlignment="1">
      <alignment horizontal="right" vertical="top" wrapText="1"/>
    </xf>
    <xf numFmtId="0" fontId="1" fillId="0" borderId="28" xfId="1" applyBorder="1" applyAlignment="1">
      <alignment horizontal="left" vertical="top" wrapText="1"/>
    </xf>
    <xf numFmtId="0" fontId="1" fillId="0" borderId="28" xfId="1" applyBorder="1" applyAlignment="1">
      <alignment horizontal="right" vertical="top" wrapText="1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right" vertical="top" wrapText="1"/>
    </xf>
    <xf numFmtId="49" fontId="9" fillId="0" borderId="28" xfId="0" applyNumberFormat="1" applyFont="1" applyBorder="1" applyAlignment="1">
      <alignment horizontal="right" vertical="top" wrapText="1"/>
    </xf>
    <xf numFmtId="0" fontId="0" fillId="0" borderId="28" xfId="0" applyBorder="1" applyAlignment="1">
      <alignment horizontal="left" vertical="top" wrapText="1"/>
    </xf>
    <xf numFmtId="0" fontId="0" fillId="0" borderId="28" xfId="0" applyBorder="1" applyAlignment="1">
      <alignment horizontal="right" vertical="top" wrapText="1"/>
    </xf>
    <xf numFmtId="0" fontId="19" fillId="0" borderId="7" xfId="1" applyFont="1" applyBorder="1" applyAlignment="1">
      <alignment horizontal="center" vertical="top" wrapText="1"/>
    </xf>
    <xf numFmtId="49" fontId="4" fillId="0" borderId="0" xfId="0" applyNumberFormat="1" applyFont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21" fillId="0" borderId="0" xfId="1" applyFont="1"/>
    <xf numFmtId="0" fontId="1" fillId="0" borderId="14" xfId="1" applyBorder="1" applyAlignment="1">
      <alignment horizontal="left" vertical="top" wrapText="1"/>
    </xf>
    <xf numFmtId="0" fontId="1" fillId="0" borderId="15" xfId="1" applyBorder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33" xfId="0" applyBorder="1" applyAlignment="1">
      <alignment vertical="top"/>
    </xf>
    <xf numFmtId="0" fontId="0" fillId="0" borderId="5" xfId="0" applyBorder="1"/>
    <xf numFmtId="0" fontId="0" fillId="0" borderId="28" xfId="0" applyBorder="1"/>
    <xf numFmtId="0" fontId="0" fillId="0" borderId="33" xfId="0" applyBorder="1" applyAlignment="1">
      <alignment vertical="top" wrapText="1"/>
    </xf>
    <xf numFmtId="43" fontId="1" fillId="0" borderId="0" xfId="10" applyFont="1"/>
    <xf numFmtId="0" fontId="0" fillId="0" borderId="0" xfId="0" applyAlignment="1">
      <alignment horizontal="left"/>
    </xf>
    <xf numFmtId="49" fontId="9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top" wrapText="1"/>
    </xf>
    <xf numFmtId="49" fontId="24" fillId="0" borderId="31" xfId="0" applyNumberFormat="1" applyFont="1" applyBorder="1"/>
    <xf numFmtId="49" fontId="24" fillId="0" borderId="0" xfId="0" applyNumberFormat="1" applyFont="1"/>
    <xf numFmtId="49" fontId="23" fillId="0" borderId="0" xfId="0" applyNumberFormat="1" applyFont="1" applyAlignment="1">
      <alignment wrapText="1"/>
    </xf>
    <xf numFmtId="0" fontId="25" fillId="0" borderId="0" xfId="0" applyFont="1"/>
    <xf numFmtId="0" fontId="25" fillId="0" borderId="31" xfId="0" applyFont="1" applyBorder="1"/>
    <xf numFmtId="0" fontId="0" fillId="0" borderId="31" xfId="0" applyBorder="1"/>
    <xf numFmtId="0" fontId="26" fillId="0" borderId="0" xfId="0" applyFont="1"/>
    <xf numFmtId="0" fontId="28" fillId="0" borderId="28" xfId="16" applyFont="1" applyBorder="1" applyAlignment="1">
      <alignment vertical="top" wrapText="1"/>
    </xf>
    <xf numFmtId="0" fontId="5" fillId="0" borderId="28" xfId="16" applyFont="1" applyBorder="1" applyAlignment="1">
      <alignment horizontal="center" vertical="top" wrapText="1"/>
    </xf>
    <xf numFmtId="0" fontId="5" fillId="0" borderId="1" xfId="12" applyFont="1" applyBorder="1" applyAlignment="1">
      <alignment horizontal="left" vertical="top" wrapText="1"/>
    </xf>
    <xf numFmtId="0" fontId="28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 wrapText="1"/>
    </xf>
    <xf numFmtId="0" fontId="5" fillId="0" borderId="0" xfId="1" applyFont="1"/>
    <xf numFmtId="0" fontId="30" fillId="0" borderId="0" xfId="1" applyFont="1" applyAlignment="1">
      <alignment horizontal="right" vertical="top"/>
    </xf>
    <xf numFmtId="4" fontId="30" fillId="0" borderId="0" xfId="1" applyNumberFormat="1" applyFont="1" applyAlignment="1">
      <alignment horizontal="right" vertical="top"/>
    </xf>
    <xf numFmtId="0" fontId="5" fillId="0" borderId="0" xfId="1" applyFont="1" applyAlignment="1">
      <alignment wrapText="1"/>
    </xf>
    <xf numFmtId="4" fontId="5" fillId="0" borderId="0" xfId="1" applyNumberFormat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7" xfId="1" applyFont="1" applyBorder="1" applyAlignment="1">
      <alignment horizontal="center" vertical="top" wrapText="1"/>
    </xf>
    <xf numFmtId="4" fontId="5" fillId="0" borderId="7" xfId="1" applyNumberFormat="1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49" fontId="28" fillId="0" borderId="1" xfId="1" applyNumberFormat="1" applyFont="1" applyBorder="1" applyAlignment="1">
      <alignment horizontal="right" vertical="top" wrapText="1"/>
    </xf>
    <xf numFmtId="0" fontId="28" fillId="0" borderId="1" xfId="1" applyFont="1" applyBorder="1" applyAlignment="1">
      <alignment horizontal="left" vertical="top" wrapText="1"/>
    </xf>
    <xf numFmtId="4" fontId="28" fillId="0" borderId="1" xfId="1" applyNumberFormat="1" applyFont="1" applyBorder="1" applyAlignment="1">
      <alignment horizontal="right" vertical="top" wrapText="1"/>
    </xf>
    <xf numFmtId="0" fontId="5" fillId="0" borderId="1" xfId="1" applyFont="1" applyBorder="1" applyAlignment="1">
      <alignment horizontal="left" vertical="top" wrapText="1"/>
    </xf>
    <xf numFmtId="4" fontId="5" fillId="0" borderId="1" xfId="1" applyNumberFormat="1" applyFont="1" applyBorder="1" applyAlignment="1">
      <alignment horizontal="right" vertical="top" wrapText="1"/>
    </xf>
    <xf numFmtId="49" fontId="28" fillId="0" borderId="6" xfId="1" applyNumberFormat="1" applyFont="1" applyBorder="1" applyAlignment="1">
      <alignment horizontal="right" vertical="top" wrapText="1"/>
    </xf>
    <xf numFmtId="0" fontId="28" fillId="0" borderId="6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4" fontId="5" fillId="0" borderId="6" xfId="1" applyNumberFormat="1" applyFont="1" applyBorder="1" applyAlignment="1">
      <alignment horizontal="right" vertical="top" wrapText="1"/>
    </xf>
    <xf numFmtId="49" fontId="28" fillId="0" borderId="36" xfId="1" applyNumberFormat="1" applyFont="1" applyBorder="1" applyAlignment="1">
      <alignment horizontal="right" vertical="top" wrapText="1"/>
    </xf>
    <xf numFmtId="0" fontId="28" fillId="0" borderId="36" xfId="1" applyFont="1" applyBorder="1" applyAlignment="1">
      <alignment horizontal="left" vertical="top" wrapText="1"/>
    </xf>
    <xf numFmtId="4" fontId="28" fillId="0" borderId="36" xfId="1" applyNumberFormat="1" applyFont="1" applyBorder="1" applyAlignment="1">
      <alignment horizontal="right" vertical="top" wrapText="1"/>
    </xf>
    <xf numFmtId="49" fontId="28" fillId="0" borderId="35" xfId="1" applyNumberFormat="1" applyFont="1" applyBorder="1" applyAlignment="1">
      <alignment horizontal="right" vertical="top" wrapText="1"/>
    </xf>
    <xf numFmtId="0" fontId="5" fillId="0" borderId="35" xfId="1" applyFont="1" applyBorder="1" applyAlignment="1">
      <alignment horizontal="left" vertical="top" wrapText="1"/>
    </xf>
    <xf numFmtId="4" fontId="5" fillId="0" borderId="35" xfId="1" applyNumberFormat="1" applyFont="1" applyBorder="1" applyAlignment="1">
      <alignment horizontal="right" vertical="top" wrapText="1"/>
    </xf>
    <xf numFmtId="49" fontId="28" fillId="0" borderId="28" xfId="1" applyNumberFormat="1" applyFont="1" applyBorder="1" applyAlignment="1">
      <alignment horizontal="right" vertical="top" wrapText="1"/>
    </xf>
    <xf numFmtId="0" fontId="5" fillId="0" borderId="28" xfId="1" applyFont="1" applyBorder="1" applyAlignment="1">
      <alignment horizontal="left" vertical="top" wrapText="1"/>
    </xf>
    <xf numFmtId="4" fontId="5" fillId="0" borderId="28" xfId="1" applyNumberFormat="1" applyFont="1" applyBorder="1" applyAlignment="1">
      <alignment horizontal="right" vertical="top" wrapText="1"/>
    </xf>
    <xf numFmtId="49" fontId="28" fillId="0" borderId="5" xfId="1" applyNumberFormat="1" applyFont="1" applyBorder="1" applyAlignment="1">
      <alignment horizontal="right" vertical="top" wrapText="1"/>
    </xf>
    <xf numFmtId="0" fontId="28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4" fontId="5" fillId="0" borderId="5" xfId="1" applyNumberFormat="1" applyFont="1" applyBorder="1" applyAlignment="1">
      <alignment horizontal="right" vertical="top" wrapText="1"/>
    </xf>
    <xf numFmtId="0" fontId="28" fillId="0" borderId="36" xfId="1" applyFont="1" applyBorder="1" applyAlignment="1">
      <alignment horizontal="right" vertical="top" wrapText="1"/>
    </xf>
    <xf numFmtId="0" fontId="5" fillId="0" borderId="28" xfId="1" applyFont="1" applyBorder="1" applyAlignment="1">
      <alignment horizontal="right" vertical="top" wrapText="1"/>
    </xf>
    <xf numFmtId="49" fontId="28" fillId="0" borderId="16" xfId="1" applyNumberFormat="1" applyFont="1" applyBorder="1" applyAlignment="1">
      <alignment horizontal="right" vertical="top" wrapText="1"/>
    </xf>
    <xf numFmtId="0" fontId="5" fillId="0" borderId="10" xfId="1" applyFont="1" applyBorder="1" applyAlignment="1">
      <alignment horizontal="left" vertical="top" wrapText="1"/>
    </xf>
    <xf numFmtId="4" fontId="5" fillId="0" borderId="17" xfId="1" applyNumberFormat="1" applyFont="1" applyBorder="1" applyAlignment="1">
      <alignment horizontal="right" vertical="top" wrapText="1"/>
    </xf>
    <xf numFmtId="49" fontId="28" fillId="0" borderId="14" xfId="1" applyNumberFormat="1" applyFont="1" applyBorder="1" applyAlignment="1">
      <alignment horizontal="right" vertical="top" wrapText="1"/>
    </xf>
    <xf numFmtId="4" fontId="28" fillId="0" borderId="15" xfId="1" applyNumberFormat="1" applyFont="1" applyBorder="1" applyAlignment="1">
      <alignment horizontal="right" vertical="top" wrapText="1"/>
    </xf>
    <xf numFmtId="9" fontId="5" fillId="0" borderId="0" xfId="1" applyNumberFormat="1" applyFont="1" applyAlignment="1">
      <alignment horizontal="left" vertical="top" wrapText="1"/>
    </xf>
    <xf numFmtId="4" fontId="5" fillId="0" borderId="15" xfId="1" applyNumberFormat="1" applyFont="1" applyBorder="1" applyAlignment="1">
      <alignment horizontal="right" vertical="top" wrapText="1"/>
    </xf>
    <xf numFmtId="49" fontId="28" fillId="0" borderId="29" xfId="1" applyNumberFormat="1" applyFont="1" applyBorder="1" applyAlignment="1">
      <alignment horizontal="right" vertical="top" wrapText="1"/>
    </xf>
    <xf numFmtId="0" fontId="5" fillId="0" borderId="31" xfId="1" applyFont="1" applyBorder="1" applyAlignment="1">
      <alignment horizontal="left" vertical="top" wrapText="1"/>
    </xf>
    <xf numFmtId="9" fontId="5" fillId="0" borderId="31" xfId="1" applyNumberFormat="1" applyFont="1" applyBorder="1" applyAlignment="1">
      <alignment horizontal="left" vertical="top" wrapText="1"/>
    </xf>
    <xf numFmtId="4" fontId="5" fillId="0" borderId="30" xfId="1" applyNumberFormat="1" applyFont="1" applyBorder="1" applyAlignment="1">
      <alignment horizontal="right" vertical="top" wrapText="1"/>
    </xf>
    <xf numFmtId="0" fontId="28" fillId="0" borderId="28" xfId="1" applyFont="1" applyBorder="1" applyAlignment="1">
      <alignment horizontal="left" vertical="top" wrapText="1"/>
    </xf>
    <xf numFmtId="4" fontId="28" fillId="0" borderId="28" xfId="1" applyNumberFormat="1" applyFont="1" applyBorder="1" applyAlignment="1">
      <alignment horizontal="right" vertical="top" wrapText="1"/>
    </xf>
    <xf numFmtId="4" fontId="5" fillId="0" borderId="0" xfId="1" applyNumberFormat="1" applyFont="1"/>
    <xf numFmtId="0" fontId="5" fillId="0" borderId="0" xfId="1" applyFont="1" applyAlignment="1">
      <alignment horizontal="left" wrapText="1"/>
    </xf>
    <xf numFmtId="4" fontId="5" fillId="0" borderId="0" xfId="1" applyNumberFormat="1" applyFont="1" applyAlignment="1">
      <alignment horizontal="left" wrapText="1"/>
    </xf>
    <xf numFmtId="9" fontId="5" fillId="0" borderId="28" xfId="1" applyNumberFormat="1" applyFont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right" vertical="top" wrapText="1"/>
    </xf>
    <xf numFmtId="0" fontId="39" fillId="0" borderId="0" xfId="1" applyFont="1" applyAlignment="1">
      <alignment wrapText="1"/>
    </xf>
    <xf numFmtId="0" fontId="41" fillId="0" borderId="1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165" fontId="1" fillId="0" borderId="6" xfId="1" applyNumberFormat="1" applyBorder="1" applyAlignment="1">
      <alignment horizontal="right" vertical="top" wrapText="1"/>
    </xf>
    <xf numFmtId="49" fontId="9" fillId="0" borderId="36" xfId="1" applyNumberFormat="1" applyFont="1" applyBorder="1" applyAlignment="1">
      <alignment horizontal="right" vertical="top" wrapText="1"/>
    </xf>
    <xf numFmtId="0" fontId="9" fillId="0" borderId="36" xfId="1" applyFont="1" applyBorder="1" applyAlignment="1">
      <alignment horizontal="left" vertical="top" wrapText="1"/>
    </xf>
    <xf numFmtId="0" fontId="9" fillId="0" borderId="36" xfId="1" applyFont="1" applyBorder="1" applyAlignment="1">
      <alignment horizontal="right" vertical="top" wrapText="1"/>
    </xf>
    <xf numFmtId="49" fontId="9" fillId="0" borderId="35" xfId="1" applyNumberFormat="1" applyFont="1" applyBorder="1" applyAlignment="1">
      <alignment horizontal="right" vertical="top" wrapText="1"/>
    </xf>
    <xf numFmtId="0" fontId="1" fillId="0" borderId="35" xfId="1" applyBorder="1" applyAlignment="1">
      <alignment horizontal="left" vertical="top" wrapText="1"/>
    </xf>
    <xf numFmtId="0" fontId="1" fillId="0" borderId="35" xfId="1" applyBorder="1" applyAlignment="1">
      <alignment horizontal="right" vertical="top" wrapText="1"/>
    </xf>
    <xf numFmtId="0" fontId="9" fillId="0" borderId="35" xfId="1" applyFont="1" applyBorder="1" applyAlignment="1">
      <alignment horizontal="left" vertical="top" wrapText="1"/>
    </xf>
    <xf numFmtId="0" fontId="9" fillId="0" borderId="35" xfId="1" applyFont="1" applyBorder="1" applyAlignment="1">
      <alignment horizontal="right" vertical="top" wrapText="1"/>
    </xf>
    <xf numFmtId="9" fontId="1" fillId="0" borderId="28" xfId="1" applyNumberFormat="1" applyBorder="1" applyAlignment="1">
      <alignment horizontal="left" vertical="top" wrapText="1"/>
    </xf>
    <xf numFmtId="0" fontId="9" fillId="0" borderId="28" xfId="1" applyFont="1" applyBorder="1" applyAlignment="1">
      <alignment horizontal="left" vertical="top" wrapText="1"/>
    </xf>
    <xf numFmtId="165" fontId="9" fillId="0" borderId="28" xfId="1" applyNumberFormat="1" applyFont="1" applyBorder="1" applyAlignment="1">
      <alignment horizontal="right" vertical="top" wrapText="1"/>
    </xf>
    <xf numFmtId="165" fontId="9" fillId="0" borderId="1" xfId="1" applyNumberFormat="1" applyFont="1" applyBorder="1" applyAlignment="1">
      <alignment horizontal="right" vertical="top" wrapText="1"/>
    </xf>
    <xf numFmtId="165" fontId="1" fillId="0" borderId="5" xfId="1" applyNumberFormat="1" applyBorder="1" applyAlignment="1">
      <alignment horizontal="right" vertical="top" wrapText="1"/>
    </xf>
    <xf numFmtId="165" fontId="1" fillId="0" borderId="1" xfId="1" applyNumberFormat="1" applyBorder="1" applyAlignment="1">
      <alignment horizontal="right" vertical="top" wrapText="1"/>
    </xf>
    <xf numFmtId="49" fontId="9" fillId="0" borderId="34" xfId="1" applyNumberFormat="1" applyFont="1" applyBorder="1" applyAlignment="1">
      <alignment horizontal="right" vertical="top" wrapText="1"/>
    </xf>
    <xf numFmtId="0" fontId="1" fillId="0" borderId="34" xfId="1" applyBorder="1" applyAlignment="1">
      <alignment horizontal="left" vertical="top" wrapText="1"/>
    </xf>
    <xf numFmtId="0" fontId="1" fillId="0" borderId="34" xfId="1" applyBorder="1" applyAlignment="1">
      <alignment horizontal="right" vertical="top" wrapText="1"/>
    </xf>
    <xf numFmtId="0" fontId="1" fillId="0" borderId="36" xfId="1" applyBorder="1" applyAlignment="1">
      <alignment horizontal="left" vertical="top" wrapText="1"/>
    </xf>
    <xf numFmtId="0" fontId="1" fillId="0" borderId="36" xfId="1" applyBorder="1" applyAlignment="1">
      <alignment horizontal="right" vertical="top" wrapText="1"/>
    </xf>
    <xf numFmtId="0" fontId="9" fillId="0" borderId="28" xfId="1" applyFont="1" applyBorder="1" applyAlignment="1">
      <alignment horizontal="right" vertical="top" wrapText="1"/>
    </xf>
    <xf numFmtId="4" fontId="26" fillId="0" borderId="1" xfId="0" applyNumberFormat="1" applyFont="1" applyBorder="1" applyAlignment="1">
      <alignment horizontal="right" vertical="center"/>
    </xf>
    <xf numFmtId="0" fontId="29" fillId="0" borderId="0" xfId="20" applyFont="1"/>
    <xf numFmtId="0" fontId="5" fillId="0" borderId="0" xfId="20" applyFont="1"/>
    <xf numFmtId="0" fontId="5" fillId="0" borderId="0" xfId="20" applyFont="1" applyAlignment="1">
      <alignment horizontal="right"/>
    </xf>
    <xf numFmtId="0" fontId="29" fillId="0" borderId="0" xfId="20" applyFont="1" applyAlignment="1">
      <alignment horizontal="right" vertical="top"/>
    </xf>
    <xf numFmtId="4" fontId="29" fillId="0" borderId="0" xfId="20" applyNumberFormat="1" applyFont="1" applyAlignment="1">
      <alignment horizontal="right" vertical="top"/>
    </xf>
    <xf numFmtId="0" fontId="5" fillId="0" borderId="0" xfId="20" applyFont="1" applyAlignment="1">
      <alignment wrapText="1"/>
    </xf>
    <xf numFmtId="4" fontId="5" fillId="0" borderId="0" xfId="20" applyNumberFormat="1" applyFont="1" applyAlignment="1">
      <alignment wrapText="1"/>
    </xf>
    <xf numFmtId="0" fontId="5" fillId="0" borderId="0" xfId="20" applyFont="1" applyAlignment="1">
      <alignment horizontal="center" vertical="center"/>
    </xf>
    <xf numFmtId="0" fontId="5" fillId="0" borderId="0" xfId="20" applyFont="1" applyAlignment="1">
      <alignment horizontal="left" vertical="top" wrapText="1"/>
    </xf>
    <xf numFmtId="0" fontId="28" fillId="0" borderId="0" xfId="20" applyFont="1" applyAlignment="1">
      <alignment horizontal="left" vertical="top" wrapText="1"/>
    </xf>
    <xf numFmtId="0" fontId="5" fillId="0" borderId="0" xfId="20" applyFont="1" applyAlignment="1">
      <alignment vertical="top" wrapText="1"/>
    </xf>
    <xf numFmtId="0" fontId="32" fillId="0" borderId="0" xfId="20" applyFont="1" applyAlignment="1">
      <alignment vertical="top" wrapText="1"/>
    </xf>
    <xf numFmtId="4" fontId="29" fillId="0" borderId="0" xfId="20" applyNumberFormat="1" applyFont="1"/>
    <xf numFmtId="3" fontId="5" fillId="0" borderId="0" xfId="20" applyNumberFormat="1" applyFont="1" applyAlignment="1">
      <alignment horizontal="center"/>
    </xf>
    <xf numFmtId="3" fontId="5" fillId="0" borderId="0" xfId="20" applyNumberFormat="1" applyFont="1"/>
    <xf numFmtId="0" fontId="5" fillId="0" borderId="1" xfId="20" applyFont="1" applyBorder="1" applyAlignment="1">
      <alignment horizontal="center" vertical="top" wrapText="1"/>
    </xf>
    <xf numFmtId="4" fontId="5" fillId="0" borderId="1" xfId="20" applyNumberFormat="1" applyFont="1" applyBorder="1" applyAlignment="1">
      <alignment horizontal="center" vertical="top" wrapText="1"/>
    </xf>
    <xf numFmtId="49" fontId="5" fillId="0" borderId="1" xfId="20" applyNumberFormat="1" applyFont="1" applyBorder="1" applyAlignment="1">
      <alignment horizontal="center" wrapText="1"/>
    </xf>
    <xf numFmtId="0" fontId="5" fillId="0" borderId="1" xfId="20" applyFont="1" applyBorder="1" applyAlignment="1">
      <alignment horizontal="center" wrapText="1"/>
    </xf>
    <xf numFmtId="49" fontId="28" fillId="0" borderId="1" xfId="20" applyNumberFormat="1" applyFont="1" applyBorder="1" applyAlignment="1">
      <alignment horizontal="right" vertical="top" wrapText="1"/>
    </xf>
    <xf numFmtId="0" fontId="28" fillId="0" borderId="1" xfId="20" applyFont="1" applyBorder="1" applyAlignment="1">
      <alignment horizontal="left" vertical="top" wrapText="1"/>
    </xf>
    <xf numFmtId="4" fontId="28" fillId="0" borderId="1" xfId="20" applyNumberFormat="1" applyFont="1" applyBorder="1" applyAlignment="1">
      <alignment horizontal="right" vertical="top" wrapText="1"/>
    </xf>
    <xf numFmtId="49" fontId="28" fillId="0" borderId="6" xfId="20" applyNumberFormat="1" applyFont="1" applyBorder="1" applyAlignment="1">
      <alignment horizontal="right" vertical="top" wrapText="1"/>
    </xf>
    <xf numFmtId="0" fontId="28" fillId="0" borderId="10" xfId="20" applyFont="1" applyBorder="1" applyAlignment="1">
      <alignment horizontal="left" vertical="top" wrapText="1"/>
    </xf>
    <xf numFmtId="0" fontId="5" fillId="0" borderId="6" xfId="20" applyFont="1" applyBorder="1" applyAlignment="1">
      <alignment horizontal="center" vertical="top" wrapText="1"/>
    </xf>
    <xf numFmtId="0" fontId="5" fillId="0" borderId="6" xfId="20" applyFont="1" applyBorder="1" applyAlignment="1">
      <alignment horizontal="left" vertical="top" wrapText="1"/>
    </xf>
    <xf numFmtId="4" fontId="5" fillId="0" borderId="6" xfId="20" applyNumberFormat="1" applyFont="1" applyBorder="1" applyAlignment="1">
      <alignment horizontal="right" vertical="top" wrapText="1"/>
    </xf>
    <xf numFmtId="49" fontId="28" fillId="0" borderId="5" xfId="20" applyNumberFormat="1" applyFont="1" applyBorder="1" applyAlignment="1">
      <alignment horizontal="right" vertical="top" wrapText="1"/>
    </xf>
    <xf numFmtId="0" fontId="5" fillId="0" borderId="5" xfId="20" applyFont="1" applyBorder="1" applyAlignment="1">
      <alignment horizontal="center" vertical="top" wrapText="1"/>
    </xf>
    <xf numFmtId="0" fontId="5" fillId="0" borderId="5" xfId="20" applyFont="1" applyBorder="1" applyAlignment="1">
      <alignment horizontal="left" vertical="top" wrapText="1"/>
    </xf>
    <xf numFmtId="4" fontId="5" fillId="0" borderId="5" xfId="20" applyNumberFormat="1" applyFont="1" applyBorder="1" applyAlignment="1">
      <alignment horizontal="right" vertical="top" wrapText="1"/>
    </xf>
    <xf numFmtId="49" fontId="28" fillId="0" borderId="28" xfId="20" applyNumberFormat="1" applyFont="1" applyBorder="1" applyAlignment="1">
      <alignment horizontal="right" vertical="top" wrapText="1"/>
    </xf>
    <xf numFmtId="0" fontId="5" fillId="0" borderId="34" xfId="20" applyFont="1" applyBorder="1" applyAlignment="1">
      <alignment horizontal="left" vertical="top" wrapText="1"/>
    </xf>
    <xf numFmtId="0" fontId="5" fillId="0" borderId="28" xfId="20" applyFont="1" applyBorder="1" applyAlignment="1">
      <alignment horizontal="center" vertical="top" wrapText="1"/>
    </xf>
    <xf numFmtId="0" fontId="29" fillId="0" borderId="28" xfId="20" applyFont="1" applyBorder="1" applyAlignment="1">
      <alignment horizontal="left" vertical="top" wrapText="1"/>
    </xf>
    <xf numFmtId="0" fontId="5" fillId="0" borderId="28" xfId="20" applyFont="1" applyBorder="1" applyAlignment="1">
      <alignment horizontal="left" vertical="top" wrapText="1"/>
    </xf>
    <xf numFmtId="4" fontId="5" fillId="0" borderId="28" xfId="20" applyNumberFormat="1" applyFont="1" applyBorder="1" applyAlignment="1">
      <alignment horizontal="right" vertical="top" wrapText="1"/>
    </xf>
    <xf numFmtId="0" fontId="28" fillId="0" borderId="5" xfId="20" applyFont="1" applyBorder="1" applyAlignment="1">
      <alignment horizontal="left" vertical="top" wrapText="1"/>
    </xf>
    <xf numFmtId="0" fontId="29" fillId="0" borderId="35" xfId="20" applyFont="1" applyBorder="1" applyAlignment="1">
      <alignment horizontal="center" vertical="top" wrapText="1"/>
    </xf>
    <xf numFmtId="0" fontId="29" fillId="0" borderId="5" xfId="20" applyFont="1" applyBorder="1" applyAlignment="1">
      <alignment horizontal="left" vertical="top" wrapText="1"/>
    </xf>
    <xf numFmtId="0" fontId="29" fillId="0" borderId="35" xfId="20" applyFont="1" applyBorder="1" applyAlignment="1">
      <alignment horizontal="left" vertical="top" wrapText="1"/>
    </xf>
    <xf numFmtId="0" fontId="29" fillId="0" borderId="5" xfId="20" applyFont="1" applyBorder="1" applyAlignment="1">
      <alignment horizontal="center" vertical="top" wrapText="1"/>
    </xf>
    <xf numFmtId="49" fontId="28" fillId="0" borderId="36" xfId="20" applyNumberFormat="1" applyFont="1" applyBorder="1" applyAlignment="1">
      <alignment horizontal="right" vertical="top" wrapText="1"/>
    </xf>
    <xf numFmtId="0" fontId="5" fillId="0" borderId="36" xfId="20" applyFont="1" applyBorder="1" applyAlignment="1">
      <alignment horizontal="left" vertical="top" wrapText="1"/>
    </xf>
    <xf numFmtId="0" fontId="28" fillId="0" borderId="37" xfId="20" applyFont="1" applyBorder="1" applyAlignment="1">
      <alignment horizontal="left" vertical="top" wrapText="1"/>
    </xf>
    <xf numFmtId="0" fontId="28" fillId="0" borderId="36" xfId="20" applyFont="1" applyBorder="1" applyAlignment="1">
      <alignment horizontal="center" vertical="top" wrapText="1"/>
    </xf>
    <xf numFmtId="0" fontId="28" fillId="0" borderId="36" xfId="20" applyFont="1" applyBorder="1" applyAlignment="1">
      <alignment horizontal="left" vertical="top" wrapText="1"/>
    </xf>
    <xf numFmtId="4" fontId="28" fillId="0" borderId="36" xfId="20" applyNumberFormat="1" applyFont="1" applyBorder="1" applyAlignment="1">
      <alignment horizontal="right" vertical="top" wrapText="1"/>
    </xf>
    <xf numFmtId="0" fontId="28" fillId="0" borderId="6" xfId="20" applyFont="1" applyBorder="1" applyAlignment="1">
      <alignment horizontal="left" vertical="top" wrapText="1"/>
    </xf>
    <xf numFmtId="0" fontId="29" fillId="0" borderId="6" xfId="20" applyFont="1" applyBorder="1" applyAlignment="1">
      <alignment horizontal="left" vertical="top" wrapText="1"/>
    </xf>
    <xf numFmtId="0" fontId="29" fillId="0" borderId="6" xfId="20" applyFont="1" applyBorder="1" applyAlignment="1">
      <alignment horizontal="center" vertical="top" wrapText="1"/>
    </xf>
    <xf numFmtId="4" fontId="29" fillId="0" borderId="6" xfId="20" applyNumberFormat="1" applyFont="1" applyBorder="1" applyAlignment="1">
      <alignment horizontal="right" vertical="top" wrapText="1"/>
    </xf>
    <xf numFmtId="49" fontId="28" fillId="0" borderId="38" xfId="20" applyNumberFormat="1" applyFont="1" applyBorder="1" applyAlignment="1">
      <alignment horizontal="right" vertical="top" wrapText="1"/>
    </xf>
    <xf numFmtId="0" fontId="28" fillId="0" borderId="38" xfId="20" applyFont="1" applyBorder="1" applyAlignment="1">
      <alignment horizontal="left" vertical="top" wrapText="1"/>
    </xf>
    <xf numFmtId="0" fontId="5" fillId="0" borderId="38" xfId="20" applyFont="1" applyBorder="1" applyAlignment="1">
      <alignment horizontal="center" vertical="top" wrapText="1"/>
    </xf>
    <xf numFmtId="0" fontId="5" fillId="0" borderId="38" xfId="20" applyFont="1" applyBorder="1" applyAlignment="1">
      <alignment horizontal="left" vertical="top" wrapText="1"/>
    </xf>
    <xf numFmtId="49" fontId="28" fillId="0" borderId="35" xfId="20" applyNumberFormat="1" applyFont="1" applyBorder="1" applyAlignment="1">
      <alignment horizontal="right" vertical="top" wrapText="1"/>
    </xf>
    <xf numFmtId="0" fontId="5" fillId="0" borderId="35" xfId="20" applyFont="1" applyBorder="1" applyAlignment="1">
      <alignment horizontal="center" vertical="top" wrapText="1"/>
    </xf>
    <xf numFmtId="0" fontId="5" fillId="0" borderId="35" xfId="20" applyFont="1" applyBorder="1" applyAlignment="1">
      <alignment horizontal="left" vertical="top" wrapText="1"/>
    </xf>
    <xf numFmtId="4" fontId="5" fillId="0" borderId="35" xfId="20" applyNumberFormat="1" applyFont="1" applyBorder="1" applyAlignment="1">
      <alignment horizontal="right" vertical="top" wrapText="1"/>
    </xf>
    <xf numFmtId="0" fontId="5" fillId="0" borderId="31" xfId="20" applyFont="1" applyBorder="1" applyAlignment="1">
      <alignment horizontal="left" vertical="top" wrapText="1"/>
    </xf>
    <xf numFmtId="0" fontId="28" fillId="0" borderId="1" xfId="20" applyFont="1" applyBorder="1" applyAlignment="1">
      <alignment horizontal="center" vertical="top" wrapText="1"/>
    </xf>
    <xf numFmtId="0" fontId="28" fillId="0" borderId="1" xfId="20" applyFont="1" applyBorder="1" applyAlignment="1">
      <alignment horizontal="right" vertical="top" wrapText="1"/>
    </xf>
    <xf numFmtId="0" fontId="28" fillId="0" borderId="6" xfId="20" applyFont="1" applyBorder="1" applyAlignment="1">
      <alignment horizontal="center" vertical="top" wrapText="1"/>
    </xf>
    <xf numFmtId="4" fontId="28" fillId="0" borderId="6" xfId="20" applyNumberFormat="1" applyFont="1" applyBorder="1" applyAlignment="1">
      <alignment horizontal="right" vertical="top" wrapText="1"/>
    </xf>
    <xf numFmtId="49" fontId="28" fillId="0" borderId="16" xfId="20" applyNumberFormat="1" applyFont="1" applyBorder="1" applyAlignment="1">
      <alignment horizontal="right" vertical="top" wrapText="1"/>
    </xf>
    <xf numFmtId="0" fontId="5" fillId="0" borderId="10" xfId="20" applyFont="1" applyBorder="1" applyAlignment="1">
      <alignment horizontal="center" vertical="top" wrapText="1"/>
    </xf>
    <xf numFmtId="0" fontId="5" fillId="0" borderId="10" xfId="20" applyFont="1" applyBorder="1" applyAlignment="1">
      <alignment horizontal="left" vertical="top" wrapText="1"/>
    </xf>
    <xf numFmtId="4" fontId="5" fillId="0" borderId="17" xfId="20" applyNumberFormat="1" applyFont="1" applyBorder="1" applyAlignment="1">
      <alignment horizontal="right" vertical="top" wrapText="1"/>
    </xf>
    <xf numFmtId="49" fontId="28" fillId="0" borderId="14" xfId="20" applyNumberFormat="1" applyFont="1" applyBorder="1" applyAlignment="1">
      <alignment horizontal="right" vertical="top" wrapText="1"/>
    </xf>
    <xf numFmtId="4" fontId="5" fillId="0" borderId="15" xfId="20" applyNumberFormat="1" applyFont="1" applyBorder="1" applyAlignment="1">
      <alignment horizontal="right" vertical="top" wrapText="1"/>
    </xf>
    <xf numFmtId="49" fontId="28" fillId="0" borderId="29" xfId="20" applyNumberFormat="1" applyFont="1" applyBorder="1" applyAlignment="1">
      <alignment horizontal="right" vertical="top" wrapText="1"/>
    </xf>
    <xf numFmtId="4" fontId="5" fillId="0" borderId="30" xfId="20" applyNumberFormat="1" applyFont="1" applyBorder="1" applyAlignment="1">
      <alignment horizontal="right" vertical="top" wrapText="1"/>
    </xf>
    <xf numFmtId="4" fontId="29" fillId="0" borderId="5" xfId="20" applyNumberFormat="1" applyFont="1" applyBorder="1" applyAlignment="1">
      <alignment horizontal="right" vertical="top" wrapText="1"/>
    </xf>
    <xf numFmtId="0" fontId="29" fillId="0" borderId="28" xfId="20" applyFont="1" applyBorder="1" applyAlignment="1">
      <alignment horizontal="center" vertical="top" wrapText="1"/>
    </xf>
    <xf numFmtId="4" fontId="29" fillId="0" borderId="28" xfId="20" applyNumberFormat="1" applyFont="1" applyBorder="1" applyAlignment="1">
      <alignment horizontal="right" vertical="top" wrapText="1"/>
    </xf>
    <xf numFmtId="4" fontId="28" fillId="0" borderId="37" xfId="20" applyNumberFormat="1" applyFont="1" applyBorder="1" applyAlignment="1">
      <alignment horizontal="right" vertical="top" wrapText="1"/>
    </xf>
    <xf numFmtId="0" fontId="5" fillId="0" borderId="37" xfId="20" applyFont="1" applyBorder="1" applyAlignment="1">
      <alignment horizontal="left" vertical="top" wrapText="1"/>
    </xf>
    <xf numFmtId="0" fontId="5" fillId="0" borderId="15" xfId="20" applyFont="1" applyBorder="1" applyAlignment="1">
      <alignment horizontal="left" vertical="top" wrapText="1"/>
    </xf>
    <xf numFmtId="0" fontId="5" fillId="0" borderId="30" xfId="20" applyFont="1" applyBorder="1" applyAlignment="1">
      <alignment horizontal="left" vertical="top" wrapText="1"/>
    </xf>
    <xf numFmtId="0" fontId="31" fillId="0" borderId="6" xfId="20" applyFont="1" applyBorder="1" applyAlignment="1">
      <alignment horizontal="left" vertical="top" wrapText="1"/>
    </xf>
    <xf numFmtId="4" fontId="5" fillId="0" borderId="0" xfId="20" applyNumberFormat="1" applyFont="1"/>
    <xf numFmtId="0" fontId="28" fillId="0" borderId="28" xfId="20" applyFont="1" applyBorder="1" applyAlignment="1">
      <alignment horizontal="left" vertical="top" wrapText="1"/>
    </xf>
    <xf numFmtId="4" fontId="28" fillId="0" borderId="28" xfId="20" applyNumberFormat="1" applyFont="1" applyBorder="1" applyAlignment="1">
      <alignment horizontal="right" vertical="top" wrapText="1"/>
    </xf>
    <xf numFmtId="0" fontId="5" fillId="0" borderId="1" xfId="20" applyFont="1" applyBorder="1" applyAlignment="1">
      <alignment horizontal="left" vertical="top" wrapText="1"/>
    </xf>
    <xf numFmtId="4" fontId="5" fillId="0" borderId="1" xfId="20" applyNumberFormat="1" applyFont="1" applyBorder="1" applyAlignment="1">
      <alignment horizontal="right" vertical="top" wrapText="1"/>
    </xf>
    <xf numFmtId="4" fontId="5" fillId="0" borderId="0" xfId="20" applyNumberFormat="1" applyFont="1" applyAlignment="1">
      <alignment horizontal="center"/>
    </xf>
    <xf numFmtId="0" fontId="5" fillId="0" borderId="0" xfId="20" applyFont="1" applyAlignment="1">
      <alignment horizontal="right" wrapText="1"/>
    </xf>
    <xf numFmtId="4" fontId="5" fillId="0" borderId="0" xfId="20" applyNumberFormat="1" applyFont="1" applyAlignment="1">
      <alignment horizontal="right" wrapText="1"/>
    </xf>
    <xf numFmtId="0" fontId="5" fillId="0" borderId="0" xfId="20" applyFont="1" applyAlignment="1">
      <alignment horizontal="left" vertical="top"/>
    </xf>
    <xf numFmtId="49" fontId="5" fillId="0" borderId="1" xfId="20" applyNumberFormat="1" applyFont="1" applyBorder="1" applyAlignment="1">
      <alignment horizontal="right" vertical="top" wrapText="1"/>
    </xf>
    <xf numFmtId="0" fontId="5" fillId="0" borderId="1" xfId="20" applyFont="1" applyBorder="1" applyAlignment="1">
      <alignment horizontal="right" vertical="top" wrapText="1"/>
    </xf>
    <xf numFmtId="49" fontId="5" fillId="0" borderId="1" xfId="21" applyNumberFormat="1" applyFont="1" applyBorder="1" applyAlignment="1">
      <alignment horizontal="right" vertical="top" wrapText="1"/>
    </xf>
    <xf numFmtId="0" fontId="5" fillId="0" borderId="1" xfId="21" applyFont="1" applyBorder="1" applyAlignment="1">
      <alignment horizontal="left" vertical="top" wrapText="1"/>
    </xf>
    <xf numFmtId="0" fontId="5" fillId="0" borderId="1" xfId="21" applyFont="1" applyBorder="1" applyAlignment="1">
      <alignment horizontal="center" vertical="top" wrapText="1"/>
    </xf>
    <xf numFmtId="0" fontId="5" fillId="0" borderId="1" xfId="21" applyFont="1" applyBorder="1" applyAlignment="1">
      <alignment horizontal="right" vertical="top" wrapText="1"/>
    </xf>
    <xf numFmtId="4" fontId="5" fillId="0" borderId="1" xfId="21" applyNumberFormat="1" applyFont="1" applyBorder="1" applyAlignment="1">
      <alignment horizontal="right" vertical="top" wrapText="1"/>
    </xf>
    <xf numFmtId="0" fontId="5" fillId="0" borderId="0" xfId="21" applyFont="1"/>
    <xf numFmtId="3" fontId="5" fillId="0" borderId="0" xfId="21" applyNumberFormat="1" applyFont="1" applyAlignment="1">
      <alignment horizontal="center"/>
    </xf>
    <xf numFmtId="3" fontId="5" fillId="0" borderId="0" xfId="21" applyNumberFormat="1" applyFont="1"/>
    <xf numFmtId="0" fontId="29" fillId="0" borderId="0" xfId="21" applyFont="1"/>
    <xf numFmtId="0" fontId="41" fillId="0" borderId="28" xfId="12" applyFont="1" applyBorder="1" applyAlignment="1">
      <alignment horizontal="left" vertical="top" wrapText="1"/>
    </xf>
    <xf numFmtId="49" fontId="28" fillId="0" borderId="16" xfId="21" applyNumberFormat="1" applyFont="1" applyBorder="1" applyAlignment="1">
      <alignment horizontal="right" vertical="top" wrapText="1"/>
    </xf>
    <xf numFmtId="0" fontId="5" fillId="0" borderId="6" xfId="21" applyFont="1" applyBorder="1" applyAlignment="1">
      <alignment horizontal="left" vertical="top" wrapText="1"/>
    </xf>
    <xf numFmtId="0" fontId="5" fillId="0" borderId="10" xfId="21" applyFont="1" applyBorder="1" applyAlignment="1">
      <alignment horizontal="left" vertical="top" wrapText="1"/>
    </xf>
    <xf numFmtId="4" fontId="5" fillId="0" borderId="17" xfId="21" applyNumberFormat="1" applyFont="1" applyBorder="1" applyAlignment="1">
      <alignment horizontal="right" vertical="top" wrapText="1"/>
    </xf>
    <xf numFmtId="49" fontId="28" fillId="0" borderId="14" xfId="21" applyNumberFormat="1" applyFont="1" applyBorder="1" applyAlignment="1">
      <alignment horizontal="right" vertical="top" wrapText="1"/>
    </xf>
    <xf numFmtId="0" fontId="28" fillId="0" borderId="5" xfId="21" applyFont="1" applyBorder="1" applyAlignment="1">
      <alignment horizontal="left" vertical="top" wrapText="1"/>
    </xf>
    <xf numFmtId="0" fontId="5" fillId="0" borderId="0" xfId="21" applyFont="1" applyAlignment="1">
      <alignment horizontal="left" vertical="top" wrapText="1"/>
    </xf>
    <xf numFmtId="0" fontId="5" fillId="0" borderId="5" xfId="21" applyFont="1" applyBorder="1" applyAlignment="1">
      <alignment horizontal="left" vertical="top" wrapText="1"/>
    </xf>
    <xf numFmtId="4" fontId="5" fillId="0" borderId="15" xfId="21" applyNumberFormat="1" applyFont="1" applyBorder="1" applyAlignment="1">
      <alignment horizontal="right" vertical="top" wrapText="1"/>
    </xf>
    <xf numFmtId="49" fontId="28" fillId="0" borderId="29" xfId="21" applyNumberFormat="1" applyFont="1" applyBorder="1" applyAlignment="1">
      <alignment horizontal="right" vertical="top" wrapText="1"/>
    </xf>
    <xf numFmtId="0" fontId="5" fillId="0" borderId="28" xfId="21" applyFont="1" applyBorder="1" applyAlignment="1">
      <alignment horizontal="left" vertical="top" wrapText="1"/>
    </xf>
    <xf numFmtId="0" fontId="5" fillId="0" borderId="31" xfId="21" applyFont="1" applyBorder="1" applyAlignment="1">
      <alignment horizontal="left" vertical="top" wrapText="1"/>
    </xf>
    <xf numFmtId="4" fontId="5" fillId="0" borderId="30" xfId="21" applyNumberFormat="1" applyFont="1" applyBorder="1" applyAlignment="1">
      <alignment horizontal="right" vertical="top" wrapText="1"/>
    </xf>
    <xf numFmtId="49" fontId="28" fillId="0" borderId="28" xfId="21" applyNumberFormat="1" applyFont="1" applyBorder="1" applyAlignment="1">
      <alignment horizontal="right" vertical="top" wrapText="1"/>
    </xf>
    <xf numFmtId="4" fontId="5" fillId="0" borderId="28" xfId="21" applyNumberFormat="1" applyFont="1" applyBorder="1" applyAlignment="1">
      <alignment horizontal="right" vertical="top" wrapText="1"/>
    </xf>
    <xf numFmtId="4" fontId="44" fillId="0" borderId="1" xfId="1" applyNumberFormat="1" applyFont="1" applyBorder="1" applyAlignment="1">
      <alignment horizontal="right" vertical="top" wrapText="1"/>
    </xf>
    <xf numFmtId="4" fontId="43" fillId="0" borderId="28" xfId="1" applyNumberFormat="1" applyFont="1" applyBorder="1" applyAlignment="1">
      <alignment horizontal="right" vertical="top" wrapText="1"/>
    </xf>
    <xf numFmtId="4" fontId="43" fillId="0" borderId="1" xfId="1" applyNumberFormat="1" applyFont="1" applyBorder="1" applyAlignment="1">
      <alignment horizontal="right" vertical="top" wrapText="1"/>
    </xf>
    <xf numFmtId="4" fontId="1" fillId="0" borderId="1" xfId="1" applyNumberFormat="1" applyBorder="1" applyAlignment="1">
      <alignment horizontal="right" vertical="top" wrapText="1"/>
    </xf>
    <xf numFmtId="49" fontId="45" fillId="0" borderId="1" xfId="1" applyNumberFormat="1" applyFont="1" applyBorder="1" applyAlignment="1">
      <alignment horizontal="right" vertical="top" wrapText="1"/>
    </xf>
    <xf numFmtId="0" fontId="46" fillId="0" borderId="1" xfId="1" applyFont="1" applyBorder="1" applyAlignment="1">
      <alignment horizontal="left" vertical="top" wrapText="1"/>
    </xf>
    <xf numFmtId="4" fontId="46" fillId="0" borderId="1" xfId="1" applyNumberFormat="1" applyFont="1" applyBorder="1" applyAlignment="1">
      <alignment horizontal="right" vertical="top" wrapText="1"/>
    </xf>
    <xf numFmtId="0" fontId="46" fillId="0" borderId="0" xfId="1" applyFont="1"/>
    <xf numFmtId="0" fontId="46" fillId="0" borderId="1" xfId="17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5" fillId="0" borderId="0" xfId="20" applyFont="1" applyAlignment="1">
      <alignment horizontal="right" wrapText="1"/>
    </xf>
    <xf numFmtId="0" fontId="29" fillId="0" borderId="0" xfId="20" applyFont="1"/>
    <xf numFmtId="0" fontId="34" fillId="0" borderId="0" xfId="13" quotePrefix="1" applyFont="1" applyAlignment="1">
      <alignment horizontal="left" vertical="top" wrapText="1"/>
    </xf>
    <xf numFmtId="0" fontId="35" fillId="0" borderId="0" xfId="20" applyFont="1" applyAlignment="1">
      <alignment wrapText="1"/>
    </xf>
    <xf numFmtId="0" fontId="28" fillId="0" borderId="0" xfId="14" quotePrefix="1" applyFont="1" applyAlignment="1">
      <alignment horizontal="left" vertical="top" wrapText="1"/>
    </xf>
    <xf numFmtId="0" fontId="35" fillId="0" borderId="0" xfId="0" applyFont="1" applyAlignment="1">
      <alignment wrapText="1"/>
    </xf>
    <xf numFmtId="0" fontId="37" fillId="0" borderId="31" xfId="15" quotePrefix="1" applyFont="1" applyBorder="1" applyAlignment="1">
      <alignment horizontal="left" vertical="top" wrapText="1"/>
    </xf>
    <xf numFmtId="0" fontId="28" fillId="0" borderId="0" xfId="1" applyFont="1" applyAlignment="1">
      <alignment horizontal="left" vertical="top" wrapText="1"/>
    </xf>
    <xf numFmtId="165" fontId="28" fillId="0" borderId="0" xfId="1" applyNumberFormat="1" applyFont="1" applyAlignment="1">
      <alignment horizontal="left" vertical="top" wrapText="1"/>
    </xf>
    <xf numFmtId="0" fontId="5" fillId="0" borderId="0" xfId="20" applyFont="1" applyAlignment="1">
      <alignment horizontal="left" vertical="top" wrapText="1"/>
    </xf>
    <xf numFmtId="3" fontId="5" fillId="0" borderId="0" xfId="20" applyNumberFormat="1" applyFont="1" applyAlignment="1">
      <alignment horizontal="left" vertical="top" wrapText="1"/>
    </xf>
    <xf numFmtId="0" fontId="28" fillId="0" borderId="0" xfId="20" applyFont="1" applyAlignment="1">
      <alignment horizontal="left" vertical="top"/>
    </xf>
    <xf numFmtId="0" fontId="28" fillId="0" borderId="0" xfId="14" quotePrefix="1" applyFont="1" applyAlignment="1">
      <alignment horizontal="left" vertical="top"/>
    </xf>
    <xf numFmtId="0" fontId="28" fillId="0" borderId="0" xfId="14" applyFont="1" applyAlignment="1">
      <alignment horizontal="left" vertical="top"/>
    </xf>
    <xf numFmtId="0" fontId="28" fillId="0" borderId="0" xfId="20" applyFont="1" applyAlignment="1">
      <alignment vertical="top" wrapText="1"/>
    </xf>
    <xf numFmtId="0" fontId="30" fillId="0" borderId="0" xfId="12" applyFont="1" applyAlignment="1">
      <alignment horizontal="right" vertical="top" wrapText="1"/>
    </xf>
    <xf numFmtId="0" fontId="28" fillId="0" borderId="0" xfId="12" applyFont="1" applyAlignment="1">
      <alignment horizontal="center" vertical="top" wrapText="1"/>
    </xf>
    <xf numFmtId="0" fontId="5" fillId="0" borderId="0" xfId="12" applyFont="1" applyAlignment="1">
      <alignment horizontal="center" vertical="center"/>
    </xf>
    <xf numFmtId="0" fontId="28" fillId="0" borderId="0" xfId="20" applyFont="1" applyAlignment="1">
      <alignment horizontal="left" vertical="top" wrapText="1"/>
    </xf>
    <xf numFmtId="0" fontId="31" fillId="0" borderId="0" xfId="20" applyFont="1"/>
    <xf numFmtId="0" fontId="5" fillId="0" borderId="0" xfId="20" applyFont="1" applyAlignment="1">
      <alignment horizontal="center" vertical="center"/>
    </xf>
    <xf numFmtId="4" fontId="5" fillId="0" borderId="6" xfId="1" applyNumberFormat="1" applyFont="1" applyBorder="1" applyAlignment="1">
      <alignment horizontal="right" vertical="top" wrapText="1"/>
    </xf>
    <xf numFmtId="4" fontId="5" fillId="0" borderId="28" xfId="1" applyNumberFormat="1" applyFont="1" applyBorder="1" applyAlignment="1">
      <alignment horizontal="right" vertical="top" wrapText="1"/>
    </xf>
    <xf numFmtId="49" fontId="28" fillId="0" borderId="6" xfId="1" applyNumberFormat="1" applyFont="1" applyBorder="1" applyAlignment="1">
      <alignment horizontal="right" vertical="top" wrapText="1"/>
    </xf>
    <xf numFmtId="49" fontId="28" fillId="0" borderId="28" xfId="1" applyNumberFormat="1" applyFont="1" applyBorder="1" applyAlignment="1">
      <alignment horizontal="right" vertical="top" wrapText="1"/>
    </xf>
    <xf numFmtId="0" fontId="28" fillId="0" borderId="6" xfId="1" applyFont="1" applyBorder="1" applyAlignment="1">
      <alignment horizontal="left" vertical="top" wrapText="1"/>
    </xf>
    <xf numFmtId="0" fontId="28" fillId="0" borderId="28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28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4" fontId="5" fillId="0" borderId="5" xfId="1" applyNumberFormat="1" applyFont="1" applyBorder="1" applyAlignment="1">
      <alignment horizontal="right" vertical="top" wrapText="1"/>
    </xf>
    <xf numFmtId="49" fontId="28" fillId="0" borderId="5" xfId="1" applyNumberFormat="1" applyFont="1" applyBorder="1" applyAlignment="1">
      <alignment horizontal="right" vertical="top" wrapText="1"/>
    </xf>
    <xf numFmtId="0" fontId="28" fillId="0" borderId="5" xfId="1" applyFont="1" applyBorder="1" applyAlignment="1">
      <alignment horizontal="left" vertical="top" wrapText="1"/>
    </xf>
    <xf numFmtId="0" fontId="35" fillId="0" borderId="0" xfId="21" applyFont="1" applyAlignment="1">
      <alignment wrapText="1"/>
    </xf>
    <xf numFmtId="0" fontId="32" fillId="0" borderId="0" xfId="1" applyFont="1" applyAlignment="1">
      <alignment horizontal="left" vertical="top" wrapText="1"/>
    </xf>
    <xf numFmtId="0" fontId="28" fillId="0" borderId="0" xfId="21" applyFont="1" applyAlignment="1">
      <alignment horizontal="left" vertical="top"/>
    </xf>
    <xf numFmtId="0" fontId="5" fillId="0" borderId="0" xfId="1" applyFont="1" applyAlignment="1">
      <alignment vertical="top" wrapText="1"/>
    </xf>
    <xf numFmtId="0" fontId="30" fillId="0" borderId="0" xfId="1" applyFont="1" applyAlignment="1">
      <alignment horizontal="right" vertical="top" wrapText="1"/>
    </xf>
    <xf numFmtId="0" fontId="28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38" fillId="0" borderId="0" xfId="1" applyFont="1" applyAlignment="1">
      <alignment vertical="top" wrapText="1"/>
    </xf>
    <xf numFmtId="0" fontId="28" fillId="0" borderId="0" xfId="11" applyFont="1" applyAlignment="1">
      <alignment horizontal="left" vertical="top"/>
    </xf>
    <xf numFmtId="0" fontId="35" fillId="0" borderId="0" xfId="11" applyFont="1" applyAlignment="1">
      <alignment wrapText="1"/>
    </xf>
    <xf numFmtId="49" fontId="28" fillId="0" borderId="2" xfId="1" applyNumberFormat="1" applyFont="1" applyBorder="1" applyAlignment="1">
      <alignment horizontal="center" vertical="top" wrapText="1"/>
    </xf>
    <xf numFmtId="49" fontId="28" fillId="0" borderId="12" xfId="1" applyNumberFormat="1" applyFont="1" applyBorder="1" applyAlignment="1">
      <alignment horizontal="center" vertical="top" wrapText="1"/>
    </xf>
    <xf numFmtId="49" fontId="28" fillId="0" borderId="11" xfId="1" applyNumberFormat="1" applyFont="1" applyBorder="1" applyAlignment="1">
      <alignment horizontal="center" vertical="top" wrapText="1"/>
    </xf>
    <xf numFmtId="0" fontId="44" fillId="0" borderId="0" xfId="1" applyFont="1" applyAlignment="1">
      <alignment horizontal="left" vertical="top" wrapText="1"/>
    </xf>
    <xf numFmtId="0" fontId="39" fillId="0" borderId="0" xfId="1" applyFont="1" applyAlignment="1">
      <alignment wrapText="1"/>
    </xf>
    <xf numFmtId="49" fontId="28" fillId="0" borderId="35" xfId="1" applyNumberFormat="1" applyFont="1" applyBorder="1" applyAlignment="1">
      <alignment horizontal="right" vertical="top" wrapText="1"/>
    </xf>
    <xf numFmtId="0" fontId="28" fillId="0" borderId="35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 wrapText="1"/>
    </xf>
    <xf numFmtId="4" fontId="5" fillId="0" borderId="35" xfId="1" applyNumberFormat="1" applyFont="1" applyBorder="1" applyAlignment="1">
      <alignment horizontal="right" vertical="top" wrapText="1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horizontal="right" vertical="top" wrapText="1"/>
    </xf>
    <xf numFmtId="0" fontId="9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 vertical="center"/>
    </xf>
    <xf numFmtId="0" fontId="1" fillId="0" borderId="0" xfId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" fillId="0" borderId="0" xfId="1" applyAlignment="1">
      <alignment horizontal="left" vertical="top"/>
    </xf>
    <xf numFmtId="0" fontId="1" fillId="0" borderId="32" xfId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0" fontId="1" fillId="0" borderId="0" xfId="1" applyAlignment="1">
      <alignment wrapText="1"/>
    </xf>
    <xf numFmtId="0" fontId="1" fillId="0" borderId="2" xfId="1" applyBorder="1" applyAlignment="1">
      <alignment horizontal="left" vertical="top" wrapText="1"/>
    </xf>
    <xf numFmtId="0" fontId="1" fillId="0" borderId="11" xfId="1" applyBorder="1" applyAlignment="1">
      <alignment horizontal="left" vertical="top" wrapText="1"/>
    </xf>
    <xf numFmtId="0" fontId="1" fillId="0" borderId="12" xfId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9" fillId="0" borderId="39" xfId="1" applyFont="1" applyBorder="1" applyAlignment="1">
      <alignment horizontal="left" vertical="top" wrapText="1"/>
    </xf>
    <xf numFmtId="0" fontId="9" fillId="0" borderId="40" xfId="1" applyFont="1" applyBorder="1" applyAlignment="1">
      <alignment horizontal="left" vertical="top" wrapText="1"/>
    </xf>
    <xf numFmtId="0" fontId="9" fillId="0" borderId="41" xfId="1" applyFont="1" applyBorder="1" applyAlignment="1">
      <alignment horizontal="left" vertical="top" wrapText="1"/>
    </xf>
    <xf numFmtId="0" fontId="1" fillId="0" borderId="42" xfId="1" applyBorder="1" applyAlignment="1">
      <alignment horizontal="left" vertical="top" wrapText="1"/>
    </xf>
    <xf numFmtId="0" fontId="1" fillId="0" borderId="43" xfId="1" applyBorder="1" applyAlignment="1">
      <alignment horizontal="left" vertical="top" wrapText="1"/>
    </xf>
    <xf numFmtId="0" fontId="1" fillId="0" borderId="44" xfId="1" applyBorder="1" applyAlignment="1">
      <alignment horizontal="left" vertical="top" wrapText="1"/>
    </xf>
    <xf numFmtId="0" fontId="9" fillId="0" borderId="29" xfId="1" applyFont="1" applyBorder="1" applyAlignment="1">
      <alignment horizontal="left" vertical="top" wrapText="1"/>
    </xf>
    <xf numFmtId="0" fontId="9" fillId="0" borderId="30" xfId="1" applyFont="1" applyBorder="1" applyAlignment="1">
      <alignment horizontal="left" vertical="top" wrapText="1"/>
    </xf>
    <xf numFmtId="0" fontId="9" fillId="0" borderId="31" xfId="1" applyFont="1" applyBorder="1" applyAlignment="1">
      <alignment horizontal="left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22" xfId="1" applyFont="1" applyBorder="1" applyAlignment="1">
      <alignment horizontal="center" vertical="top" wrapText="1"/>
    </xf>
    <xf numFmtId="0" fontId="3" fillId="0" borderId="23" xfId="1" applyFont="1" applyBorder="1" applyAlignment="1">
      <alignment horizontal="center" vertical="top" wrapText="1"/>
    </xf>
    <xf numFmtId="0" fontId="1" fillId="0" borderId="18" xfId="1" applyBorder="1" applyAlignment="1">
      <alignment horizontal="center" wrapText="1"/>
    </xf>
    <xf numFmtId="0" fontId="1" fillId="0" borderId="19" xfId="1" applyBorder="1" applyAlignment="1">
      <alignment horizontal="center" wrapText="1"/>
    </xf>
    <xf numFmtId="0" fontId="1" fillId="0" borderId="20" xfId="1" applyBorder="1" applyAlignment="1">
      <alignment horizontal="center" wrapText="1"/>
    </xf>
    <xf numFmtId="0" fontId="9" fillId="0" borderId="16" xfId="1" applyFont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1" fillId="0" borderId="16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7" xfId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1" fillId="0" borderId="14" xfId="1" applyBorder="1" applyAlignment="1">
      <alignment horizontal="left" vertical="top" wrapText="1"/>
    </xf>
    <xf numFmtId="0" fontId="1" fillId="0" borderId="15" xfId="1" applyBorder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vertical="top" wrapText="1"/>
    </xf>
    <xf numFmtId="0" fontId="1" fillId="0" borderId="14" xfId="1" applyBorder="1" applyAlignment="1">
      <alignment horizontal="center" vertical="top" wrapText="1"/>
    </xf>
    <xf numFmtId="0" fontId="1" fillId="0" borderId="15" xfId="1" applyBorder="1" applyAlignment="1">
      <alignment horizontal="center" vertical="top" wrapText="1"/>
    </xf>
    <xf numFmtId="0" fontId="1" fillId="0" borderId="9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8" xfId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5" xfId="1" applyBorder="1" applyAlignment="1">
      <alignment horizontal="left" vertical="top" wrapText="1"/>
    </xf>
    <xf numFmtId="3" fontId="1" fillId="0" borderId="6" xfId="1" applyNumberFormat="1" applyBorder="1" applyAlignment="1">
      <alignment horizontal="right" vertical="top" wrapText="1"/>
    </xf>
    <xf numFmtId="3" fontId="1" fillId="0" borderId="5" xfId="1" applyNumberFormat="1" applyBorder="1" applyAlignment="1">
      <alignment horizontal="right" vertical="top" wrapText="1"/>
    </xf>
    <xf numFmtId="0" fontId="1" fillId="0" borderId="29" xfId="1" applyBorder="1" applyAlignment="1">
      <alignment horizontal="center" vertical="top" wrapText="1"/>
    </xf>
    <xf numFmtId="0" fontId="1" fillId="0" borderId="30" xfId="1" applyBorder="1" applyAlignment="1">
      <alignment horizontal="center" vertical="top" wrapText="1"/>
    </xf>
    <xf numFmtId="0" fontId="1" fillId="0" borderId="29" xfId="1" applyBorder="1" applyAlignment="1">
      <alignment horizontal="left" vertical="top" wrapText="1"/>
    </xf>
    <xf numFmtId="0" fontId="1" fillId="0" borderId="31" xfId="1" applyBorder="1" applyAlignment="1">
      <alignment horizontal="left" vertical="top" wrapText="1"/>
    </xf>
    <xf numFmtId="0" fontId="1" fillId="0" borderId="30" xfId="1" applyBorder="1" applyAlignment="1">
      <alignment horizontal="left" vertical="top" wrapText="1"/>
    </xf>
    <xf numFmtId="49" fontId="9" fillId="0" borderId="6" xfId="1" applyNumberFormat="1" applyFont="1" applyBorder="1" applyAlignment="1">
      <alignment horizontal="right" vertical="top" wrapText="1"/>
    </xf>
    <xf numFmtId="49" fontId="9" fillId="0" borderId="5" xfId="1" applyNumberFormat="1" applyFont="1" applyBorder="1" applyAlignment="1">
      <alignment horizontal="right" vertical="top" wrapText="1"/>
    </xf>
    <xf numFmtId="164" fontId="1" fillId="0" borderId="14" xfId="1" applyNumberFormat="1" applyBorder="1" applyAlignment="1">
      <alignment horizontal="left" vertical="top" wrapText="1"/>
    </xf>
    <xf numFmtId="164" fontId="1" fillId="0" borderId="0" xfId="1" applyNumberFormat="1" applyAlignment="1">
      <alignment horizontal="left" vertical="top" wrapText="1"/>
    </xf>
    <xf numFmtId="164" fontId="1" fillId="0" borderId="15" xfId="1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9" fillId="0" borderId="2" xfId="1" applyNumberFormat="1" applyFont="1" applyBorder="1" applyAlignment="1">
      <alignment horizontal="left" vertical="top" wrapText="1"/>
    </xf>
    <xf numFmtId="49" fontId="9" fillId="0" borderId="12" xfId="1" applyNumberFormat="1" applyFont="1" applyBorder="1" applyAlignment="1">
      <alignment horizontal="left" vertical="top" wrapText="1"/>
    </xf>
    <xf numFmtId="49" fontId="9" fillId="0" borderId="11" xfId="1" applyNumberFormat="1" applyFont="1" applyBorder="1" applyAlignment="1">
      <alignment horizontal="left" vertical="top" wrapText="1"/>
    </xf>
    <xf numFmtId="49" fontId="9" fillId="0" borderId="9" xfId="1" applyNumberFormat="1" applyFont="1" applyBorder="1" applyAlignment="1">
      <alignment horizontal="left" vertical="top" wrapText="1"/>
    </xf>
    <xf numFmtId="49" fontId="9" fillId="0" borderId="8" xfId="1" applyNumberFormat="1" applyFont="1" applyBorder="1" applyAlignment="1">
      <alignment horizontal="left" vertical="top" wrapText="1"/>
    </xf>
    <xf numFmtId="49" fontId="9" fillId="0" borderId="13" xfId="1" applyNumberFormat="1" applyFont="1" applyBorder="1" applyAlignment="1">
      <alignment horizontal="left" vertical="top" wrapText="1"/>
    </xf>
    <xf numFmtId="0" fontId="1" fillId="0" borderId="45" xfId="1" applyBorder="1" applyAlignment="1">
      <alignment horizontal="left" vertical="top" wrapText="1"/>
    </xf>
    <xf numFmtId="0" fontId="1" fillId="0" borderId="46" xfId="1" applyBorder="1" applyAlignment="1">
      <alignment horizontal="left" vertical="top" wrapText="1"/>
    </xf>
    <xf numFmtId="0" fontId="1" fillId="0" borderId="47" xfId="1" applyBorder="1" applyAlignment="1">
      <alignment horizontal="left" vertical="top" wrapText="1"/>
    </xf>
    <xf numFmtId="0" fontId="1" fillId="0" borderId="5" xfId="1" applyBorder="1" applyAlignment="1">
      <alignment horizontal="right" vertical="top" wrapText="1"/>
    </xf>
    <xf numFmtId="165" fontId="1" fillId="0" borderId="0" xfId="1" applyNumberFormat="1" applyAlignment="1">
      <alignment horizontal="left" vertical="top" wrapText="1"/>
    </xf>
    <xf numFmtId="0" fontId="1" fillId="0" borderId="39" xfId="1" applyBorder="1" applyAlignment="1">
      <alignment horizontal="left" vertical="top" wrapText="1"/>
    </xf>
    <xf numFmtId="0" fontId="1" fillId="0" borderId="40" xfId="1" applyBorder="1" applyAlignment="1">
      <alignment horizontal="left" vertical="top" wrapText="1"/>
    </xf>
    <xf numFmtId="0" fontId="1" fillId="0" borderId="41" xfId="1" applyBorder="1" applyAlignment="1">
      <alignment horizontal="left" vertical="top" wrapText="1"/>
    </xf>
    <xf numFmtId="165" fontId="1" fillId="0" borderId="5" xfId="1" applyNumberFormat="1" applyBorder="1" applyAlignment="1">
      <alignment horizontal="right" vertical="top" wrapText="1"/>
    </xf>
    <xf numFmtId="0" fontId="1" fillId="0" borderId="21" xfId="1" applyBorder="1" applyAlignment="1">
      <alignment horizontal="center" vertical="top" wrapText="1"/>
    </xf>
    <xf numFmtId="0" fontId="1" fillId="0" borderId="23" xfId="1" applyBorder="1" applyAlignment="1">
      <alignment horizontal="center" vertical="top" wrapText="1"/>
    </xf>
    <xf numFmtId="0" fontId="1" fillId="0" borderId="22" xfId="1" applyBorder="1" applyAlignment="1">
      <alignment horizontal="center" vertical="top" wrapText="1"/>
    </xf>
    <xf numFmtId="0" fontId="1" fillId="0" borderId="21" xfId="1" applyBorder="1" applyAlignment="1">
      <alignment horizontal="center" wrapText="1"/>
    </xf>
    <xf numFmtId="0" fontId="1" fillId="0" borderId="23" xfId="1" applyBorder="1" applyAlignment="1">
      <alignment horizontal="center" wrapText="1"/>
    </xf>
    <xf numFmtId="0" fontId="1" fillId="0" borderId="22" xfId="1" applyBorder="1" applyAlignment="1">
      <alignment horizontal="center" wrapText="1"/>
    </xf>
    <xf numFmtId="0" fontId="9" fillId="0" borderId="25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 wrapText="1"/>
    </xf>
    <xf numFmtId="0" fontId="9" fillId="0" borderId="26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1" fillId="0" borderId="24" xfId="1" applyBorder="1" applyAlignment="1">
      <alignment horizontal="left" vertical="top" wrapText="1"/>
    </xf>
    <xf numFmtId="0" fontId="1" fillId="0" borderId="10" xfId="1" applyBorder="1" applyAlignment="1">
      <alignment wrapText="1"/>
    </xf>
  </cellXfs>
  <cellStyles count="22">
    <cellStyle name="S3" xfId="15" xr:uid="{00000000-0005-0000-0000-000000000000}"/>
    <cellStyle name="S6 3" xfId="13" xr:uid="{00000000-0005-0000-0000-000001000000}"/>
    <cellStyle name="Обычный" xfId="0" builtinId="0"/>
    <cellStyle name="Обычный 10" xfId="6" xr:uid="{00000000-0005-0000-0000-000003000000}"/>
    <cellStyle name="Обычный 11 2" xfId="5" xr:uid="{00000000-0005-0000-0000-000004000000}"/>
    <cellStyle name="Обычный 16 2" xfId="3" xr:uid="{00000000-0005-0000-0000-000005000000}"/>
    <cellStyle name="Обычный 2" xfId="1" xr:uid="{00000000-0005-0000-0000-000006000000}"/>
    <cellStyle name="Обычный 2 2" xfId="12" xr:uid="{00000000-0005-0000-0000-000007000000}"/>
    <cellStyle name="Обычный 2 2 2" xfId="7" xr:uid="{00000000-0005-0000-0000-000008000000}"/>
    <cellStyle name="Обычный 2 3" xfId="16" xr:uid="{00000000-0005-0000-0000-000009000000}"/>
    <cellStyle name="Обычный 2_Смета ИЭИ МН Куйбышев-Унеча-Мозырь 813-823 км" xfId="17" xr:uid="{00000000-0005-0000-0000-00000A000000}"/>
    <cellStyle name="Обычный 25" xfId="14" xr:uid="{00000000-0005-0000-0000-00000B000000}"/>
    <cellStyle name="Обычный 4" xfId="8" xr:uid="{00000000-0005-0000-0000-00000C000000}"/>
    <cellStyle name="Обычный 4 2" xfId="11" xr:uid="{00000000-0005-0000-0000-00000D000000}"/>
    <cellStyle name="Обычный 4 2 2" xfId="20" xr:uid="{46DFB498-CBFE-44A7-8280-D841905B705D}"/>
    <cellStyle name="Обычный 4 3" xfId="18" xr:uid="{00000000-0005-0000-0000-00000E000000}"/>
    <cellStyle name="Обычный 4 3 2" xfId="21" xr:uid="{7029C7D4-E651-4A1C-B584-FAC326788E86}"/>
    <cellStyle name="Обычный 5 4 3 4 3 2" xfId="2" xr:uid="{00000000-0005-0000-0000-00000F000000}"/>
    <cellStyle name="Обычный 6" xfId="4" xr:uid="{00000000-0005-0000-0000-000010000000}"/>
    <cellStyle name="Финансовый" xfId="10" builtinId="3"/>
    <cellStyle name="Финансовый 2" xfId="9" xr:uid="{00000000-0005-0000-0000-000012000000}"/>
    <cellStyle name="Финансовый 3" xfId="19" xr:uid="{00000000-0005-0000-0000-000013000000}"/>
  </cellStyles>
  <dxfs count="0"/>
  <tableStyles count="0" defaultTableStyle="TableStyleMedium9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externalLink" Target="externalLinks/externalLink7.xml"/><Relationship Id="rId50" Type="http://schemas.openxmlformats.org/officeDocument/2006/relationships/externalLink" Target="externalLinks/externalLink10.xml"/><Relationship Id="rId55" Type="http://schemas.openxmlformats.org/officeDocument/2006/relationships/externalLink" Target="externalLinks/externalLink15.xml"/><Relationship Id="rId63" Type="http://schemas.openxmlformats.org/officeDocument/2006/relationships/externalLink" Target="externalLinks/externalLink23.xml"/><Relationship Id="rId68" Type="http://schemas.openxmlformats.org/officeDocument/2006/relationships/externalLink" Target="externalLinks/externalLink2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3" Type="http://schemas.openxmlformats.org/officeDocument/2006/relationships/externalLink" Target="externalLinks/externalLink13.xml"/><Relationship Id="rId58" Type="http://schemas.openxmlformats.org/officeDocument/2006/relationships/externalLink" Target="externalLinks/externalLink18.xml"/><Relationship Id="rId66" Type="http://schemas.openxmlformats.org/officeDocument/2006/relationships/externalLink" Target="externalLinks/externalLink2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9.xml"/><Relationship Id="rId57" Type="http://schemas.openxmlformats.org/officeDocument/2006/relationships/externalLink" Target="externalLinks/externalLink17.xml"/><Relationship Id="rId61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52" Type="http://schemas.openxmlformats.org/officeDocument/2006/relationships/externalLink" Target="externalLinks/externalLink12.xml"/><Relationship Id="rId60" Type="http://schemas.openxmlformats.org/officeDocument/2006/relationships/externalLink" Target="externalLinks/externalLink20.xml"/><Relationship Id="rId65" Type="http://schemas.openxmlformats.org/officeDocument/2006/relationships/externalLink" Target="externalLinks/externalLink2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externalLink" Target="externalLinks/externalLink8.xml"/><Relationship Id="rId56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24.xml"/><Relationship Id="rId69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1.xml"/><Relationship Id="rId72" Type="http://schemas.openxmlformats.org/officeDocument/2006/relationships/externalLink" Target="externalLinks/externalLink3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6.xml"/><Relationship Id="rId59" Type="http://schemas.openxmlformats.org/officeDocument/2006/relationships/externalLink" Target="externalLinks/externalLink19.xml"/><Relationship Id="rId67" Type="http://schemas.openxmlformats.org/officeDocument/2006/relationships/externalLink" Target="externalLinks/externalLink2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54" Type="http://schemas.openxmlformats.org/officeDocument/2006/relationships/externalLink" Target="externalLinks/externalLink14.xml"/><Relationship Id="rId62" Type="http://schemas.openxmlformats.org/officeDocument/2006/relationships/externalLink" Target="externalLinks/externalLink22.xml"/><Relationship Id="rId70" Type="http://schemas.openxmlformats.org/officeDocument/2006/relationships/externalLink" Target="externalLinks/externalLink3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196215</xdr:colOff>
      <xdr:row>29</xdr:row>
      <xdr:rowOff>624840</xdr:rowOff>
    </xdr:from>
    <xdr:to>
      <xdr:col>16</xdr:col>
      <xdr:colOff>167640</xdr:colOff>
      <xdr:row>69</xdr:row>
      <xdr:rowOff>36195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AFCC8BCA-A5BA-4AE4-B562-336BEA28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4165" y="14683740"/>
          <a:ext cx="6924675" cy="988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482437</xdr:colOff>
      <xdr:row>90</xdr:row>
      <xdr:rowOff>144780</xdr:rowOff>
    </xdr:from>
    <xdr:to>
      <xdr:col>17</xdr:col>
      <xdr:colOff>487681</xdr:colOff>
      <xdr:row>129</xdr:row>
      <xdr:rowOff>97312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7D03ACE-933D-404F-A282-B17F6ABA3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87" y="44445555"/>
          <a:ext cx="6958494" cy="11096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38956</xdr:colOff>
      <xdr:row>53</xdr:row>
      <xdr:rowOff>77408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E8BCF7-391D-4DF1-8E81-203D13712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34956" cy="86594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10377</xdr:colOff>
      <xdr:row>53</xdr:row>
      <xdr:rowOff>125040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5C3D7D8-2E17-4280-B1AA-715EA67B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0" y="0"/>
          <a:ext cx="6106377" cy="87070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20</xdr:row>
      <xdr:rowOff>0</xdr:rowOff>
    </xdr:from>
    <xdr:to>
      <xdr:col>18</xdr:col>
      <xdr:colOff>160844</xdr:colOff>
      <xdr:row>20</xdr:row>
      <xdr:rowOff>1657143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B7657D-AF13-CEC8-2736-CAA450A32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6550" y="5686425"/>
          <a:ext cx="8647619" cy="16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104774</xdr:colOff>
      <xdr:row>17</xdr:row>
      <xdr:rowOff>28575</xdr:rowOff>
    </xdr:from>
    <xdr:to>
      <xdr:col>18</xdr:col>
      <xdr:colOff>293799</xdr:colOff>
      <xdr:row>26</xdr:row>
      <xdr:rowOff>149875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C1A84B5-7274-711D-D428-EA316C876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199" y="4972050"/>
          <a:ext cx="7675675" cy="441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19</xdr:col>
      <xdr:colOff>8492</xdr:colOff>
      <xdr:row>18</xdr:row>
      <xdr:rowOff>104613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953DCC-BAB5-6F1C-310B-C974D773D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8425" y="4886325"/>
          <a:ext cx="8266667" cy="1295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rs-server-1\Documents%20and%20Settings\kuharevatg\Local%20Settings\Temporary%20Internet%20Files\OLK125\&#1057;&#1052;&#1045;&#1058;&#1067;\INGGEO\1751-1775\&#1057;&#1058;&#1056;&#1054;&#1049;&#1053;&#1045;&#1060;&#1058;&#1068;\&#1051;&#1054;&#1058;%2029%20&#1063;&#1058;&#1053;%20&#1076;.1601\&#1055;&#1077;&#1088;&#1074;&#1099;&#1081;%20&#1074;&#1072;&#1088;&#1080;&#1072;&#1085;&#1090;\Zarplata_1\&#1044;&#1077;&#1085;&#1080;&#1089;\&#1089;&#1086;&#1093;&#1088;&#1072;&#1085;&#1080;&#1090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001\&#1054;&#1073;&#1084;&#1077;&#1085;\&#1056;&#1040;&#1041;&#1054;&#1058;&#1040;\&#1089;&#1084;&#1077;&#1090;&#1099;\&#1057;&#1084;&#1077;&#1090;&#1072;%20&#1050;&#1091;&#1088;&#1072;&#1085;&#1072;&#1093;\&#1054;&#1090;&#1076;&#1077;&#1083;\&#1057;&#1044;&#1054;\&#1057;&#1043;\&#1057;&#1045;&#1051;&#1048;&#1042;&#1045;&#1056;&#1057;&#1058;&#1054;&#1042;&#1040;\&#1058;&#1045;&#1053;&#1044;&#1045;&#1056;\&#1056;&#1072;&#1089;&#1089;&#1086;&#1083;&#1086;&#1087;&#1088;&#1086;&#1074;&#1086;&#1076;%20&#1086;&#1090;%20&#1042;&#1053;&#1048;&#1048;&#1057;&#1058;&#1072;%20&#1089;%20&#1079;&#1072;&#1084;&#1077;&#1095;&#1072;&#1085;&#1080;&#1103;&#1084;&#1080;\sm-geol-&#1042;&#1057;&#1058;&#1054;%20&#1056;&#105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001\&#1054;&#1073;&#1084;&#1077;&#1085;\&#1056;&#1040;&#1041;&#1054;&#1058;&#1040;\&#1089;&#1084;&#1077;&#1090;&#1099;\&#1057;&#1084;&#1077;&#1090;&#1072;%20&#1050;&#1091;&#1088;&#1072;&#1085;&#1072;&#1093;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arova\&#1054;&#1073;&#1084;&#1077;&#1085;\&#1044;&#1054;&#1050;&#1059;&#1052;&#1045;&#1053;&#1058;&#1040;&#1062;&#1048;&#1071;\&#1044;&#1054;&#1043;&#1054;&#1042;&#1054;&#1056;&#1067;\&#1058;&#1056;&#1040;&#1053;&#1057;&#1060;&#1048;&#1053;&#1048;&#1053;&#1042;&#1045;&#1057;&#1058;\&#1042;&#1051;\&#1042;&#1044;&#1057;&#1050;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2\DOCUME~1\marina\LOCALS~1\Temp\bat\&#1054;&#1090;%20&#1089;&#1084;&#1077;&#1078;&#1085;&#1080;&#1082;&#1086;&#1074;\=&#1071;&#1084;&#1073;&#1091;&#1088;&#10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40;&#1101;&#1088;&#1086;&#1087;&#1088;&#1086;&#1077;&#1082;&#1090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pto\&#1052;&#1086;&#1080;%20&#1076;&#1086;&#1082;&#1091;&#1084;&#1077;&#1085;&#1090;&#1099;\&#1054;&#1073;&#1098;&#1077;&#1082;&#1090;&#1099;\&#1058;_15.99\&#1050;&#1072;&#1084;&#1085;&#1077;&#1087;&#1072;&#1076;_&#1056;&#1055;\&#1057;&#1084;&#1077;&#1090;&#1099;%202001.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_30\&#1057;&#1082;&#1086;&#1083;&#1082;&#1086;&#1074;&#1089;&#1082;&#1086;&#1077;%20&#1096;&#1086;&#1089;&#1089;&#1077;\&#1056;&#1040;&#1041;&#1054;&#1063;&#1040;&#1071;\&#1058;&#1053;&#1043;&#1055;\&#1074;%20&#1088;&#1072;&#1073;&#1086;&#1090;&#1077;\&#1075;&#1088;&#1091;&#1096;&#1086;&#1074;&#1072;&#1103;\&#1089;&#1084;&#1077;&#1090;&#1099;%20&#1055;&#1057;&#1044;\&#1057;&#1084;&#1077;&#1090;&#1099;%20&#1086;&#1090;%2009.06.08\Docs\Zarplata_1\&#1044;&#1077;&#1085;&#1080;&#1089;\&#1089;&#1086;&#1093;&#1088;&#1072;&#1085;&#1080;&#1090;&#110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2\DOCUME~1\marina\LOCALS~1\Temp\bat\&#1054;&#1090;%20&#1089;&#1084;&#1077;&#1078;&#1085;&#1080;&#1082;&#1086;&#1074;\&#1043;&#1072;&#1079;&#1087;&#1088;&#1086;&#1084;&#1072;&#1074;&#1090;&#1086;&#1084;&#1072;&#1090;&#1080;&#1079;&#1072;&#1094;&#1080;&#1103;\&#1057;&#1084;&#1077;&#1090;&#1072;%20&#1055;&#1048;&#1056;%20&#1056;&#1077;&#1082;&#1086;&#1085;&#1089;&#1090;&#1088;&#1091;&#1082;&#1094;&#1080;&#1103;%20&#1075;&#1072;&#1079;&#1086;&#1089;&#1073;&#1086;&#1088;&#1085;&#1086;&#1081;%20&#1089;&#1077;&#1090;&#1080;%20&#1052;&#1050;&#1059;%20&#1071;&#1053;&#1043;&#1050;&#1052;%20&#1055;&#1044;_v.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i-drozdov\&#1043;&#1045;&#1054;&#1057;&#1052;&#1045;&#1058;&#1040;\&#1043;&#1077;&#1086;&#1089;&#1084;&#1077;&#1090;&#1072;\2003\sm-geol-Mur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001\&#1054;&#1073;&#1084;&#1077;&#1085;\DELIVERY\&#1052;&#1086;&#1080;%20&#1076;&#1086;&#1082;&#1091;&#1084;&#1077;&#1085;&#1090;&#1099;\&#1050;&#1085;&#1080;&#1075;&#1072;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2\&#1055;&#1086;&#1087;&#1086;&#1074;\&#1056;&#1072;&#1073;&#1086;&#1090;&#1072;\&#1058;&#1077;&#1082;&#1091;&#1097;&#1080;&#1077;\&#1054;&#1073;&#1098;&#1077;&#1082;&#1090;&#1099;\&#1050;&#1072;&#1084;&#1077;&#1085;&#1085;&#1086;&#1084;&#1099;&#1089;&#1082;&#1086;&#1077;-&#1084;&#1086;&#1088;&#1077;\&#1058;&#1077;&#1093;&#1085;&#1080;&#1082;&#1086;-&#1082;&#1086;&#1084;&#1084;&#1077;&#1088;&#1095;&#1077;&#1089;&#1082;&#1086;&#1077;%20&#1087;&#1088;&#1077;&#1076;&#1083;&#1086;&#1078;&#1077;&#1085;&#1080;&#1077;\&#1055;&#1044;\&#1057;&#1084;&#1077;&#1090;&#1072;%20&#1055;&#1048;&#1056;%20&#1050;&#1072;&#1084;&#1077;&#1085;&#1085;&#1086;&#1084;&#1099;&#1089;&#1089;&#1082;&#1086;&#1077;%20&#1084;&#1086;&#1088;&#1077;_&#1089;&#1074;&#1086;&#1076;&#1085;&#1072;&#1103;_v.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001\&#1054;&#1073;&#1084;&#1077;&#1085;\DELIVERY\&#1055;&#1056;&#1040;&#1049;&#1057;_2000%20&#1054;&#1058;%2020_01_0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rs-server-1\Documents%20and%20Settings\kuharevatg\Local%20Settings\Temporary%20Internet%20Files\OLK125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_30\&#1057;&#1082;&#1086;&#1083;&#1082;&#1086;&#1074;&#1089;&#1082;&#1086;&#1077;%20&#1096;&#1086;&#1089;&#1089;&#1077;\&#1056;&#1040;&#1041;&#1054;&#1063;&#1040;&#1071;\&#1058;&#1053;&#1043;&#1055;\&#1074;%20&#1088;&#1072;&#1073;&#1086;&#1090;&#1077;\&#1075;&#1088;&#1091;&#1096;&#1086;&#1074;&#1072;&#1103;\&#1089;&#1084;&#1077;&#1090;&#1099;%20&#1055;&#1057;&#1044;\&#1057;&#1084;&#1077;&#1090;&#1099;%20&#1086;&#1090;%2009.06.08\&#1056;&#1040;&#1041;&#1054;&#1063;&#1040;&#1071;\&#1058;&#1053;&#1043;&#1055;\&#1074;%20&#1088;&#1072;&#1073;&#1086;&#1090;&#1077;\&#1057;&#1054;&#1063;&#1048;\&#1089;&#1084;&#1077;&#1090;&#1099;%20&#1085;&#1086;&#1074;&#1099;&#1077;%201\&#1057;&#1084;&#1077;&#1090;&#1072;_&#1043;&#1072;&#1079;&#1086;&#1086;&#1073;&#1086;&#1088;&#1091;&#1076;&#1086;&#1074;&#1072;&#1085;&#1080;&#1077;_&#1057;&#1086;&#1095;&#1080;_&#1051;&#1086;&#1090;&#8470;243_&#1089;&#1082;&#1086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s001\&#1054;&#1073;&#1084;&#1077;&#1085;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221\&#1073;&#1093;&#1087;&#1101;&#1085;&#1077;&#1088;&#1075;&#1086;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Эстакада"/>
      <sheetName val="НПС  -Р"/>
      <sheetName val="Трасса  0-1200"/>
      <sheetName val="Терминал "/>
      <sheetName val="НБ РД"/>
      <sheetName val="НБ"/>
      <sheetName val="НПС "/>
      <sheetName val="Трасса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-Т"/>
      <sheetName val="ЛЧ"/>
      <sheetName val="Смета"/>
      <sheetName val="топография"/>
      <sheetName val="свод 2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ценка участика"/>
      <sheetName val="Оценка участкника 2014"/>
      <sheetName val="Общая часть"/>
      <sheetName val="СМЕТА 3.2.0"/>
      <sheetName val="СВОДНАЯ"/>
      <sheetName val="СМЕТА 1.5.0"/>
      <sheetName val="СМЕТА 1.1.0"/>
      <sheetName val="СМЕТА 1.2.0"/>
      <sheetName val="СМЕТА 1.6.0"/>
      <sheetName val="СМЕТА П-005.0"/>
      <sheetName val="СМЕТА 3.4.14.0"/>
      <sheetName val="СМЕТА 3.4.4.0"/>
      <sheetName val="СМЕТА 3.4.5.0"/>
      <sheetName val="СМЕТА 3.4.6.0"/>
      <sheetName val="СМЕТА 3.4.7.0"/>
      <sheetName val="СМЕТА 3.4.13.0"/>
      <sheetName val="СМЕТА 3.3.10.0"/>
      <sheetName val="СМЕТА 3.4.10.0"/>
      <sheetName val="СМЕТА 3.4.11.0"/>
      <sheetName val="СМЕТА 3.4.12.0"/>
      <sheetName val="СМЕТА П-014.0"/>
      <sheetName val="СМЕТА П-015.0"/>
      <sheetName val="СМЕТА П-016.0"/>
      <sheetName val="СМЕТА 3.4.3..0"/>
      <sheetName val="СМЕТА 3.4.8.0"/>
      <sheetName val="СМЕТА 3.4.1.0"/>
      <sheetName val="СМЕТА П-018.0"/>
      <sheetName val="СМЕТА 3.4.2.0"/>
      <sheetName val="СМЕТА 3.1.0"/>
      <sheetName val="СМЕТА П-021.0"/>
      <sheetName val="СМЕТА П-022.0"/>
      <sheetName val="СМЕТА П-023.0"/>
      <sheetName val="СМЕТА П-024.0"/>
      <sheetName val="СМЕТА П-025.0"/>
      <sheetName val="СМЕТА П-026.0"/>
      <sheetName val="СМЕТА П-027.0"/>
      <sheetName val="СМЕТА П-028.0"/>
      <sheetName val="СМЕТА П-029.0"/>
      <sheetName val="СМЕТА 2.1.0"/>
      <sheetName val="СМЕТА П-031.0"/>
      <sheetName val="СМЕТА П-032.0"/>
      <sheetName val="СМЕТА П-033.0"/>
      <sheetName val="СМЕТА П-034.0"/>
      <sheetName val="СМЕТА П-035.0"/>
      <sheetName val="СМЕТА П-036.0"/>
      <sheetName val="СМЕТА 1.10.0"/>
      <sheetName val="СМЕТА 1.7.0"/>
      <sheetName val="СМЕТА П-038.0"/>
      <sheetName val="СМЕТА П-039.0"/>
      <sheetName val="СМЕТА П-041.0"/>
      <sheetName val="СМЕТА П-042.0"/>
      <sheetName val="СМЕТА П-043.0"/>
      <sheetName val="СМЕТА П-044.0"/>
      <sheetName val="СМЕТА П-045.0"/>
      <sheetName val="СМЕТА П-046.0"/>
      <sheetName val="СМЕТА 3.4.9.0"/>
      <sheetName val="СМЕТА Р-002.0"/>
      <sheetName val="СМЕТА Р-003.0"/>
      <sheetName val="СМЕТА Р-004.0"/>
      <sheetName val="СМЕТА Р-005.0"/>
      <sheetName val="СМЕТА Р-006.0"/>
      <sheetName val="СМЕТА Р-007.0"/>
      <sheetName val="СМЕТА Р-008.0"/>
      <sheetName val="СМЕТА Р-009.0"/>
      <sheetName val="СМЕТА Р-009.1.0"/>
      <sheetName val="СМЕТА Р-010.0"/>
      <sheetName val="СМЕТА Р-010.1.0"/>
      <sheetName val="СМЕТА Р-010.2.0"/>
      <sheetName val="СМЕТА Р-011.0"/>
      <sheetName val="СМЕТА Р-012.0"/>
      <sheetName val="СМЕТА Р-013.0"/>
      <sheetName val="СМЕТА Р-014.0"/>
      <sheetName val="СМЕТА Р-015.0"/>
      <sheetName val="СМЕТА Р-016.0"/>
      <sheetName val="СМЕТА Р-017.0"/>
      <sheetName val="СМЕТА Р-018.0"/>
      <sheetName val="СМЕТА Р-019.0"/>
      <sheetName val="СМЕТА Р-020.0"/>
      <sheetName val="СМЕТА Р-021.0"/>
      <sheetName val="СМЕТА Р-022.0"/>
      <sheetName val="СМЕТА Р-024.0"/>
      <sheetName val="СМЕТА Р-025.0"/>
      <sheetName val="СМЕТА П-6.1"/>
      <sheetName val="СМЕТА Р-1"/>
      <sheetName val="Смета 1.2"/>
      <sheetName val="СМЕТА 1"/>
      <sheetName val="Архитектура"/>
      <sheetName val="ОТР"/>
      <sheetName val="Смета 46н"/>
      <sheetName val="Шаблон"/>
      <sheetName val="Шаблон 3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Курс доллара"/>
      <sheetName val="СметаСводная"/>
      <sheetName val="См3 СЦБ-зап"/>
      <sheetName val="Summary"/>
      <sheetName val="Зап-3- СЦБ"/>
      <sheetName val="Смета"/>
      <sheetName val="13.1"/>
      <sheetName val="информация"/>
      <sheetName val="свод 2"/>
      <sheetName val="СметаСводная Рыб"/>
      <sheetName val="СметаСводная Колпино"/>
      <sheetName val="Лист1"/>
      <sheetName val="sapactivexlhiddensheet"/>
      <sheetName val="Данные для расчёта сметы"/>
      <sheetName val="Записка СЦБ"/>
      <sheetName val="Календарь новый"/>
      <sheetName val="Смета № 1 ИИ линия"/>
      <sheetName val="Общая часть"/>
      <sheetName val="Сводная"/>
      <sheetName val="Переменные и константы"/>
      <sheetName val="гидрология"/>
      <sheetName val="Калплан Кра"/>
      <sheetName val="Ачинский НПЗ"/>
      <sheetName val="мсн"/>
      <sheetName val="КП к ГК"/>
      <sheetName val="График"/>
      <sheetName val="изыскания 2"/>
      <sheetName val="Коэфф1."/>
      <sheetName val="См 1 наруж.водопровод"/>
      <sheetName val="смета СИД"/>
      <sheetName val="Параметры"/>
      <sheetName val="Дог цена"/>
      <sheetName val="ресурсная вед."/>
      <sheetName val="ИД1"/>
      <sheetName val="Хаттон 90.90 Femco"/>
      <sheetName val="свод1"/>
      <sheetName val="ИД"/>
      <sheetName val="р.Волхов"/>
      <sheetName val="кп"/>
      <sheetName val=""/>
      <sheetName val="свод 3"/>
      <sheetName val="Лист опроса"/>
      <sheetName val="КП НовоКов"/>
      <sheetName val="СметаСводная 1 оч"/>
      <sheetName val="Землеотвод"/>
      <sheetName val="Сводная смета"/>
      <sheetName val="труб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свод1"/>
      <sheetName val="ИГ1"/>
      <sheetName val="х"/>
      <sheetName val="Стр1По"/>
      <sheetName val="См 1 наруж.водопровод"/>
      <sheetName val="СметаСводная Рыб"/>
      <sheetName val="#ССЫЛКА"/>
      <sheetName val="СметаСводная Колпино"/>
      <sheetName val="Ачинский НПЗ"/>
      <sheetName val="свод"/>
      <sheetName val="Коэф КВ"/>
      <sheetName val="Подрядчики"/>
      <sheetName val="шаблон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Main"/>
      <sheetName val="Кл-р SysTel"/>
      <sheetName val="СПРПФ"/>
      <sheetName val="sapactivexlhiddensheet"/>
      <sheetName val="КП Прим (3)"/>
      <sheetName val="1.3"/>
      <sheetName val="Калькуляция_2012"/>
      <sheetName val="1.2.1-Проект"/>
      <sheetName val="Итог"/>
      <sheetName val="см8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СметаСводная павильон"/>
      <sheetName val="сводная"/>
      <sheetName val="OCK1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НЕДЕЛИ"/>
      <sheetName val="влад-таблица"/>
      <sheetName val="См_1_наруж_водопровод"/>
      <sheetName val="Кл-р_SysTel"/>
      <sheetName val="КП_Прим_(3)"/>
      <sheetName val="1_3"/>
      <sheetName val="СметаСводная_Рыб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гидрология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EKDEB90"/>
      <sheetName val="Стр1"/>
      <sheetName val="ИД"/>
      <sheetName val="январь"/>
      <sheetName val="Лист1"/>
      <sheetName val="База"/>
      <sheetName val="6.52-свод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КП НовоКов"/>
      <sheetName val="Калплан Кра"/>
      <sheetName val="изыскания 2"/>
      <sheetName val="КП к ГК"/>
      <sheetName val="Об-15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информация"/>
      <sheetName val="Амур ДОН"/>
      <sheetName val="13.1"/>
      <sheetName val="Архив2"/>
      <sheetName val="Opex personnel (Term facs)"/>
      <sheetName val="КП (2)"/>
      <sheetName val="Calc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пятилетка"/>
      <sheetName val="мониторинг"/>
      <sheetName val="Параметры"/>
      <sheetName val="кп"/>
      <sheetName val="Кал.план Жукова даты - не надо"/>
      <sheetName val="ЛЧ"/>
      <sheetName val="См3 СЦБ-зап"/>
      <sheetName val="Хаттон 90.90 Femco"/>
      <sheetName val="Leistungsakt"/>
      <sheetName val="ПД"/>
      <sheetName val="Объемы работ по ПВ"/>
      <sheetName val="Курс доллара"/>
      <sheetName val="Смета-Т"/>
      <sheetName val="BACT"/>
      <sheetName val="смета СИД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РС"/>
      <sheetName val="ОПС"/>
      <sheetName val="Дополнительные параметры"/>
      <sheetName val="СметаСводная 1 оч"/>
      <sheetName val="Общая часть"/>
      <sheetName val="К"/>
      <sheetName val="темп"/>
      <sheetName val="в работу"/>
      <sheetName val="трансформация1"/>
      <sheetName val="breakdown"/>
      <sheetName val="Destination"/>
      <sheetName val="СС"/>
      <sheetName val="мсн"/>
      <sheetName val="Капитальные затраты"/>
      <sheetName val="ЭХЗ"/>
      <sheetName val="Свод объем"/>
      <sheetName val="1ПС"/>
      <sheetName val="Приложение 2"/>
      <sheetName val="Переменные и константы"/>
      <sheetName val="вариант"/>
      <sheetName val="ИД1"/>
      <sheetName val="ID"/>
      <sheetName val="СП"/>
      <sheetName val="A54НДС"/>
      <sheetName val="Должности"/>
      <sheetName val="УП _2004"/>
      <sheetName val="АЧ"/>
      <sheetName val="Табл38-7"/>
      <sheetName val="БП НОВЫЙ"/>
      <sheetName val="База Геодезия"/>
      <sheetName val="База Геология"/>
      <sheetName val="6"/>
      <sheetName val="5.1"/>
      <sheetName val="3.1 ТХ"/>
      <sheetName val="база на 21-04-08"/>
      <sheetName val="Настройка"/>
      <sheetName val="3.1"/>
      <sheetName val="Настройки"/>
      <sheetName val=""/>
      <sheetName val="Исходные"/>
      <sheetName val="Тестовый"/>
      <sheetName val="кап.ремонт"/>
      <sheetName val="Расчет 2"/>
      <sheetName val="Смета №1"/>
      <sheetName val="Смета 2"/>
      <sheetName val="№5 СУБ Инж защ"/>
      <sheetName val="Дополнительные пара_x0000__x0000__x0005__x0000__xde00_"/>
      <sheetName val="Кал.план Жукова даты - не на/_x0000_"/>
      <sheetName val="геолог"/>
      <sheetName val="Данные_для_расчёта_сметы1"/>
      <sheetName val="5 Эксп "/>
      <sheetName val="См_2 Шатурс сети  проект работы"/>
      <sheetName val="Эл-доп"/>
      <sheetName val="Электрика"/>
      <sheetName val="СПЕЦИФИКАЦИЯ"/>
      <sheetName val="мобдемоб"/>
      <sheetName val="БДР"/>
      <sheetName val="Дополнительные пара"/>
      <sheetName val="Кал.план Жукова даты - не на/"/>
      <sheetName val="см3(подходы)"/>
      <sheetName val="Справочные данные"/>
      <sheetName val="СНГ"/>
      <sheetName val="Курс $"/>
      <sheetName val="СметаЗатрат"/>
      <sheetName val="2003г."/>
      <sheetName val="расчет вязкости"/>
      <sheetName val="Лист3"/>
      <sheetName val="Ф3П"/>
      <sheetName val="Ф2П"/>
      <sheetName val="Дог_рас"/>
      <sheetName val="КП_СС"/>
      <sheetName val="мат"/>
      <sheetName val="отчет эл_эн  2000"/>
      <sheetName val="Дополнительные пара_x0005__xde00_"/>
      <sheetName val="ССР"/>
      <sheetName val="ССР (разбивка по ЛС)"/>
      <sheetName val="КС"/>
      <sheetName val="ПА"/>
      <sheetName val="ВЧ"/>
      <sheetName val="01-06"/>
      <sheetName val="01-07"/>
      <sheetName val="02-04"/>
      <sheetName val="02-31"/>
      <sheetName val="05-15"/>
      <sheetName val="05-09."/>
      <sheetName val="05-10."/>
      <sheetName val="05-11."/>
      <sheetName val="07-03"/>
      <sheetName val="ССР "/>
      <sheetName val="командировочные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свод_21"/>
      <sheetName val="См_1_наруж_водопровод1"/>
      <sheetName val="СметаСводная_Рыб1"/>
      <sheetName val="СметаСводная_Колпино"/>
      <sheetName val="Ачинский_НПЗ"/>
      <sheetName val="Коэф_КВ1"/>
      <sheetName val="свод_31"/>
      <sheetName val="ПСП_1"/>
      <sheetName val="Пример_расчета1"/>
      <sheetName val="СМЕТА_проект1"/>
      <sheetName val="Сводная_смета1"/>
      <sheetName val="Разработка_проекта1"/>
      <sheetName val="Кл-р_SysTel1"/>
      <sheetName val="КП_Прим_(3)1"/>
      <sheetName val="1_31"/>
      <sheetName val="1_2_1-Проект"/>
      <sheetName val="КП_к_снег_Рыбинская"/>
      <sheetName val="Лист_опроса"/>
      <sheetName val="к_84-к_83"/>
      <sheetName val="Коэфф1_"/>
      <sheetName val="Прайс_лист"/>
      <sheetName val="HP_и_оргтехника"/>
      <sheetName val="Зап-3-_СЦБ"/>
      <sheetName val="СметаСводная_павильон"/>
      <sheetName val="КП_Мак"/>
      <sheetName val="Данные1кв_1"/>
      <sheetName val="6_52-свод1"/>
      <sheetName val="КП_НовоКов"/>
      <sheetName val="Калплан_Кра"/>
      <sheetName val="изыскания_2"/>
      <sheetName val="КП_к_ГК"/>
      <sheetName val="Прибыль_опл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Амур_ДОН"/>
      <sheetName val="13_1"/>
      <sheetName val="Opex_personnel_(Term_facs)"/>
      <sheetName val="КП_(2)"/>
      <sheetName val="К_рын"/>
      <sheetName val="Смета_1свод"/>
      <sheetName val="СметаСводная_снег"/>
      <sheetName val="Кал_план_Жукова_даты_-_не_надо"/>
      <sheetName val="См3_СЦБ-зап"/>
      <sheetName val="Хаттон_90_90_Femco"/>
      <sheetName val="Объемы_работ_по_ПВ"/>
      <sheetName val="СметаСводная_1_оч"/>
      <sheetName val="Общая_часть"/>
      <sheetName val="Курс_доллара"/>
      <sheetName val="в_работу"/>
      <sheetName val="ПДР_ООО_&quot;Юкос_ФБЦ&quot;"/>
      <sheetName val="смета_СИД"/>
      <sheetName val="исходные_данные"/>
      <sheetName val="расчетные_таблицы"/>
      <sheetName val="Капитальные_затраты"/>
      <sheetName val="Свод_объем"/>
      <sheetName val="Дополнительные_параметры"/>
      <sheetName val="Приложение_2"/>
      <sheetName val="Переменные_и_константы"/>
      <sheetName val="УП__2004"/>
      <sheetName val="БП_НОВЫЙ"/>
      <sheetName val="База_Геодезия"/>
      <sheetName val="База_Геология"/>
      <sheetName val="5_1"/>
      <sheetName val="3_1_ТХ"/>
      <sheetName val="база_на_21-04-08"/>
      <sheetName val="См_2_Шатурс_сети__проект_работы"/>
      <sheetName val="Расчет_2"/>
      <sheetName val="Смета_№1"/>
      <sheetName val="3_1"/>
      <sheetName val="5_Эксп_"/>
      <sheetName val="Кал_план_Жукова_даты_-_не_на/"/>
      <sheetName val="Смета_2"/>
      <sheetName val="№5_СУБ_Инж_защ"/>
      <sheetName val="кап_ремонт"/>
      <sheetName val="Дополнительные_пара"/>
      <sheetName val="р_Волхов2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Б_Сат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Данные_для_расчёта_сметы2"/>
      <sheetName val="свод_22"/>
      <sheetName val="Коэф_КВ2"/>
      <sheetName val="См_1_наруж_водопровод2"/>
      <sheetName val="СметаСводная_Рыб2"/>
      <sheetName val="СметаСводная_Колпино1"/>
      <sheetName val="Ачинский_НПЗ1"/>
      <sheetName val="свод_32"/>
      <sheetName val="ПСП_2"/>
      <sheetName val="Пример_расчета2"/>
      <sheetName val="СМЕТА_проект2"/>
      <sheetName val="Сводная_смета2"/>
      <sheetName val="Разработка_проекта2"/>
      <sheetName val="Кл-р_SysTel2"/>
      <sheetName val="КП_Прим_(3)2"/>
      <sheetName val="1_32"/>
      <sheetName val="1_2_1-Проект1"/>
      <sheetName val="КП_к_снег_Рыбинская1"/>
      <sheetName val="Лист_опроса1"/>
      <sheetName val="к_84-к_831"/>
      <sheetName val="Коэфф1_1"/>
      <sheetName val="Прайс_лист1"/>
      <sheetName val="HP_и_оргтехника1"/>
      <sheetName val="Зап-3-_СЦБ1"/>
      <sheetName val="СметаСводная_павильон1"/>
      <sheetName val="КП_Мак1"/>
      <sheetName val="Данные1кв_2"/>
      <sheetName val="6_52-свод2"/>
      <sheetName val="КП_НовоКов1"/>
      <sheetName val="Калплан_Кра1"/>
      <sheetName val="изыскания_21"/>
      <sheetName val="КП_к_ГК1"/>
      <sheetName val="Прибыль_опл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Амур_ДОН1"/>
      <sheetName val="13_11"/>
      <sheetName val="Opex_personnel_(Term_facs)1"/>
      <sheetName val="КП_(2)1"/>
      <sheetName val="К_рын1"/>
      <sheetName val="Смета_1свод1"/>
      <sheetName val="СметаСводная_снег1"/>
      <sheetName val="Хаттон_90_90_Femco1"/>
      <sheetName val="Кал_план_Жукова_даты_-_не_надо1"/>
      <sheetName val="См3_СЦБ-зап1"/>
      <sheetName val="Курс_доллара1"/>
      <sheetName val="Объемы_работ_по_ПВ1"/>
      <sheetName val="СметаСводная_1_оч1"/>
      <sheetName val="Общая_часть1"/>
      <sheetName val="смета_СИД1"/>
      <sheetName val="Дополнительные_параметры1"/>
      <sheetName val="ПДР_ООО_&quot;Юкос_ФБЦ&quot;1"/>
      <sheetName val="база_на_21-04-081"/>
      <sheetName val="исходные_данные1"/>
      <sheetName val="расчетные_таблицы1"/>
      <sheetName val="в_работу1"/>
      <sheetName val="Капитальные_затраты1"/>
      <sheetName val="Свод_объем1"/>
      <sheetName val="Приложение_21"/>
      <sheetName val="Переменные_и_константы1"/>
      <sheetName val="УП__20041"/>
      <sheetName val="База_Геодезия1"/>
      <sheetName val="База_Геология1"/>
      <sheetName val="5_11"/>
      <sheetName val="Расчет_21"/>
      <sheetName val="Смета_№11"/>
      <sheetName val="БП_НОВЫЙ1"/>
      <sheetName val="3_11"/>
      <sheetName val="3_1_ТХ1"/>
      <sheetName val="5_Эксп_1"/>
      <sheetName val="Смета_21"/>
      <sheetName val="№5_СУБ_Инж_защ1"/>
      <sheetName val="кап_ремонт1"/>
      <sheetName val="См_2_Шатурс_сети__проект_работ1"/>
      <sheetName val="Приложение №1"/>
      <sheetName val="ИДва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/>
      <sheetData sheetId="534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9-28"/>
      <sheetName val="79-30"/>
      <sheetName val="79-33"/>
      <sheetName val="4"/>
      <sheetName val="5"/>
      <sheetName val="7"/>
      <sheetName val="9"/>
      <sheetName val="14"/>
      <sheetName val="15"/>
      <sheetName val="17"/>
      <sheetName val="20"/>
      <sheetName val="21"/>
      <sheetName val="26"/>
      <sheetName val="28"/>
      <sheetName val="30"/>
      <sheetName val="32"/>
      <sheetName val="35"/>
      <sheetName val="36"/>
      <sheetName val="37"/>
      <sheetName val="39"/>
      <sheetName val="41"/>
      <sheetName val="42"/>
      <sheetName val="43"/>
      <sheetName val="44"/>
      <sheetName val="45"/>
      <sheetName val="46"/>
      <sheetName val="81-5"/>
      <sheetName val="ИРА"/>
      <sheetName val="Промер глуб"/>
      <sheetName val="Смета ИИ геодез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СР"/>
      <sheetName val="ОТР АСУ ТП"/>
      <sheetName val="ТЗ на расшир АСУ ТП"/>
      <sheetName val="ТЗ на расшир АСУ ТП МКУ "/>
      <sheetName val="ПД АСУ ТП"/>
      <sheetName val="ПД САУ МКУ"/>
      <sheetName val="ПД АСПС"/>
      <sheetName val="ПД Сети связи"/>
      <sheetName val="ПД МеО"/>
      <sheetName val="Б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Реки 30 Р  (2)"/>
      <sheetName val="Реки 30 Р "/>
      <sheetName val="Реки 100 Р   (2)"/>
      <sheetName val="Реки 100 Р  "/>
      <sheetName val="Реки 500 Р  (2)"/>
      <sheetName val="Реки 500 Р "/>
      <sheetName val="Реки 2000 Р (2)"/>
      <sheetName val="Реки 2000 Р"/>
      <sheetName val="Терминал Р"/>
      <sheetName val="НПС пром Р  (2)"/>
      <sheetName val="НПС пром Р "/>
      <sheetName val="НПС Р (2)"/>
      <sheetName val="НПС Р"/>
      <sheetName val="Трасса Р"/>
      <sheetName val="Трасса Р-М "/>
      <sheetName val="Реки 100 ОИ  (2)"/>
      <sheetName val="Реки 100 ОИ "/>
      <sheetName val="Реки 500 ОИ  (2)"/>
      <sheetName val="Реки 500 ОИ "/>
      <sheetName val="Реки 2000 ОИ (2)"/>
      <sheetName val="Реки 2000 ОИ"/>
      <sheetName val="Терминал ОИ "/>
      <sheetName val="НПС ОИ пром (2)"/>
      <sheetName val="НПС ОИ пром"/>
      <sheetName val="НПС ОИ"/>
      <sheetName val="НПС ОИ (2)"/>
      <sheetName val="Трасса ОИ"/>
      <sheetName val="Трасса ОИ-М"/>
      <sheetName val="до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СР"/>
      <sheetName val="ТЗ на ИАСУ ТП"/>
      <sheetName val="ОТР АСУ ТП"/>
      <sheetName val="ОТР СПАЗ"/>
      <sheetName val="ОТР АСУ Э"/>
      <sheetName val="ОТР АСПС"/>
      <sheetName val="ЧТЗ на АСДУ"/>
      <sheetName val="FEED"/>
      <sheetName val="ОТР Сети связи"/>
      <sheetName val="ТЗ на ИАСУ ТП_"/>
      <sheetName val="ТП ИАСУ ТП_"/>
      <sheetName val="ЧТЗ на АСУ ТП МЛСП"/>
      <sheetName val="ЧТЗ на АСУ ТП УКПГ"/>
      <sheetName val="ЧТЗ на АСУ Э"/>
      <sheetName val="ПД АСУ ТП МЛСП"/>
      <sheetName val="ПД АСУ ТП УКПГ"/>
      <sheetName val="ПД АСУ Э"/>
      <sheetName val="ПД АСПС"/>
      <sheetName val="ПД Сети связи"/>
      <sheetName val="ПД УКПГ-3"/>
      <sheetName val="ПД УКПГ-4"/>
      <sheetName val="ПД УКПГ-5"/>
      <sheetName val="ПД УКПГ-6"/>
      <sheetName val="ПД Метрология"/>
      <sheetName val="ПД МЕо АСУ ТП МЛСП"/>
      <sheetName val="ПД МЕо АСУ ТП УКПГ"/>
      <sheetName val="ПД МЕо АСУ Э"/>
      <sheetName val="ПД МЕо АСПС"/>
      <sheetName val="ПД СПАЗ"/>
      <sheetName val="ТП АСДУ"/>
      <sheetName val="РД АСУ ТП"/>
      <sheetName val="РД АСУ Э"/>
      <sheetName val="РД АСПС"/>
      <sheetName val="РД АСДУ"/>
      <sheetName val="ПД МеО"/>
      <sheetName val="Поправ. коэффициенты"/>
      <sheetName val="Б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Б прил.3"/>
      <sheetName val="ПБ прил.2"/>
      <sheetName val="Согласов. прил.4"/>
      <sheetName val="Отвод. прил.1"/>
      <sheetName val="свод"/>
      <sheetName val="Проект"/>
      <sheetName val="топо"/>
      <sheetName val="геол "/>
      <sheetName val="гидро"/>
      <sheetName val="коман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9" tint="0.59999389629810485"/>
    <pageSetUpPr fitToPage="1"/>
  </sheetPr>
  <dimension ref="A1:IJ100"/>
  <sheetViews>
    <sheetView tabSelected="1" view="pageBreakPreview" zoomScale="115" zoomScaleNormal="115" zoomScaleSheetLayoutView="115" workbookViewId="0">
      <selection activeCell="J62" sqref="J62"/>
    </sheetView>
  </sheetViews>
  <sheetFormatPr defaultColWidth="11.5703125" defaultRowHeight="12.75" x14ac:dyDescent="0.2"/>
  <cols>
    <col min="2" max="2" width="30.28515625" customWidth="1"/>
    <col min="3" max="3" width="16.28515625" customWidth="1"/>
    <col min="4" max="4" width="17.140625" customWidth="1"/>
    <col min="5" max="5" width="17.85546875" customWidth="1"/>
  </cols>
  <sheetData>
    <row r="1" spans="1:9" ht="38.25" customHeight="1" x14ac:dyDescent="0.2">
      <c r="A1" s="322" t="s">
        <v>420</v>
      </c>
      <c r="B1" s="323"/>
      <c r="C1" s="76"/>
      <c r="D1" s="76"/>
      <c r="E1" s="76"/>
    </row>
    <row r="2" spans="1:9" ht="15.75" x14ac:dyDescent="0.2">
      <c r="A2" s="324" t="s">
        <v>640</v>
      </c>
      <c r="B2" s="324"/>
      <c r="C2" s="324"/>
      <c r="D2" s="324"/>
      <c r="E2" s="324"/>
    </row>
    <row r="3" spans="1:9" ht="34.15" customHeight="1" x14ac:dyDescent="0.2">
      <c r="A3" s="315" t="s">
        <v>421</v>
      </c>
      <c r="B3" s="315"/>
      <c r="C3" s="315"/>
      <c r="D3" s="315"/>
      <c r="E3" s="315"/>
    </row>
    <row r="4" spans="1:9" x14ac:dyDescent="0.2">
      <c r="A4" s="54"/>
      <c r="B4" s="54"/>
      <c r="C4" s="54"/>
      <c r="D4" s="54"/>
      <c r="E4" s="54"/>
    </row>
    <row r="5" spans="1:9" ht="98.25" customHeight="1" x14ac:dyDescent="0.2">
      <c r="A5" s="90" t="s">
        <v>422</v>
      </c>
      <c r="B5" s="310" t="s">
        <v>621</v>
      </c>
      <c r="C5" s="310"/>
      <c r="D5" s="310"/>
      <c r="E5" s="310"/>
    </row>
    <row r="6" spans="1:9" ht="15.6" customHeight="1" x14ac:dyDescent="0.2">
      <c r="A6" s="36"/>
      <c r="B6" s="55"/>
      <c r="C6" s="36"/>
      <c r="D6" s="55"/>
      <c r="E6" s="55"/>
    </row>
    <row r="7" spans="1:9" ht="15" customHeight="1" x14ac:dyDescent="0.2">
      <c r="A7" s="56"/>
      <c r="B7" s="57"/>
      <c r="C7" s="56"/>
      <c r="D7" s="58"/>
      <c r="E7" s="58"/>
    </row>
    <row r="8" spans="1:9" ht="41.45" customHeight="1" x14ac:dyDescent="0.2">
      <c r="A8" s="325" t="s">
        <v>423</v>
      </c>
      <c r="B8" s="325"/>
      <c r="C8" s="313" t="s">
        <v>228</v>
      </c>
      <c r="D8" s="313"/>
      <c r="E8" s="313"/>
      <c r="I8" s="88"/>
    </row>
    <row r="9" spans="1:9" x14ac:dyDescent="0.2">
      <c r="A9" s="315"/>
      <c r="B9" s="315"/>
      <c r="C9" s="315"/>
      <c r="D9" s="315"/>
      <c r="E9" s="315"/>
    </row>
    <row r="10" spans="1:9" ht="12.75" customHeight="1" x14ac:dyDescent="0.2">
      <c r="A10" s="56"/>
      <c r="B10" s="57"/>
      <c r="C10" s="56"/>
      <c r="D10" s="58"/>
      <c r="E10" s="58"/>
    </row>
    <row r="11" spans="1:9" ht="15" customHeight="1" x14ac:dyDescent="0.2">
      <c r="A11" s="314" t="s">
        <v>424</v>
      </c>
      <c r="B11" s="314"/>
      <c r="C11" s="98" t="s">
        <v>643</v>
      </c>
    </row>
    <row r="12" spans="1:9" x14ac:dyDescent="0.2">
      <c r="A12" s="315"/>
      <c r="B12" s="315"/>
      <c r="C12" s="315"/>
      <c r="D12" s="315"/>
      <c r="E12" s="315"/>
    </row>
    <row r="13" spans="1:9" ht="12.75" customHeight="1" x14ac:dyDescent="0.2">
      <c r="A13" s="314" t="s">
        <v>1289</v>
      </c>
      <c r="B13" s="314"/>
      <c r="C13" s="314"/>
      <c r="D13" s="314"/>
    </row>
    <row r="14" spans="1:9" ht="15" customHeight="1" x14ac:dyDescent="0.2">
      <c r="A14" s="36"/>
      <c r="B14" s="4"/>
      <c r="C14" s="36"/>
      <c r="D14" s="4"/>
      <c r="E14" s="58"/>
    </row>
    <row r="15" spans="1:9" ht="15" customHeight="1" x14ac:dyDescent="0.2">
      <c r="A15" s="316" t="s">
        <v>425</v>
      </c>
      <c r="B15" s="316" t="s">
        <v>426</v>
      </c>
      <c r="C15" s="318" t="s">
        <v>1270</v>
      </c>
      <c r="D15" s="320" t="s">
        <v>427</v>
      </c>
      <c r="E15" s="321"/>
    </row>
    <row r="16" spans="1:9" ht="30" customHeight="1" x14ac:dyDescent="0.2">
      <c r="A16" s="317"/>
      <c r="B16" s="317"/>
      <c r="C16" s="319"/>
      <c r="D16" s="77" t="s">
        <v>591</v>
      </c>
      <c r="E16" s="65" t="s">
        <v>429</v>
      </c>
    </row>
    <row r="17" spans="1:5" ht="15" customHeight="1" x14ac:dyDescent="0.2">
      <c r="A17" s="60">
        <v>1</v>
      </c>
      <c r="B17" s="60">
        <v>2</v>
      </c>
      <c r="C17" s="59">
        <v>4</v>
      </c>
      <c r="D17" s="59">
        <v>5</v>
      </c>
      <c r="E17" s="59">
        <v>6</v>
      </c>
    </row>
    <row r="18" spans="1:5" ht="15" customHeight="1" x14ac:dyDescent="0.2">
      <c r="A18" s="60"/>
      <c r="B18" s="89" t="s">
        <v>592</v>
      </c>
      <c r="C18" s="59"/>
      <c r="D18" s="59"/>
      <c r="E18" s="59"/>
    </row>
    <row r="19" spans="1:5" ht="25.5" x14ac:dyDescent="0.2">
      <c r="A19" s="60" t="s">
        <v>10</v>
      </c>
      <c r="B19" s="61" t="s">
        <v>1070</v>
      </c>
      <c r="C19" s="62" t="s">
        <v>1060</v>
      </c>
      <c r="D19" s="63">
        <f>'№1 ИГДИ (2)'!G73+'№2 ИГДИ_доп (2)'!G54</f>
        <v>3107339.7466280004</v>
      </c>
      <c r="E19" s="63"/>
    </row>
    <row r="20" spans="1:5" ht="25.5" x14ac:dyDescent="0.2">
      <c r="A20" s="60" t="s">
        <v>11</v>
      </c>
      <c r="B20" s="61" t="s">
        <v>1071</v>
      </c>
      <c r="C20" s="62" t="s">
        <v>433</v>
      </c>
      <c r="D20" s="63">
        <f>'№3_ИГИ (2)'!G82</f>
        <v>1180770.132</v>
      </c>
      <c r="E20" s="63"/>
    </row>
    <row r="21" spans="1:5" ht="38.25" x14ac:dyDescent="0.2">
      <c r="A21" s="60" t="s">
        <v>13</v>
      </c>
      <c r="B21" s="61" t="s">
        <v>1072</v>
      </c>
      <c r="C21" s="62" t="s">
        <v>1061</v>
      </c>
      <c r="D21" s="63">
        <f>'№4 ИГМИ (2)'!G41</f>
        <v>119978.8</v>
      </c>
      <c r="E21" s="63"/>
    </row>
    <row r="22" spans="1:5" ht="25.5" x14ac:dyDescent="0.2">
      <c r="A22" s="60" t="s">
        <v>15</v>
      </c>
      <c r="B22" s="61" t="s">
        <v>1073</v>
      </c>
      <c r="C22" s="62" t="s">
        <v>1062</v>
      </c>
      <c r="D22" s="63">
        <f>№5_ИЭИ!G100</f>
        <v>748313.56700000004</v>
      </c>
      <c r="E22" s="63"/>
    </row>
    <row r="23" spans="1:5" ht="17.25" customHeight="1" x14ac:dyDescent="0.2">
      <c r="A23" s="60" t="s">
        <v>17</v>
      </c>
      <c r="B23" s="61" t="s">
        <v>1165</v>
      </c>
      <c r="C23" s="62" t="s">
        <v>1178</v>
      </c>
      <c r="D23" s="63">
        <f>№6_Обс!G46*1000</f>
        <v>1284779</v>
      </c>
      <c r="E23" s="63"/>
    </row>
    <row r="24" spans="1:5" ht="32.25" customHeight="1" x14ac:dyDescent="0.2">
      <c r="A24" s="60" t="s">
        <v>19</v>
      </c>
      <c r="B24" s="61" t="s">
        <v>1182</v>
      </c>
      <c r="C24" s="62" t="s">
        <v>1180</v>
      </c>
      <c r="D24" s="63">
        <f>'№7_Обс ост'!I23*1000</f>
        <v>11068</v>
      </c>
      <c r="E24" s="63"/>
    </row>
    <row r="25" spans="1:5" ht="17.25" customHeight="1" x14ac:dyDescent="0.2">
      <c r="A25" s="60" t="s">
        <v>20</v>
      </c>
      <c r="B25" s="61" t="s">
        <v>1191</v>
      </c>
      <c r="C25" s="62" t="s">
        <v>1189</v>
      </c>
      <c r="D25" s="63">
        <f>'№8_Обс КС'!I21*1000</f>
        <v>388120</v>
      </c>
      <c r="E25" s="63"/>
    </row>
    <row r="26" spans="1:5" ht="19.5" customHeight="1" x14ac:dyDescent="0.2">
      <c r="A26" s="60"/>
      <c r="B26" s="64" t="s">
        <v>1269</v>
      </c>
      <c r="C26" s="62"/>
      <c r="D26" s="181">
        <f>SUM(D19:D25)</f>
        <v>6840369.2456280002</v>
      </c>
      <c r="E26" s="63"/>
    </row>
    <row r="27" spans="1:5" ht="17.25" customHeight="1" x14ac:dyDescent="0.2">
      <c r="A27" s="60"/>
      <c r="B27" s="64" t="s">
        <v>429</v>
      </c>
      <c r="C27" s="62"/>
      <c r="D27" s="63"/>
      <c r="E27" s="63"/>
    </row>
    <row r="28" spans="1:5" x14ac:dyDescent="0.2">
      <c r="A28" s="60" t="s">
        <v>24</v>
      </c>
      <c r="B28" s="61" t="s">
        <v>1156</v>
      </c>
      <c r="C28" s="62" t="s">
        <v>613</v>
      </c>
      <c r="D28" s="63"/>
      <c r="E28" s="63">
        <f>ROUND(№1П_Участок_тра!I80,0)</f>
        <v>3771335</v>
      </c>
    </row>
    <row r="29" spans="1:5" x14ac:dyDescent="0.2">
      <c r="A29" s="60" t="s">
        <v>26</v>
      </c>
      <c r="B29" s="61" t="s">
        <v>430</v>
      </c>
      <c r="C29" s="62" t="s">
        <v>614</v>
      </c>
      <c r="D29" s="63"/>
      <c r="E29" s="63">
        <f>ROUND(№2П_Контактная_!I57,0)</f>
        <v>465874</v>
      </c>
    </row>
    <row r="30" spans="1:5" ht="25.5" x14ac:dyDescent="0.2">
      <c r="A30" s="60" t="s">
        <v>27</v>
      </c>
      <c r="B30" s="61" t="s">
        <v>1157</v>
      </c>
      <c r="C30" s="62" t="s">
        <v>615</v>
      </c>
      <c r="D30" s="63"/>
      <c r="E30" s="63">
        <f>ROUND(№3П_Электроснаб!I47,0)</f>
        <v>727657</v>
      </c>
    </row>
    <row r="31" spans="1:5" x14ac:dyDescent="0.2">
      <c r="A31" s="60" t="s">
        <v>28</v>
      </c>
      <c r="B31" s="61" t="s">
        <v>437</v>
      </c>
      <c r="C31" s="62" t="s">
        <v>616</v>
      </c>
      <c r="D31" s="63"/>
      <c r="E31" s="63">
        <f>ROUND(№4П_Наружное_ос!I72,0)</f>
        <v>1516911</v>
      </c>
    </row>
    <row r="32" spans="1:5" ht="25.5" x14ac:dyDescent="0.2">
      <c r="A32" s="60" t="s">
        <v>30</v>
      </c>
      <c r="B32" s="61" t="s">
        <v>1158</v>
      </c>
      <c r="C32" s="62" t="s">
        <v>594</v>
      </c>
      <c r="D32" s="63"/>
      <c r="E32" s="63">
        <f>ROUND(№5П_Водоотведен!I46,0)</f>
        <v>1201491</v>
      </c>
    </row>
    <row r="33" spans="1:5" ht="38.25" x14ac:dyDescent="0.2">
      <c r="A33" s="60" t="s">
        <v>32</v>
      </c>
      <c r="B33" s="61" t="s">
        <v>1159</v>
      </c>
      <c r="C33" s="62" t="s">
        <v>595</v>
      </c>
      <c r="D33" s="63"/>
      <c r="E33" s="63">
        <f>ROUND(№6П_Защитные_ме!I84,0)</f>
        <v>2555136</v>
      </c>
    </row>
    <row r="34" spans="1:5" ht="51" x14ac:dyDescent="0.2">
      <c r="A34" s="60" t="s">
        <v>34</v>
      </c>
      <c r="B34" s="61" t="s">
        <v>1160</v>
      </c>
      <c r="C34" s="62" t="s">
        <v>596</v>
      </c>
      <c r="D34" s="63"/>
      <c r="E34" s="63">
        <f>ROUND(№7П_Система_упр!I43,0)</f>
        <v>718560</v>
      </c>
    </row>
    <row r="35" spans="1:5" ht="22.9" customHeight="1" x14ac:dyDescent="0.2">
      <c r="A35" s="60" t="s">
        <v>35</v>
      </c>
      <c r="B35" s="61" t="s">
        <v>441</v>
      </c>
      <c r="C35" s="62" t="s">
        <v>597</v>
      </c>
      <c r="D35" s="63"/>
      <c r="E35" s="63">
        <f>ROUND(№8П_Внешние_кан!I67,0)</f>
        <v>3623921</v>
      </c>
    </row>
    <row r="36" spans="1:5" ht="25.5" x14ac:dyDescent="0.2">
      <c r="A36" s="60" t="s">
        <v>36</v>
      </c>
      <c r="B36" s="61" t="s">
        <v>431</v>
      </c>
      <c r="C36" s="62" t="s">
        <v>598</v>
      </c>
      <c r="D36" s="63"/>
      <c r="E36" s="63">
        <f>ROUND(№9П_Автоматизац!I30,0)</f>
        <v>523649</v>
      </c>
    </row>
    <row r="37" spans="1:5" x14ac:dyDescent="0.2">
      <c r="A37" s="60" t="s">
        <v>37</v>
      </c>
      <c r="B37" s="61" t="s">
        <v>442</v>
      </c>
      <c r="C37" s="62" t="s">
        <v>599</v>
      </c>
      <c r="D37" s="63"/>
      <c r="E37" s="63">
        <f>ROUND(№_10П_Остановоч!I49,0)</f>
        <v>3205705</v>
      </c>
    </row>
    <row r="38" spans="1:5" ht="38.25" x14ac:dyDescent="0.2">
      <c r="A38" s="60" t="s">
        <v>38</v>
      </c>
      <c r="B38" s="61" t="s">
        <v>419</v>
      </c>
      <c r="C38" s="62" t="s">
        <v>600</v>
      </c>
      <c r="D38" s="63"/>
      <c r="E38" s="63">
        <f>ROUND('№11П_Проектная_ (2)'!I22,0)</f>
        <v>122021</v>
      </c>
    </row>
    <row r="39" spans="1:5" ht="38.25" x14ac:dyDescent="0.2">
      <c r="A39" s="60" t="s">
        <v>622</v>
      </c>
      <c r="B39" s="61" t="s">
        <v>432</v>
      </c>
      <c r="C39" s="62" t="s">
        <v>601</v>
      </c>
      <c r="D39" s="63"/>
      <c r="E39" s="63">
        <f>ROUND('№12П_Проектная_ (3)'!I22,0)</f>
        <v>122021</v>
      </c>
    </row>
    <row r="40" spans="1:5" x14ac:dyDescent="0.2">
      <c r="A40" s="60" t="s">
        <v>623</v>
      </c>
      <c r="B40" s="61" t="s">
        <v>1199</v>
      </c>
      <c r="C40" s="62" t="s">
        <v>1252</v>
      </c>
      <c r="D40" s="63"/>
      <c r="E40" s="63">
        <f>№13П_Временное_!I28*1000</f>
        <v>61542.6</v>
      </c>
    </row>
    <row r="41" spans="1:5" x14ac:dyDescent="0.2">
      <c r="A41" s="60" t="s">
        <v>624</v>
      </c>
      <c r="B41" s="61" t="s">
        <v>1214</v>
      </c>
      <c r="C41" s="62" t="s">
        <v>1253</v>
      </c>
      <c r="D41" s="63"/>
      <c r="E41" s="63">
        <f>№14П_Демонтаж!I66*1000</f>
        <v>998692</v>
      </c>
    </row>
    <row r="42" spans="1:5" x14ac:dyDescent="0.2">
      <c r="A42" s="60"/>
      <c r="B42" s="64" t="s">
        <v>1134</v>
      </c>
      <c r="C42" s="65"/>
      <c r="D42" s="66">
        <f>SUM(D26:D39)</f>
        <v>6840369.2456280002</v>
      </c>
      <c r="E42" s="66">
        <f>SUM(E28:E41)</f>
        <v>19614515.600000001</v>
      </c>
    </row>
    <row r="43" spans="1:5" ht="14.25" customHeight="1" x14ac:dyDescent="0.2">
      <c r="A43" s="60"/>
      <c r="B43" s="64" t="s">
        <v>593</v>
      </c>
      <c r="D43" s="63"/>
      <c r="E43" s="63"/>
    </row>
    <row r="44" spans="1:5" ht="25.5" x14ac:dyDescent="0.2">
      <c r="A44" s="60" t="s">
        <v>625</v>
      </c>
      <c r="B44" s="61" t="s">
        <v>428</v>
      </c>
      <c r="C44" s="62" t="s">
        <v>617</v>
      </c>
      <c r="D44" s="63"/>
      <c r="E44" s="63">
        <f>ROUND('№1Р_Участок_тра '!I80,0)</f>
        <v>5743637</v>
      </c>
    </row>
    <row r="45" spans="1:5" x14ac:dyDescent="0.2">
      <c r="A45" s="60" t="s">
        <v>626</v>
      </c>
      <c r="B45" s="61" t="s">
        <v>430</v>
      </c>
      <c r="C45" s="62" t="s">
        <v>618</v>
      </c>
      <c r="D45" s="63"/>
      <c r="E45" s="63">
        <f>ROUND('№2Р_Контактная_ '!I92,0)</f>
        <v>712828</v>
      </c>
    </row>
    <row r="46" spans="1:5" x14ac:dyDescent="0.2">
      <c r="A46" s="60" t="s">
        <v>627</v>
      </c>
      <c r="B46" s="61" t="s">
        <v>436</v>
      </c>
      <c r="C46" s="62" t="s">
        <v>619</v>
      </c>
      <c r="D46" s="63"/>
      <c r="E46" s="63">
        <f>ROUND('№3Р_Электроснаб '!I31,0)</f>
        <v>1091485</v>
      </c>
    </row>
    <row r="47" spans="1:5" x14ac:dyDescent="0.2">
      <c r="A47" s="60" t="s">
        <v>628</v>
      </c>
      <c r="B47" s="61" t="s">
        <v>437</v>
      </c>
      <c r="C47" s="62" t="s">
        <v>620</v>
      </c>
      <c r="D47" s="63"/>
      <c r="E47" s="63">
        <f>ROUND('№4Р_Наружное_ос '!I72,0)</f>
        <v>3041844</v>
      </c>
    </row>
    <row r="48" spans="1:5" x14ac:dyDescent="0.2">
      <c r="A48" s="60" t="s">
        <v>629</v>
      </c>
      <c r="B48" s="61" t="s">
        <v>438</v>
      </c>
      <c r="C48" s="62" t="s">
        <v>602</v>
      </c>
      <c r="D48" s="63"/>
      <c r="E48" s="63">
        <f>ROUND(№5Р_Водоотведен!I46,0)</f>
        <v>800994</v>
      </c>
    </row>
    <row r="49" spans="1:5" x14ac:dyDescent="0.2">
      <c r="A49" s="60" t="s">
        <v>630</v>
      </c>
      <c r="B49" s="61" t="s">
        <v>439</v>
      </c>
      <c r="C49" s="62" t="s">
        <v>603</v>
      </c>
      <c r="D49" s="63"/>
      <c r="E49" s="63">
        <f>ROUND('№6Р_Защитные_ме '!I84,0)</f>
        <v>3832704</v>
      </c>
    </row>
    <row r="50" spans="1:5" ht="25.5" x14ac:dyDescent="0.2">
      <c r="A50" s="60" t="s">
        <v>631</v>
      </c>
      <c r="B50" s="61" t="s">
        <v>440</v>
      </c>
      <c r="C50" s="62" t="s">
        <v>604</v>
      </c>
      <c r="D50" s="63"/>
      <c r="E50" s="63">
        <f>ROUND('№7Р_Система_упр '!I43,0)</f>
        <v>1077839</v>
      </c>
    </row>
    <row r="51" spans="1:5" ht="22.9" customHeight="1" x14ac:dyDescent="0.2">
      <c r="A51" s="60" t="s">
        <v>632</v>
      </c>
      <c r="B51" s="61" t="s">
        <v>441</v>
      </c>
      <c r="C51" s="62" t="s">
        <v>605</v>
      </c>
      <c r="D51" s="63"/>
      <c r="E51" s="63">
        <f>ROUND('№8Р_Внешние_кан '!I67,0)</f>
        <v>4518923</v>
      </c>
    </row>
    <row r="52" spans="1:5" ht="25.5" x14ac:dyDescent="0.2">
      <c r="A52" s="60" t="s">
        <v>633</v>
      </c>
      <c r="B52" s="61" t="s">
        <v>431</v>
      </c>
      <c r="C52" s="62" t="s">
        <v>606</v>
      </c>
      <c r="D52" s="63"/>
      <c r="E52" s="63">
        <f>ROUND('№9Р_Автоматизац '!I30,0)</f>
        <v>785474</v>
      </c>
    </row>
    <row r="53" spans="1:5" x14ac:dyDescent="0.2">
      <c r="A53" s="60" t="s">
        <v>641</v>
      </c>
      <c r="B53" s="61" t="s">
        <v>442</v>
      </c>
      <c r="C53" s="62" t="s">
        <v>607</v>
      </c>
      <c r="D53" s="63"/>
      <c r="E53" s="63">
        <f>ROUND('№_10Р_Остановоч '!I49,0)</f>
        <v>5064959</v>
      </c>
    </row>
    <row r="54" spans="1:5" ht="38.25" x14ac:dyDescent="0.2">
      <c r="A54" s="60" t="s">
        <v>1271</v>
      </c>
      <c r="B54" s="61" t="s">
        <v>419</v>
      </c>
      <c r="C54" s="62" t="s">
        <v>608</v>
      </c>
      <c r="D54" s="63"/>
      <c r="E54" s="63">
        <f>ROUND(№11Р_Рабочая_до!I22,0)</f>
        <v>409710</v>
      </c>
    </row>
    <row r="55" spans="1:5" ht="38.25" x14ac:dyDescent="0.2">
      <c r="A55" s="60" t="s">
        <v>1272</v>
      </c>
      <c r="B55" s="61" t="s">
        <v>432</v>
      </c>
      <c r="C55" s="62" t="s">
        <v>609</v>
      </c>
      <c r="D55" s="63"/>
      <c r="E55" s="63">
        <f>ROUND(№12Р!I22,0)</f>
        <v>409710</v>
      </c>
    </row>
    <row r="56" spans="1:5" x14ac:dyDescent="0.2">
      <c r="A56" s="60" t="s">
        <v>1273</v>
      </c>
      <c r="B56" s="61" t="s">
        <v>1199</v>
      </c>
      <c r="C56" s="62" t="s">
        <v>1254</v>
      </c>
      <c r="D56" s="63"/>
      <c r="E56" s="63">
        <f>№13Р_Временное_!I28*1000</f>
        <v>92313.2</v>
      </c>
    </row>
    <row r="57" spans="1:5" x14ac:dyDescent="0.2">
      <c r="A57" s="60" t="s">
        <v>1274</v>
      </c>
      <c r="B57" s="61" t="s">
        <v>1214</v>
      </c>
      <c r="C57" s="62" t="s">
        <v>1255</v>
      </c>
      <c r="D57" s="63"/>
      <c r="E57" s="63">
        <f>'№14П_Демонтаж (2)'!I66*1000</f>
        <v>1498032</v>
      </c>
    </row>
    <row r="58" spans="1:5" x14ac:dyDescent="0.2">
      <c r="A58" s="60"/>
      <c r="B58" s="64" t="s">
        <v>1135</v>
      </c>
      <c r="C58" s="65"/>
      <c r="D58" s="66"/>
      <c r="E58" s="66">
        <f>SUM(E44:E57)</f>
        <v>29080452.199999999</v>
      </c>
    </row>
    <row r="59" spans="1:5" ht="20.45" customHeight="1" x14ac:dyDescent="0.2">
      <c r="A59" s="60" t="s">
        <v>1275</v>
      </c>
      <c r="B59" s="64" t="s">
        <v>434</v>
      </c>
      <c r="C59" s="65" t="s">
        <v>39</v>
      </c>
      <c r="D59" s="66">
        <f>D19+D20+D21+D22+D23+D24+D25</f>
        <v>6840369.2456280002</v>
      </c>
      <c r="E59" s="66">
        <f>E42+E58</f>
        <v>48694967.799999997</v>
      </c>
    </row>
    <row r="60" spans="1:5" ht="21.75" customHeight="1" x14ac:dyDescent="0.2">
      <c r="A60" s="60" t="s">
        <v>1276</v>
      </c>
      <c r="B60" s="64" t="s">
        <v>634</v>
      </c>
      <c r="C60" s="65"/>
      <c r="D60" s="308">
        <f>D59+E59</f>
        <v>55535337.045627996</v>
      </c>
      <c r="E60" s="309"/>
    </row>
    <row r="61" spans="1:5" ht="21" customHeight="1" x14ac:dyDescent="0.2">
      <c r="A61" s="60" t="s">
        <v>1277</v>
      </c>
      <c r="B61" s="61" t="s">
        <v>635</v>
      </c>
      <c r="C61" s="62" t="s">
        <v>642</v>
      </c>
      <c r="D61" s="311">
        <f>D60*0.2</f>
        <v>11107067.4091256</v>
      </c>
      <c r="E61" s="312"/>
    </row>
    <row r="62" spans="1:5" ht="22.9" customHeight="1" x14ac:dyDescent="0.2">
      <c r="A62" s="60" t="s">
        <v>1278</v>
      </c>
      <c r="B62" s="64" t="s">
        <v>435</v>
      </c>
      <c r="C62" s="65"/>
      <c r="D62" s="308">
        <f>D60+D61</f>
        <v>66642404.454753593</v>
      </c>
      <c r="E62" s="309"/>
    </row>
    <row r="63" spans="1:5" hidden="1" x14ac:dyDescent="0.2"/>
    <row r="64" spans="1:5" hidden="1" x14ac:dyDescent="0.2">
      <c r="A64" s="6"/>
      <c r="B64" s="6"/>
      <c r="C64" s="6"/>
      <c r="D64" s="6"/>
      <c r="E64" s="6"/>
    </row>
    <row r="65" spans="1:244" ht="30" x14ac:dyDescent="0.2">
      <c r="A65" s="6"/>
      <c r="B65" s="91" t="s">
        <v>636</v>
      </c>
      <c r="C65" s="92"/>
      <c r="D65" s="97"/>
      <c r="E65" s="93" t="s">
        <v>637</v>
      </c>
    </row>
    <row r="66" spans="1:244" ht="15" x14ac:dyDescent="0.2">
      <c r="A66" s="6"/>
      <c r="B66" s="94"/>
      <c r="C66" s="94"/>
      <c r="D66" s="94"/>
      <c r="E66" s="6"/>
    </row>
    <row r="67" spans="1:244" ht="15" x14ac:dyDescent="0.2">
      <c r="A67" s="6"/>
      <c r="B67" s="95" t="s">
        <v>639</v>
      </c>
      <c r="C67" s="96"/>
      <c r="D67" s="97"/>
      <c r="E67" s="95" t="s">
        <v>638</v>
      </c>
    </row>
    <row r="68" spans="1:244" x14ac:dyDescent="0.2">
      <c r="A68" s="6"/>
      <c r="B68" s="6"/>
      <c r="C68" s="6"/>
      <c r="D68" s="6"/>
      <c r="E68" s="6"/>
    </row>
    <row r="69" spans="1:244" x14ac:dyDescent="0.2">
      <c r="A69" s="6"/>
      <c r="B69" s="6"/>
      <c r="C69" s="6"/>
      <c r="D69" s="6"/>
      <c r="E69" s="6"/>
    </row>
    <row r="70" spans="1:244" x14ac:dyDescent="0.2">
      <c r="A70" s="6"/>
      <c r="B70" s="6"/>
      <c r="C70" s="6"/>
      <c r="D70" s="6"/>
      <c r="E70" s="6"/>
    </row>
    <row r="71" spans="1:244" x14ac:dyDescent="0.2">
      <c r="A71" s="6"/>
      <c r="B71" s="6"/>
      <c r="C71" s="6"/>
      <c r="D71" s="6"/>
      <c r="E71" s="6"/>
    </row>
    <row r="72" spans="1:244" ht="17.45" customHeight="1" x14ac:dyDescent="0.2">
      <c r="A72" s="6"/>
      <c r="B72" s="6"/>
      <c r="C72" s="6"/>
      <c r="D72" s="6"/>
      <c r="E72" s="6"/>
    </row>
    <row r="73" spans="1:244" x14ac:dyDescent="0.2">
      <c r="A73" s="6"/>
      <c r="B73" s="6"/>
      <c r="C73" s="6"/>
      <c r="D73" s="6"/>
      <c r="E73" s="6"/>
    </row>
    <row r="74" spans="1:244" x14ac:dyDescent="0.2">
      <c r="A74" s="6"/>
      <c r="B74" s="6"/>
      <c r="C74" s="6"/>
      <c r="D74" s="6"/>
      <c r="E74" s="6"/>
    </row>
    <row r="75" spans="1:244" x14ac:dyDescent="0.2">
      <c r="A75" s="6"/>
      <c r="B75" s="6"/>
      <c r="C75" s="6"/>
      <c r="D75" s="6"/>
      <c r="E75" s="6"/>
    </row>
    <row r="76" spans="1:244" x14ac:dyDescent="0.2">
      <c r="A76" s="6"/>
      <c r="B76" s="6"/>
      <c r="C76" s="6"/>
      <c r="D76" s="6"/>
      <c r="E76" s="6"/>
    </row>
    <row r="77" spans="1:244" x14ac:dyDescent="0.2">
      <c r="A77" s="6"/>
      <c r="B77" s="6"/>
      <c r="C77" s="6"/>
      <c r="D77" s="6"/>
      <c r="E77" s="6"/>
    </row>
    <row r="78" spans="1:244" s="3" customFormat="1" ht="12.75" customHeight="1" x14ac:dyDescent="0.2">
      <c r="A78" s="6"/>
      <c r="B78" s="6"/>
      <c r="C78" s="6"/>
      <c r="D78" s="6"/>
      <c r="E78" s="6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</row>
    <row r="79" spans="1:244" s="3" customFormat="1" ht="12.75" customHeight="1" x14ac:dyDescent="0.2">
      <c r="A79" s="6"/>
      <c r="B79" s="6"/>
      <c r="C79" s="6"/>
      <c r="D79" s="6"/>
      <c r="E79" s="6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</row>
    <row r="80" spans="1:244" s="3" customFormat="1" x14ac:dyDescent="0.2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</row>
    <row r="81" spans="1:244" s="3" customFormat="1" ht="12.75" customHeight="1" x14ac:dyDescent="0.2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</row>
    <row r="82" spans="1:244" s="3" customFormat="1" ht="4.7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</row>
    <row r="83" spans="1:244" s="3" customFormat="1" x14ac:dyDescent="0.2">
      <c r="IE83"/>
      <c r="IF83"/>
      <c r="IG83"/>
      <c r="IH83"/>
      <c r="II83"/>
      <c r="IJ83"/>
    </row>
    <row r="84" spans="1:244" s="3" customFormat="1" ht="4.7" customHeight="1" x14ac:dyDescent="0.2">
      <c r="IE84"/>
      <c r="IF84"/>
      <c r="IG84"/>
      <c r="IH84"/>
      <c r="II84"/>
      <c r="IJ84"/>
    </row>
    <row r="85" spans="1:244" s="3" customFormat="1" ht="4.7" customHeight="1" x14ac:dyDescent="0.2">
      <c r="IE85"/>
      <c r="IF85"/>
      <c r="IG85"/>
      <c r="IH85"/>
      <c r="II85"/>
      <c r="IJ85"/>
    </row>
    <row r="86" spans="1:244" s="3" customFormat="1" x14ac:dyDescent="0.2">
      <c r="A86"/>
      <c r="B86"/>
      <c r="C86" s="1"/>
      <c r="IJ86"/>
    </row>
    <row r="87" spans="1:244" s="3" customFormat="1" x14ac:dyDescent="0.2">
      <c r="A87"/>
      <c r="B87"/>
      <c r="C87" s="1"/>
      <c r="IJ87"/>
    </row>
    <row r="88" spans="1:244" s="3" customFormat="1" ht="4.7" customHeight="1" x14ac:dyDescent="0.2">
      <c r="A88"/>
      <c r="B88" s="1"/>
      <c r="II88"/>
      <c r="IJ88"/>
    </row>
    <row r="89" spans="1:244" s="3" customFormat="1" x14ac:dyDescent="0.2">
      <c r="A89"/>
      <c r="B89" s="1"/>
      <c r="II89"/>
      <c r="IJ89"/>
    </row>
    <row r="90" spans="1:244" s="3" customFormat="1" ht="4.7" customHeight="1" x14ac:dyDescent="0.2">
      <c r="A90"/>
      <c r="B90" s="1"/>
      <c r="II90"/>
      <c r="IJ90"/>
    </row>
    <row r="91" spans="1:244" s="3" customFormat="1" x14ac:dyDescent="0.2">
      <c r="A91"/>
      <c r="B91" s="1"/>
      <c r="II91"/>
      <c r="IJ91"/>
    </row>
    <row r="92" spans="1:244" s="3" customFormat="1" x14ac:dyDescent="0.2">
      <c r="A92" s="2"/>
      <c r="B92" s="2"/>
      <c r="C92" s="1"/>
      <c r="IJ92"/>
    </row>
    <row r="93" spans="1:244" s="3" customFormat="1" x14ac:dyDescent="0.2">
      <c r="A93" s="2"/>
      <c r="B93" s="2"/>
      <c r="C93" s="1"/>
      <c r="IJ93"/>
    </row>
    <row r="94" spans="1:244" s="3" customFormat="1" x14ac:dyDescent="0.2">
      <c r="A94" s="2"/>
      <c r="B94" s="2"/>
      <c r="C94" s="1"/>
      <c r="IJ94"/>
    </row>
    <row r="95" spans="1:244" s="3" customFormat="1" x14ac:dyDescent="0.2">
      <c r="A95" s="2"/>
      <c r="B95" s="2"/>
      <c r="C95" s="1"/>
      <c r="IJ95"/>
    </row>
    <row r="96" spans="1:244" s="3" customFormat="1" x14ac:dyDescent="0.2">
      <c r="A96" s="2"/>
      <c r="B96" s="2"/>
      <c r="C96" s="1"/>
      <c r="IJ96"/>
    </row>
    <row r="97" spans="1:244" s="3" customFormat="1" x14ac:dyDescent="0.2">
      <c r="A97" s="1"/>
      <c r="IG97"/>
      <c r="IH97"/>
      <c r="II97"/>
      <c r="IJ97"/>
    </row>
    <row r="98" spans="1:244" s="3" customFormat="1" x14ac:dyDescent="0.2">
      <c r="A98" s="2"/>
      <c r="B98" s="2"/>
      <c r="C98" s="1"/>
      <c r="IJ98"/>
    </row>
    <row r="99" spans="1:244" x14ac:dyDescent="0.2">
      <c r="A99" s="2"/>
      <c r="B99" s="2"/>
      <c r="C99" s="1"/>
    </row>
    <row r="100" spans="1:244" x14ac:dyDescent="0.2">
      <c r="A100" s="1"/>
    </row>
  </sheetData>
  <mergeCells count="17">
    <mergeCell ref="A1:B1"/>
    <mergeCell ref="A2:E2"/>
    <mergeCell ref="A3:E3"/>
    <mergeCell ref="A8:B8"/>
    <mergeCell ref="A9:E9"/>
    <mergeCell ref="D62:E62"/>
    <mergeCell ref="B5:E5"/>
    <mergeCell ref="D60:E60"/>
    <mergeCell ref="D61:E61"/>
    <mergeCell ref="C8:E8"/>
    <mergeCell ref="A11:B11"/>
    <mergeCell ref="A12:E12"/>
    <mergeCell ref="A15:A16"/>
    <mergeCell ref="B15:B16"/>
    <mergeCell ref="C15:C16"/>
    <mergeCell ref="D15:E15"/>
    <mergeCell ref="A13:D13"/>
  </mergeCells>
  <phoneticPr fontId="0" type="noConversion"/>
  <printOptions horizontalCentered="1"/>
  <pageMargins left="0.39374999999999999" right="0.39374999999999999" top="0.59027777777777779" bottom="0.82777777777777772" header="0.51180555555555551" footer="0.59027777777777779"/>
  <pageSetup paperSize="9" firstPageNumber="0" fitToHeight="0" orientation="portrait" horizontalDpi="300" verticalDpi="300" r:id="rId1"/>
  <headerFooter alignWithMargins="0">
    <oddFooter>&amp;C&amp;"Arial,Обычный"Страница &amp;P</oddFooter>
  </headerFooter>
  <rowBreaks count="1" manualBreakCount="1">
    <brk id="3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4"/>
  <dimension ref="A1:J37"/>
  <sheetViews>
    <sheetView view="pageBreakPreview" zoomScale="60" zoomScaleNormal="100" workbookViewId="0">
      <selection activeCell="M38" sqref="M38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570312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256" width="11.5703125" style="5"/>
    <col min="257" max="257" width="3.7109375" style="5" customWidth="1"/>
    <col min="258" max="258" width="10.7109375" style="5" customWidth="1"/>
    <col min="259" max="259" width="15.5703125" style="5" customWidth="1"/>
    <col min="260" max="260" width="4.42578125" style="5" customWidth="1"/>
    <col min="261" max="263" width="9.28515625" style="5" customWidth="1"/>
    <col min="264" max="264" width="19.7109375" style="5" customWidth="1"/>
    <col min="265" max="265" width="14.7109375" style="5" customWidth="1"/>
    <col min="266" max="266" width="19.7109375" style="5" customWidth="1"/>
    <col min="267" max="512" width="11.5703125" style="5"/>
    <col min="513" max="513" width="3.7109375" style="5" customWidth="1"/>
    <col min="514" max="514" width="10.7109375" style="5" customWidth="1"/>
    <col min="515" max="515" width="15.5703125" style="5" customWidth="1"/>
    <col min="516" max="516" width="4.42578125" style="5" customWidth="1"/>
    <col min="517" max="519" width="9.28515625" style="5" customWidth="1"/>
    <col min="520" max="520" width="19.7109375" style="5" customWidth="1"/>
    <col min="521" max="521" width="14.7109375" style="5" customWidth="1"/>
    <col min="522" max="522" width="19.7109375" style="5" customWidth="1"/>
    <col min="523" max="768" width="11.5703125" style="5"/>
    <col min="769" max="769" width="3.7109375" style="5" customWidth="1"/>
    <col min="770" max="770" width="10.7109375" style="5" customWidth="1"/>
    <col min="771" max="771" width="15.5703125" style="5" customWidth="1"/>
    <col min="772" max="772" width="4.42578125" style="5" customWidth="1"/>
    <col min="773" max="775" width="9.28515625" style="5" customWidth="1"/>
    <col min="776" max="776" width="19.7109375" style="5" customWidth="1"/>
    <col min="777" max="777" width="14.7109375" style="5" customWidth="1"/>
    <col min="778" max="778" width="19.7109375" style="5" customWidth="1"/>
    <col min="779" max="1024" width="11.5703125" style="5"/>
    <col min="1025" max="1025" width="3.7109375" style="5" customWidth="1"/>
    <col min="1026" max="1026" width="10.7109375" style="5" customWidth="1"/>
    <col min="1027" max="1027" width="15.5703125" style="5" customWidth="1"/>
    <col min="1028" max="1028" width="4.42578125" style="5" customWidth="1"/>
    <col min="1029" max="1031" width="9.28515625" style="5" customWidth="1"/>
    <col min="1032" max="1032" width="19.7109375" style="5" customWidth="1"/>
    <col min="1033" max="1033" width="14.7109375" style="5" customWidth="1"/>
    <col min="1034" max="1034" width="19.7109375" style="5" customWidth="1"/>
    <col min="1035" max="1280" width="11.5703125" style="5"/>
    <col min="1281" max="1281" width="3.7109375" style="5" customWidth="1"/>
    <col min="1282" max="1282" width="10.7109375" style="5" customWidth="1"/>
    <col min="1283" max="1283" width="15.5703125" style="5" customWidth="1"/>
    <col min="1284" max="1284" width="4.42578125" style="5" customWidth="1"/>
    <col min="1285" max="1287" width="9.28515625" style="5" customWidth="1"/>
    <col min="1288" max="1288" width="19.7109375" style="5" customWidth="1"/>
    <col min="1289" max="1289" width="14.7109375" style="5" customWidth="1"/>
    <col min="1290" max="1290" width="19.7109375" style="5" customWidth="1"/>
    <col min="1291" max="1536" width="11.5703125" style="5"/>
    <col min="1537" max="1537" width="3.7109375" style="5" customWidth="1"/>
    <col min="1538" max="1538" width="10.7109375" style="5" customWidth="1"/>
    <col min="1539" max="1539" width="15.5703125" style="5" customWidth="1"/>
    <col min="1540" max="1540" width="4.42578125" style="5" customWidth="1"/>
    <col min="1541" max="1543" width="9.28515625" style="5" customWidth="1"/>
    <col min="1544" max="1544" width="19.7109375" style="5" customWidth="1"/>
    <col min="1545" max="1545" width="14.7109375" style="5" customWidth="1"/>
    <col min="1546" max="1546" width="19.7109375" style="5" customWidth="1"/>
    <col min="1547" max="1792" width="11.5703125" style="5"/>
    <col min="1793" max="1793" width="3.7109375" style="5" customWidth="1"/>
    <col min="1794" max="1794" width="10.7109375" style="5" customWidth="1"/>
    <col min="1795" max="1795" width="15.5703125" style="5" customWidth="1"/>
    <col min="1796" max="1796" width="4.42578125" style="5" customWidth="1"/>
    <col min="1797" max="1799" width="9.28515625" style="5" customWidth="1"/>
    <col min="1800" max="1800" width="19.7109375" style="5" customWidth="1"/>
    <col min="1801" max="1801" width="14.7109375" style="5" customWidth="1"/>
    <col min="1802" max="1802" width="19.7109375" style="5" customWidth="1"/>
    <col min="1803" max="2048" width="11.5703125" style="5"/>
    <col min="2049" max="2049" width="3.7109375" style="5" customWidth="1"/>
    <col min="2050" max="2050" width="10.7109375" style="5" customWidth="1"/>
    <col min="2051" max="2051" width="15.5703125" style="5" customWidth="1"/>
    <col min="2052" max="2052" width="4.42578125" style="5" customWidth="1"/>
    <col min="2053" max="2055" width="9.28515625" style="5" customWidth="1"/>
    <col min="2056" max="2056" width="19.7109375" style="5" customWidth="1"/>
    <col min="2057" max="2057" width="14.7109375" style="5" customWidth="1"/>
    <col min="2058" max="2058" width="19.7109375" style="5" customWidth="1"/>
    <col min="2059" max="2304" width="11.5703125" style="5"/>
    <col min="2305" max="2305" width="3.7109375" style="5" customWidth="1"/>
    <col min="2306" max="2306" width="10.7109375" style="5" customWidth="1"/>
    <col min="2307" max="2307" width="15.5703125" style="5" customWidth="1"/>
    <col min="2308" max="2308" width="4.42578125" style="5" customWidth="1"/>
    <col min="2309" max="2311" width="9.28515625" style="5" customWidth="1"/>
    <col min="2312" max="2312" width="19.7109375" style="5" customWidth="1"/>
    <col min="2313" max="2313" width="14.7109375" style="5" customWidth="1"/>
    <col min="2314" max="2314" width="19.7109375" style="5" customWidth="1"/>
    <col min="2315" max="2560" width="11.5703125" style="5"/>
    <col min="2561" max="2561" width="3.7109375" style="5" customWidth="1"/>
    <col min="2562" max="2562" width="10.7109375" style="5" customWidth="1"/>
    <col min="2563" max="2563" width="15.5703125" style="5" customWidth="1"/>
    <col min="2564" max="2564" width="4.42578125" style="5" customWidth="1"/>
    <col min="2565" max="2567" width="9.28515625" style="5" customWidth="1"/>
    <col min="2568" max="2568" width="19.7109375" style="5" customWidth="1"/>
    <col min="2569" max="2569" width="14.7109375" style="5" customWidth="1"/>
    <col min="2570" max="2570" width="19.7109375" style="5" customWidth="1"/>
    <col min="2571" max="2816" width="11.5703125" style="5"/>
    <col min="2817" max="2817" width="3.7109375" style="5" customWidth="1"/>
    <col min="2818" max="2818" width="10.7109375" style="5" customWidth="1"/>
    <col min="2819" max="2819" width="15.5703125" style="5" customWidth="1"/>
    <col min="2820" max="2820" width="4.42578125" style="5" customWidth="1"/>
    <col min="2821" max="2823" width="9.28515625" style="5" customWidth="1"/>
    <col min="2824" max="2824" width="19.7109375" style="5" customWidth="1"/>
    <col min="2825" max="2825" width="14.7109375" style="5" customWidth="1"/>
    <col min="2826" max="2826" width="19.7109375" style="5" customWidth="1"/>
    <col min="2827" max="3072" width="11.5703125" style="5"/>
    <col min="3073" max="3073" width="3.7109375" style="5" customWidth="1"/>
    <col min="3074" max="3074" width="10.7109375" style="5" customWidth="1"/>
    <col min="3075" max="3075" width="15.5703125" style="5" customWidth="1"/>
    <col min="3076" max="3076" width="4.42578125" style="5" customWidth="1"/>
    <col min="3077" max="3079" width="9.28515625" style="5" customWidth="1"/>
    <col min="3080" max="3080" width="19.7109375" style="5" customWidth="1"/>
    <col min="3081" max="3081" width="14.7109375" style="5" customWidth="1"/>
    <col min="3082" max="3082" width="19.7109375" style="5" customWidth="1"/>
    <col min="3083" max="3328" width="11.5703125" style="5"/>
    <col min="3329" max="3329" width="3.7109375" style="5" customWidth="1"/>
    <col min="3330" max="3330" width="10.7109375" style="5" customWidth="1"/>
    <col min="3331" max="3331" width="15.5703125" style="5" customWidth="1"/>
    <col min="3332" max="3332" width="4.42578125" style="5" customWidth="1"/>
    <col min="3333" max="3335" width="9.28515625" style="5" customWidth="1"/>
    <col min="3336" max="3336" width="19.7109375" style="5" customWidth="1"/>
    <col min="3337" max="3337" width="14.7109375" style="5" customWidth="1"/>
    <col min="3338" max="3338" width="19.7109375" style="5" customWidth="1"/>
    <col min="3339" max="3584" width="11.5703125" style="5"/>
    <col min="3585" max="3585" width="3.7109375" style="5" customWidth="1"/>
    <col min="3586" max="3586" width="10.7109375" style="5" customWidth="1"/>
    <col min="3587" max="3587" width="15.5703125" style="5" customWidth="1"/>
    <col min="3588" max="3588" width="4.42578125" style="5" customWidth="1"/>
    <col min="3589" max="3591" width="9.28515625" style="5" customWidth="1"/>
    <col min="3592" max="3592" width="19.7109375" style="5" customWidth="1"/>
    <col min="3593" max="3593" width="14.7109375" style="5" customWidth="1"/>
    <col min="3594" max="3594" width="19.7109375" style="5" customWidth="1"/>
    <col min="3595" max="3840" width="11.5703125" style="5"/>
    <col min="3841" max="3841" width="3.7109375" style="5" customWidth="1"/>
    <col min="3842" max="3842" width="10.7109375" style="5" customWidth="1"/>
    <col min="3843" max="3843" width="15.5703125" style="5" customWidth="1"/>
    <col min="3844" max="3844" width="4.42578125" style="5" customWidth="1"/>
    <col min="3845" max="3847" width="9.28515625" style="5" customWidth="1"/>
    <col min="3848" max="3848" width="19.7109375" style="5" customWidth="1"/>
    <col min="3849" max="3849" width="14.7109375" style="5" customWidth="1"/>
    <col min="3850" max="3850" width="19.7109375" style="5" customWidth="1"/>
    <col min="3851" max="4096" width="11.5703125" style="5"/>
    <col min="4097" max="4097" width="3.7109375" style="5" customWidth="1"/>
    <col min="4098" max="4098" width="10.7109375" style="5" customWidth="1"/>
    <col min="4099" max="4099" width="15.5703125" style="5" customWidth="1"/>
    <col min="4100" max="4100" width="4.42578125" style="5" customWidth="1"/>
    <col min="4101" max="4103" width="9.28515625" style="5" customWidth="1"/>
    <col min="4104" max="4104" width="19.7109375" style="5" customWidth="1"/>
    <col min="4105" max="4105" width="14.7109375" style="5" customWidth="1"/>
    <col min="4106" max="4106" width="19.7109375" style="5" customWidth="1"/>
    <col min="4107" max="4352" width="11.5703125" style="5"/>
    <col min="4353" max="4353" width="3.7109375" style="5" customWidth="1"/>
    <col min="4354" max="4354" width="10.7109375" style="5" customWidth="1"/>
    <col min="4355" max="4355" width="15.5703125" style="5" customWidth="1"/>
    <col min="4356" max="4356" width="4.42578125" style="5" customWidth="1"/>
    <col min="4357" max="4359" width="9.28515625" style="5" customWidth="1"/>
    <col min="4360" max="4360" width="19.7109375" style="5" customWidth="1"/>
    <col min="4361" max="4361" width="14.7109375" style="5" customWidth="1"/>
    <col min="4362" max="4362" width="19.7109375" style="5" customWidth="1"/>
    <col min="4363" max="4608" width="11.5703125" style="5"/>
    <col min="4609" max="4609" width="3.7109375" style="5" customWidth="1"/>
    <col min="4610" max="4610" width="10.7109375" style="5" customWidth="1"/>
    <col min="4611" max="4611" width="15.5703125" style="5" customWidth="1"/>
    <col min="4612" max="4612" width="4.42578125" style="5" customWidth="1"/>
    <col min="4613" max="4615" width="9.28515625" style="5" customWidth="1"/>
    <col min="4616" max="4616" width="19.7109375" style="5" customWidth="1"/>
    <col min="4617" max="4617" width="14.7109375" style="5" customWidth="1"/>
    <col min="4618" max="4618" width="19.7109375" style="5" customWidth="1"/>
    <col min="4619" max="4864" width="11.5703125" style="5"/>
    <col min="4865" max="4865" width="3.7109375" style="5" customWidth="1"/>
    <col min="4866" max="4866" width="10.7109375" style="5" customWidth="1"/>
    <col min="4867" max="4867" width="15.5703125" style="5" customWidth="1"/>
    <col min="4868" max="4868" width="4.42578125" style="5" customWidth="1"/>
    <col min="4869" max="4871" width="9.28515625" style="5" customWidth="1"/>
    <col min="4872" max="4872" width="19.7109375" style="5" customWidth="1"/>
    <col min="4873" max="4873" width="14.7109375" style="5" customWidth="1"/>
    <col min="4874" max="4874" width="19.7109375" style="5" customWidth="1"/>
    <col min="4875" max="5120" width="11.5703125" style="5"/>
    <col min="5121" max="5121" width="3.7109375" style="5" customWidth="1"/>
    <col min="5122" max="5122" width="10.7109375" style="5" customWidth="1"/>
    <col min="5123" max="5123" width="15.5703125" style="5" customWidth="1"/>
    <col min="5124" max="5124" width="4.42578125" style="5" customWidth="1"/>
    <col min="5125" max="5127" width="9.28515625" style="5" customWidth="1"/>
    <col min="5128" max="5128" width="19.7109375" style="5" customWidth="1"/>
    <col min="5129" max="5129" width="14.7109375" style="5" customWidth="1"/>
    <col min="5130" max="5130" width="19.7109375" style="5" customWidth="1"/>
    <col min="5131" max="5376" width="11.5703125" style="5"/>
    <col min="5377" max="5377" width="3.7109375" style="5" customWidth="1"/>
    <col min="5378" max="5378" width="10.7109375" style="5" customWidth="1"/>
    <col min="5379" max="5379" width="15.5703125" style="5" customWidth="1"/>
    <col min="5380" max="5380" width="4.42578125" style="5" customWidth="1"/>
    <col min="5381" max="5383" width="9.28515625" style="5" customWidth="1"/>
    <col min="5384" max="5384" width="19.7109375" style="5" customWidth="1"/>
    <col min="5385" max="5385" width="14.7109375" style="5" customWidth="1"/>
    <col min="5386" max="5386" width="19.7109375" style="5" customWidth="1"/>
    <col min="5387" max="5632" width="11.5703125" style="5"/>
    <col min="5633" max="5633" width="3.7109375" style="5" customWidth="1"/>
    <col min="5634" max="5634" width="10.7109375" style="5" customWidth="1"/>
    <col min="5635" max="5635" width="15.5703125" style="5" customWidth="1"/>
    <col min="5636" max="5636" width="4.42578125" style="5" customWidth="1"/>
    <col min="5637" max="5639" width="9.28515625" style="5" customWidth="1"/>
    <col min="5640" max="5640" width="19.7109375" style="5" customWidth="1"/>
    <col min="5641" max="5641" width="14.7109375" style="5" customWidth="1"/>
    <col min="5642" max="5642" width="19.7109375" style="5" customWidth="1"/>
    <col min="5643" max="5888" width="11.5703125" style="5"/>
    <col min="5889" max="5889" width="3.7109375" style="5" customWidth="1"/>
    <col min="5890" max="5890" width="10.7109375" style="5" customWidth="1"/>
    <col min="5891" max="5891" width="15.5703125" style="5" customWidth="1"/>
    <col min="5892" max="5892" width="4.42578125" style="5" customWidth="1"/>
    <col min="5893" max="5895" width="9.28515625" style="5" customWidth="1"/>
    <col min="5896" max="5896" width="19.7109375" style="5" customWidth="1"/>
    <col min="5897" max="5897" width="14.7109375" style="5" customWidth="1"/>
    <col min="5898" max="5898" width="19.7109375" style="5" customWidth="1"/>
    <col min="5899" max="6144" width="11.5703125" style="5"/>
    <col min="6145" max="6145" width="3.7109375" style="5" customWidth="1"/>
    <col min="6146" max="6146" width="10.7109375" style="5" customWidth="1"/>
    <col min="6147" max="6147" width="15.5703125" style="5" customWidth="1"/>
    <col min="6148" max="6148" width="4.42578125" style="5" customWidth="1"/>
    <col min="6149" max="6151" width="9.28515625" style="5" customWidth="1"/>
    <col min="6152" max="6152" width="19.7109375" style="5" customWidth="1"/>
    <col min="6153" max="6153" width="14.7109375" style="5" customWidth="1"/>
    <col min="6154" max="6154" width="19.7109375" style="5" customWidth="1"/>
    <col min="6155" max="6400" width="11.5703125" style="5"/>
    <col min="6401" max="6401" width="3.7109375" style="5" customWidth="1"/>
    <col min="6402" max="6402" width="10.7109375" style="5" customWidth="1"/>
    <col min="6403" max="6403" width="15.5703125" style="5" customWidth="1"/>
    <col min="6404" max="6404" width="4.42578125" style="5" customWidth="1"/>
    <col min="6405" max="6407" width="9.28515625" style="5" customWidth="1"/>
    <col min="6408" max="6408" width="19.7109375" style="5" customWidth="1"/>
    <col min="6409" max="6409" width="14.7109375" style="5" customWidth="1"/>
    <col min="6410" max="6410" width="19.7109375" style="5" customWidth="1"/>
    <col min="6411" max="6656" width="11.5703125" style="5"/>
    <col min="6657" max="6657" width="3.7109375" style="5" customWidth="1"/>
    <col min="6658" max="6658" width="10.7109375" style="5" customWidth="1"/>
    <col min="6659" max="6659" width="15.5703125" style="5" customWidth="1"/>
    <col min="6660" max="6660" width="4.42578125" style="5" customWidth="1"/>
    <col min="6661" max="6663" width="9.28515625" style="5" customWidth="1"/>
    <col min="6664" max="6664" width="19.7109375" style="5" customWidth="1"/>
    <col min="6665" max="6665" width="14.7109375" style="5" customWidth="1"/>
    <col min="6666" max="6666" width="19.7109375" style="5" customWidth="1"/>
    <col min="6667" max="6912" width="11.5703125" style="5"/>
    <col min="6913" max="6913" width="3.7109375" style="5" customWidth="1"/>
    <col min="6914" max="6914" width="10.7109375" style="5" customWidth="1"/>
    <col min="6915" max="6915" width="15.5703125" style="5" customWidth="1"/>
    <col min="6916" max="6916" width="4.42578125" style="5" customWidth="1"/>
    <col min="6917" max="6919" width="9.28515625" style="5" customWidth="1"/>
    <col min="6920" max="6920" width="19.7109375" style="5" customWidth="1"/>
    <col min="6921" max="6921" width="14.7109375" style="5" customWidth="1"/>
    <col min="6922" max="6922" width="19.7109375" style="5" customWidth="1"/>
    <col min="6923" max="7168" width="11.5703125" style="5"/>
    <col min="7169" max="7169" width="3.7109375" style="5" customWidth="1"/>
    <col min="7170" max="7170" width="10.7109375" style="5" customWidth="1"/>
    <col min="7171" max="7171" width="15.5703125" style="5" customWidth="1"/>
    <col min="7172" max="7172" width="4.42578125" style="5" customWidth="1"/>
    <col min="7173" max="7175" width="9.28515625" style="5" customWidth="1"/>
    <col min="7176" max="7176" width="19.7109375" style="5" customWidth="1"/>
    <col min="7177" max="7177" width="14.7109375" style="5" customWidth="1"/>
    <col min="7178" max="7178" width="19.7109375" style="5" customWidth="1"/>
    <col min="7179" max="7424" width="11.5703125" style="5"/>
    <col min="7425" max="7425" width="3.7109375" style="5" customWidth="1"/>
    <col min="7426" max="7426" width="10.7109375" style="5" customWidth="1"/>
    <col min="7427" max="7427" width="15.5703125" style="5" customWidth="1"/>
    <col min="7428" max="7428" width="4.42578125" style="5" customWidth="1"/>
    <col min="7429" max="7431" width="9.28515625" style="5" customWidth="1"/>
    <col min="7432" max="7432" width="19.7109375" style="5" customWidth="1"/>
    <col min="7433" max="7433" width="14.7109375" style="5" customWidth="1"/>
    <col min="7434" max="7434" width="19.7109375" style="5" customWidth="1"/>
    <col min="7435" max="7680" width="11.5703125" style="5"/>
    <col min="7681" max="7681" width="3.7109375" style="5" customWidth="1"/>
    <col min="7682" max="7682" width="10.7109375" style="5" customWidth="1"/>
    <col min="7683" max="7683" width="15.5703125" style="5" customWidth="1"/>
    <col min="7684" max="7684" width="4.42578125" style="5" customWidth="1"/>
    <col min="7685" max="7687" width="9.28515625" style="5" customWidth="1"/>
    <col min="7688" max="7688" width="19.7109375" style="5" customWidth="1"/>
    <col min="7689" max="7689" width="14.7109375" style="5" customWidth="1"/>
    <col min="7690" max="7690" width="19.7109375" style="5" customWidth="1"/>
    <col min="7691" max="7936" width="11.5703125" style="5"/>
    <col min="7937" max="7937" width="3.7109375" style="5" customWidth="1"/>
    <col min="7938" max="7938" width="10.7109375" style="5" customWidth="1"/>
    <col min="7939" max="7939" width="15.5703125" style="5" customWidth="1"/>
    <col min="7940" max="7940" width="4.42578125" style="5" customWidth="1"/>
    <col min="7941" max="7943" width="9.28515625" style="5" customWidth="1"/>
    <col min="7944" max="7944" width="19.7109375" style="5" customWidth="1"/>
    <col min="7945" max="7945" width="14.7109375" style="5" customWidth="1"/>
    <col min="7946" max="7946" width="19.7109375" style="5" customWidth="1"/>
    <col min="7947" max="8192" width="11.5703125" style="5"/>
    <col min="8193" max="8193" width="3.7109375" style="5" customWidth="1"/>
    <col min="8194" max="8194" width="10.7109375" style="5" customWidth="1"/>
    <col min="8195" max="8195" width="15.5703125" style="5" customWidth="1"/>
    <col min="8196" max="8196" width="4.42578125" style="5" customWidth="1"/>
    <col min="8197" max="8199" width="9.28515625" style="5" customWidth="1"/>
    <col min="8200" max="8200" width="19.7109375" style="5" customWidth="1"/>
    <col min="8201" max="8201" width="14.7109375" style="5" customWidth="1"/>
    <col min="8202" max="8202" width="19.7109375" style="5" customWidth="1"/>
    <col min="8203" max="8448" width="11.5703125" style="5"/>
    <col min="8449" max="8449" width="3.7109375" style="5" customWidth="1"/>
    <col min="8450" max="8450" width="10.7109375" style="5" customWidth="1"/>
    <col min="8451" max="8451" width="15.5703125" style="5" customWidth="1"/>
    <col min="8452" max="8452" width="4.42578125" style="5" customWidth="1"/>
    <col min="8453" max="8455" width="9.28515625" style="5" customWidth="1"/>
    <col min="8456" max="8456" width="19.7109375" style="5" customWidth="1"/>
    <col min="8457" max="8457" width="14.7109375" style="5" customWidth="1"/>
    <col min="8458" max="8458" width="19.7109375" style="5" customWidth="1"/>
    <col min="8459" max="8704" width="11.5703125" style="5"/>
    <col min="8705" max="8705" width="3.7109375" style="5" customWidth="1"/>
    <col min="8706" max="8706" width="10.7109375" style="5" customWidth="1"/>
    <col min="8707" max="8707" width="15.5703125" style="5" customWidth="1"/>
    <col min="8708" max="8708" width="4.42578125" style="5" customWidth="1"/>
    <col min="8709" max="8711" width="9.28515625" style="5" customWidth="1"/>
    <col min="8712" max="8712" width="19.7109375" style="5" customWidth="1"/>
    <col min="8713" max="8713" width="14.7109375" style="5" customWidth="1"/>
    <col min="8714" max="8714" width="19.7109375" style="5" customWidth="1"/>
    <col min="8715" max="8960" width="11.5703125" style="5"/>
    <col min="8961" max="8961" width="3.7109375" style="5" customWidth="1"/>
    <col min="8962" max="8962" width="10.7109375" style="5" customWidth="1"/>
    <col min="8963" max="8963" width="15.5703125" style="5" customWidth="1"/>
    <col min="8964" max="8964" width="4.42578125" style="5" customWidth="1"/>
    <col min="8965" max="8967" width="9.28515625" style="5" customWidth="1"/>
    <col min="8968" max="8968" width="19.7109375" style="5" customWidth="1"/>
    <col min="8969" max="8969" width="14.7109375" style="5" customWidth="1"/>
    <col min="8970" max="8970" width="19.7109375" style="5" customWidth="1"/>
    <col min="8971" max="9216" width="11.5703125" style="5"/>
    <col min="9217" max="9217" width="3.7109375" style="5" customWidth="1"/>
    <col min="9218" max="9218" width="10.7109375" style="5" customWidth="1"/>
    <col min="9219" max="9219" width="15.5703125" style="5" customWidth="1"/>
    <col min="9220" max="9220" width="4.42578125" style="5" customWidth="1"/>
    <col min="9221" max="9223" width="9.28515625" style="5" customWidth="1"/>
    <col min="9224" max="9224" width="19.7109375" style="5" customWidth="1"/>
    <col min="9225" max="9225" width="14.7109375" style="5" customWidth="1"/>
    <col min="9226" max="9226" width="19.7109375" style="5" customWidth="1"/>
    <col min="9227" max="9472" width="11.5703125" style="5"/>
    <col min="9473" max="9473" width="3.7109375" style="5" customWidth="1"/>
    <col min="9474" max="9474" width="10.7109375" style="5" customWidth="1"/>
    <col min="9475" max="9475" width="15.5703125" style="5" customWidth="1"/>
    <col min="9476" max="9476" width="4.42578125" style="5" customWidth="1"/>
    <col min="9477" max="9479" width="9.28515625" style="5" customWidth="1"/>
    <col min="9480" max="9480" width="19.7109375" style="5" customWidth="1"/>
    <col min="9481" max="9481" width="14.7109375" style="5" customWidth="1"/>
    <col min="9482" max="9482" width="19.7109375" style="5" customWidth="1"/>
    <col min="9483" max="9728" width="11.5703125" style="5"/>
    <col min="9729" max="9729" width="3.7109375" style="5" customWidth="1"/>
    <col min="9730" max="9730" width="10.7109375" style="5" customWidth="1"/>
    <col min="9731" max="9731" width="15.5703125" style="5" customWidth="1"/>
    <col min="9732" max="9732" width="4.42578125" style="5" customWidth="1"/>
    <col min="9733" max="9735" width="9.28515625" style="5" customWidth="1"/>
    <col min="9736" max="9736" width="19.7109375" style="5" customWidth="1"/>
    <col min="9737" max="9737" width="14.7109375" style="5" customWidth="1"/>
    <col min="9738" max="9738" width="19.7109375" style="5" customWidth="1"/>
    <col min="9739" max="9984" width="11.5703125" style="5"/>
    <col min="9985" max="9985" width="3.7109375" style="5" customWidth="1"/>
    <col min="9986" max="9986" width="10.7109375" style="5" customWidth="1"/>
    <col min="9987" max="9987" width="15.5703125" style="5" customWidth="1"/>
    <col min="9988" max="9988" width="4.42578125" style="5" customWidth="1"/>
    <col min="9989" max="9991" width="9.28515625" style="5" customWidth="1"/>
    <col min="9992" max="9992" width="19.7109375" style="5" customWidth="1"/>
    <col min="9993" max="9993" width="14.7109375" style="5" customWidth="1"/>
    <col min="9994" max="9994" width="19.7109375" style="5" customWidth="1"/>
    <col min="9995" max="10240" width="11.5703125" style="5"/>
    <col min="10241" max="10241" width="3.7109375" style="5" customWidth="1"/>
    <col min="10242" max="10242" width="10.7109375" style="5" customWidth="1"/>
    <col min="10243" max="10243" width="15.5703125" style="5" customWidth="1"/>
    <col min="10244" max="10244" width="4.42578125" style="5" customWidth="1"/>
    <col min="10245" max="10247" width="9.28515625" style="5" customWidth="1"/>
    <col min="10248" max="10248" width="19.7109375" style="5" customWidth="1"/>
    <col min="10249" max="10249" width="14.7109375" style="5" customWidth="1"/>
    <col min="10250" max="10250" width="19.7109375" style="5" customWidth="1"/>
    <col min="10251" max="10496" width="11.5703125" style="5"/>
    <col min="10497" max="10497" width="3.7109375" style="5" customWidth="1"/>
    <col min="10498" max="10498" width="10.7109375" style="5" customWidth="1"/>
    <col min="10499" max="10499" width="15.5703125" style="5" customWidth="1"/>
    <col min="10500" max="10500" width="4.42578125" style="5" customWidth="1"/>
    <col min="10501" max="10503" width="9.28515625" style="5" customWidth="1"/>
    <col min="10504" max="10504" width="19.7109375" style="5" customWidth="1"/>
    <col min="10505" max="10505" width="14.7109375" style="5" customWidth="1"/>
    <col min="10506" max="10506" width="19.7109375" style="5" customWidth="1"/>
    <col min="10507" max="10752" width="11.5703125" style="5"/>
    <col min="10753" max="10753" width="3.7109375" style="5" customWidth="1"/>
    <col min="10754" max="10754" width="10.7109375" style="5" customWidth="1"/>
    <col min="10755" max="10755" width="15.5703125" style="5" customWidth="1"/>
    <col min="10756" max="10756" width="4.42578125" style="5" customWidth="1"/>
    <col min="10757" max="10759" width="9.28515625" style="5" customWidth="1"/>
    <col min="10760" max="10760" width="19.7109375" style="5" customWidth="1"/>
    <col min="10761" max="10761" width="14.7109375" style="5" customWidth="1"/>
    <col min="10762" max="10762" width="19.7109375" style="5" customWidth="1"/>
    <col min="10763" max="11008" width="11.5703125" style="5"/>
    <col min="11009" max="11009" width="3.7109375" style="5" customWidth="1"/>
    <col min="11010" max="11010" width="10.7109375" style="5" customWidth="1"/>
    <col min="11011" max="11011" width="15.5703125" style="5" customWidth="1"/>
    <col min="11012" max="11012" width="4.42578125" style="5" customWidth="1"/>
    <col min="11013" max="11015" width="9.28515625" style="5" customWidth="1"/>
    <col min="11016" max="11016" width="19.7109375" style="5" customWidth="1"/>
    <col min="11017" max="11017" width="14.7109375" style="5" customWidth="1"/>
    <col min="11018" max="11018" width="19.7109375" style="5" customWidth="1"/>
    <col min="11019" max="11264" width="11.5703125" style="5"/>
    <col min="11265" max="11265" width="3.7109375" style="5" customWidth="1"/>
    <col min="11266" max="11266" width="10.7109375" style="5" customWidth="1"/>
    <col min="11267" max="11267" width="15.5703125" style="5" customWidth="1"/>
    <col min="11268" max="11268" width="4.42578125" style="5" customWidth="1"/>
    <col min="11269" max="11271" width="9.28515625" style="5" customWidth="1"/>
    <col min="11272" max="11272" width="19.7109375" style="5" customWidth="1"/>
    <col min="11273" max="11273" width="14.7109375" style="5" customWidth="1"/>
    <col min="11274" max="11274" width="19.7109375" style="5" customWidth="1"/>
    <col min="11275" max="11520" width="11.5703125" style="5"/>
    <col min="11521" max="11521" width="3.7109375" style="5" customWidth="1"/>
    <col min="11522" max="11522" width="10.7109375" style="5" customWidth="1"/>
    <col min="11523" max="11523" width="15.5703125" style="5" customWidth="1"/>
    <col min="11524" max="11524" width="4.42578125" style="5" customWidth="1"/>
    <col min="11525" max="11527" width="9.28515625" style="5" customWidth="1"/>
    <col min="11528" max="11528" width="19.7109375" style="5" customWidth="1"/>
    <col min="11529" max="11529" width="14.7109375" style="5" customWidth="1"/>
    <col min="11530" max="11530" width="19.7109375" style="5" customWidth="1"/>
    <col min="11531" max="11776" width="11.5703125" style="5"/>
    <col min="11777" max="11777" width="3.7109375" style="5" customWidth="1"/>
    <col min="11778" max="11778" width="10.7109375" style="5" customWidth="1"/>
    <col min="11779" max="11779" width="15.5703125" style="5" customWidth="1"/>
    <col min="11780" max="11780" width="4.42578125" style="5" customWidth="1"/>
    <col min="11781" max="11783" width="9.28515625" style="5" customWidth="1"/>
    <col min="11784" max="11784" width="19.7109375" style="5" customWidth="1"/>
    <col min="11785" max="11785" width="14.7109375" style="5" customWidth="1"/>
    <col min="11786" max="11786" width="19.7109375" style="5" customWidth="1"/>
    <col min="11787" max="12032" width="11.5703125" style="5"/>
    <col min="12033" max="12033" width="3.7109375" style="5" customWidth="1"/>
    <col min="12034" max="12034" width="10.7109375" style="5" customWidth="1"/>
    <col min="12035" max="12035" width="15.5703125" style="5" customWidth="1"/>
    <col min="12036" max="12036" width="4.42578125" style="5" customWidth="1"/>
    <col min="12037" max="12039" width="9.28515625" style="5" customWidth="1"/>
    <col min="12040" max="12040" width="19.7109375" style="5" customWidth="1"/>
    <col min="12041" max="12041" width="14.7109375" style="5" customWidth="1"/>
    <col min="12042" max="12042" width="19.7109375" style="5" customWidth="1"/>
    <col min="12043" max="12288" width="11.5703125" style="5"/>
    <col min="12289" max="12289" width="3.7109375" style="5" customWidth="1"/>
    <col min="12290" max="12290" width="10.7109375" style="5" customWidth="1"/>
    <col min="12291" max="12291" width="15.5703125" style="5" customWidth="1"/>
    <col min="12292" max="12292" width="4.42578125" style="5" customWidth="1"/>
    <col min="12293" max="12295" width="9.28515625" style="5" customWidth="1"/>
    <col min="12296" max="12296" width="19.7109375" style="5" customWidth="1"/>
    <col min="12297" max="12297" width="14.7109375" style="5" customWidth="1"/>
    <col min="12298" max="12298" width="19.7109375" style="5" customWidth="1"/>
    <col min="12299" max="12544" width="11.5703125" style="5"/>
    <col min="12545" max="12545" width="3.7109375" style="5" customWidth="1"/>
    <col min="12546" max="12546" width="10.7109375" style="5" customWidth="1"/>
    <col min="12547" max="12547" width="15.5703125" style="5" customWidth="1"/>
    <col min="12548" max="12548" width="4.42578125" style="5" customWidth="1"/>
    <col min="12549" max="12551" width="9.28515625" style="5" customWidth="1"/>
    <col min="12552" max="12552" width="19.7109375" style="5" customWidth="1"/>
    <col min="12553" max="12553" width="14.7109375" style="5" customWidth="1"/>
    <col min="12554" max="12554" width="19.7109375" style="5" customWidth="1"/>
    <col min="12555" max="12800" width="11.5703125" style="5"/>
    <col min="12801" max="12801" width="3.7109375" style="5" customWidth="1"/>
    <col min="12802" max="12802" width="10.7109375" style="5" customWidth="1"/>
    <col min="12803" max="12803" width="15.5703125" style="5" customWidth="1"/>
    <col min="12804" max="12804" width="4.42578125" style="5" customWidth="1"/>
    <col min="12805" max="12807" width="9.28515625" style="5" customWidth="1"/>
    <col min="12808" max="12808" width="19.7109375" style="5" customWidth="1"/>
    <col min="12809" max="12809" width="14.7109375" style="5" customWidth="1"/>
    <col min="12810" max="12810" width="19.7109375" style="5" customWidth="1"/>
    <col min="12811" max="13056" width="11.5703125" style="5"/>
    <col min="13057" max="13057" width="3.7109375" style="5" customWidth="1"/>
    <col min="13058" max="13058" width="10.7109375" style="5" customWidth="1"/>
    <col min="13059" max="13059" width="15.5703125" style="5" customWidth="1"/>
    <col min="13060" max="13060" width="4.42578125" style="5" customWidth="1"/>
    <col min="13061" max="13063" width="9.28515625" style="5" customWidth="1"/>
    <col min="13064" max="13064" width="19.7109375" style="5" customWidth="1"/>
    <col min="13065" max="13065" width="14.7109375" style="5" customWidth="1"/>
    <col min="13066" max="13066" width="19.7109375" style="5" customWidth="1"/>
    <col min="13067" max="13312" width="11.5703125" style="5"/>
    <col min="13313" max="13313" width="3.7109375" style="5" customWidth="1"/>
    <col min="13314" max="13314" width="10.7109375" style="5" customWidth="1"/>
    <col min="13315" max="13315" width="15.5703125" style="5" customWidth="1"/>
    <col min="13316" max="13316" width="4.42578125" style="5" customWidth="1"/>
    <col min="13317" max="13319" width="9.28515625" style="5" customWidth="1"/>
    <col min="13320" max="13320" width="19.7109375" style="5" customWidth="1"/>
    <col min="13321" max="13321" width="14.7109375" style="5" customWidth="1"/>
    <col min="13322" max="13322" width="19.7109375" style="5" customWidth="1"/>
    <col min="13323" max="13568" width="11.5703125" style="5"/>
    <col min="13569" max="13569" width="3.7109375" style="5" customWidth="1"/>
    <col min="13570" max="13570" width="10.7109375" style="5" customWidth="1"/>
    <col min="13571" max="13571" width="15.5703125" style="5" customWidth="1"/>
    <col min="13572" max="13572" width="4.42578125" style="5" customWidth="1"/>
    <col min="13573" max="13575" width="9.28515625" style="5" customWidth="1"/>
    <col min="13576" max="13576" width="19.7109375" style="5" customWidth="1"/>
    <col min="13577" max="13577" width="14.7109375" style="5" customWidth="1"/>
    <col min="13578" max="13578" width="19.7109375" style="5" customWidth="1"/>
    <col min="13579" max="13824" width="11.5703125" style="5"/>
    <col min="13825" max="13825" width="3.7109375" style="5" customWidth="1"/>
    <col min="13826" max="13826" width="10.7109375" style="5" customWidth="1"/>
    <col min="13827" max="13827" width="15.5703125" style="5" customWidth="1"/>
    <col min="13828" max="13828" width="4.42578125" style="5" customWidth="1"/>
    <col min="13829" max="13831" width="9.28515625" style="5" customWidth="1"/>
    <col min="13832" max="13832" width="19.7109375" style="5" customWidth="1"/>
    <col min="13833" max="13833" width="14.7109375" style="5" customWidth="1"/>
    <col min="13834" max="13834" width="19.7109375" style="5" customWidth="1"/>
    <col min="13835" max="14080" width="11.5703125" style="5"/>
    <col min="14081" max="14081" width="3.7109375" style="5" customWidth="1"/>
    <col min="14082" max="14082" width="10.7109375" style="5" customWidth="1"/>
    <col min="14083" max="14083" width="15.5703125" style="5" customWidth="1"/>
    <col min="14084" max="14084" width="4.42578125" style="5" customWidth="1"/>
    <col min="14085" max="14087" width="9.28515625" style="5" customWidth="1"/>
    <col min="14088" max="14088" width="19.7109375" style="5" customWidth="1"/>
    <col min="14089" max="14089" width="14.7109375" style="5" customWidth="1"/>
    <col min="14090" max="14090" width="19.7109375" style="5" customWidth="1"/>
    <col min="14091" max="14336" width="11.5703125" style="5"/>
    <col min="14337" max="14337" width="3.7109375" style="5" customWidth="1"/>
    <col min="14338" max="14338" width="10.7109375" style="5" customWidth="1"/>
    <col min="14339" max="14339" width="15.5703125" style="5" customWidth="1"/>
    <col min="14340" max="14340" width="4.42578125" style="5" customWidth="1"/>
    <col min="14341" max="14343" width="9.28515625" style="5" customWidth="1"/>
    <col min="14344" max="14344" width="19.7109375" style="5" customWidth="1"/>
    <col min="14345" max="14345" width="14.7109375" style="5" customWidth="1"/>
    <col min="14346" max="14346" width="19.7109375" style="5" customWidth="1"/>
    <col min="14347" max="14592" width="11.5703125" style="5"/>
    <col min="14593" max="14593" width="3.7109375" style="5" customWidth="1"/>
    <col min="14594" max="14594" width="10.7109375" style="5" customWidth="1"/>
    <col min="14595" max="14595" width="15.5703125" style="5" customWidth="1"/>
    <col min="14596" max="14596" width="4.42578125" style="5" customWidth="1"/>
    <col min="14597" max="14599" width="9.28515625" style="5" customWidth="1"/>
    <col min="14600" max="14600" width="19.7109375" style="5" customWidth="1"/>
    <col min="14601" max="14601" width="14.7109375" style="5" customWidth="1"/>
    <col min="14602" max="14602" width="19.7109375" style="5" customWidth="1"/>
    <col min="14603" max="14848" width="11.5703125" style="5"/>
    <col min="14849" max="14849" width="3.7109375" style="5" customWidth="1"/>
    <col min="14850" max="14850" width="10.7109375" style="5" customWidth="1"/>
    <col min="14851" max="14851" width="15.5703125" style="5" customWidth="1"/>
    <col min="14852" max="14852" width="4.42578125" style="5" customWidth="1"/>
    <col min="14853" max="14855" width="9.28515625" style="5" customWidth="1"/>
    <col min="14856" max="14856" width="19.7109375" style="5" customWidth="1"/>
    <col min="14857" max="14857" width="14.7109375" style="5" customWidth="1"/>
    <col min="14858" max="14858" width="19.7109375" style="5" customWidth="1"/>
    <col min="14859" max="15104" width="11.5703125" style="5"/>
    <col min="15105" max="15105" width="3.7109375" style="5" customWidth="1"/>
    <col min="15106" max="15106" width="10.7109375" style="5" customWidth="1"/>
    <col min="15107" max="15107" width="15.5703125" style="5" customWidth="1"/>
    <col min="15108" max="15108" width="4.42578125" style="5" customWidth="1"/>
    <col min="15109" max="15111" width="9.28515625" style="5" customWidth="1"/>
    <col min="15112" max="15112" width="19.7109375" style="5" customWidth="1"/>
    <col min="15113" max="15113" width="14.7109375" style="5" customWidth="1"/>
    <col min="15114" max="15114" width="19.7109375" style="5" customWidth="1"/>
    <col min="15115" max="15360" width="11.5703125" style="5"/>
    <col min="15361" max="15361" width="3.7109375" style="5" customWidth="1"/>
    <col min="15362" max="15362" width="10.7109375" style="5" customWidth="1"/>
    <col min="15363" max="15363" width="15.5703125" style="5" customWidth="1"/>
    <col min="15364" max="15364" width="4.42578125" style="5" customWidth="1"/>
    <col min="15365" max="15367" width="9.28515625" style="5" customWidth="1"/>
    <col min="15368" max="15368" width="19.7109375" style="5" customWidth="1"/>
    <col min="15369" max="15369" width="14.7109375" style="5" customWidth="1"/>
    <col min="15370" max="15370" width="19.7109375" style="5" customWidth="1"/>
    <col min="15371" max="15616" width="11.5703125" style="5"/>
    <col min="15617" max="15617" width="3.7109375" style="5" customWidth="1"/>
    <col min="15618" max="15618" width="10.7109375" style="5" customWidth="1"/>
    <col min="15619" max="15619" width="15.5703125" style="5" customWidth="1"/>
    <col min="15620" max="15620" width="4.42578125" style="5" customWidth="1"/>
    <col min="15621" max="15623" width="9.28515625" style="5" customWidth="1"/>
    <col min="15624" max="15624" width="19.7109375" style="5" customWidth="1"/>
    <col min="15625" max="15625" width="14.7109375" style="5" customWidth="1"/>
    <col min="15626" max="15626" width="19.7109375" style="5" customWidth="1"/>
    <col min="15627" max="15872" width="11.5703125" style="5"/>
    <col min="15873" max="15873" width="3.7109375" style="5" customWidth="1"/>
    <col min="15874" max="15874" width="10.7109375" style="5" customWidth="1"/>
    <col min="15875" max="15875" width="15.5703125" style="5" customWidth="1"/>
    <col min="15876" max="15876" width="4.42578125" style="5" customWidth="1"/>
    <col min="15877" max="15879" width="9.28515625" style="5" customWidth="1"/>
    <col min="15880" max="15880" width="19.7109375" style="5" customWidth="1"/>
    <col min="15881" max="15881" width="14.7109375" style="5" customWidth="1"/>
    <col min="15882" max="15882" width="19.7109375" style="5" customWidth="1"/>
    <col min="15883" max="16128" width="11.5703125" style="5"/>
    <col min="16129" max="16129" width="3.7109375" style="5" customWidth="1"/>
    <col min="16130" max="16130" width="10.7109375" style="5" customWidth="1"/>
    <col min="16131" max="16131" width="15.5703125" style="5" customWidth="1"/>
    <col min="16132" max="16132" width="4.42578125" style="5" customWidth="1"/>
    <col min="16133" max="16135" width="9.28515625" style="5" customWidth="1"/>
    <col min="16136" max="16136" width="19.7109375" style="5" customWidth="1"/>
    <col min="16137" max="16137" width="14.7109375" style="5" customWidth="1"/>
    <col min="16138" max="16138" width="19.7109375" style="5" customWidth="1"/>
    <col min="16139" max="16384" width="11.5703125" style="5"/>
  </cols>
  <sheetData>
    <row r="1" spans="1:10" ht="25.5" customHeight="1" x14ac:dyDescent="0.2">
      <c r="A1" s="419" t="s">
        <v>1161</v>
      </c>
      <c r="B1" s="419"/>
      <c r="C1" s="419"/>
      <c r="D1" s="381" t="s">
        <v>1190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1196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80.25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12.75" customHeight="1" x14ac:dyDescent="0.2">
      <c r="A8" s="384" t="s">
        <v>1191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  <c r="J17" s="5" t="s">
        <v>1324</v>
      </c>
    </row>
    <row r="18" spans="1:10" ht="94.35" customHeight="1" x14ac:dyDescent="0.2">
      <c r="A18" s="11" t="s">
        <v>10</v>
      </c>
      <c r="B18" s="395" t="s">
        <v>1192</v>
      </c>
      <c r="C18" s="396"/>
      <c r="D18" s="392" t="s">
        <v>1193</v>
      </c>
      <c r="E18" s="394"/>
      <c r="F18" s="394"/>
      <c r="G18" s="393"/>
      <c r="H18" s="13" t="s">
        <v>1194</v>
      </c>
      <c r="I18" s="174">
        <f>ROUND(32.67  * 2 * 1,3)</f>
        <v>65.34</v>
      </c>
    </row>
    <row r="19" spans="1:10" ht="12.75" customHeight="1" x14ac:dyDescent="0.2">
      <c r="A19" s="51" t="s">
        <v>11</v>
      </c>
      <c r="B19" s="404" t="s">
        <v>43</v>
      </c>
      <c r="C19" s="405"/>
      <c r="D19" s="404"/>
      <c r="E19" s="406"/>
      <c r="F19" s="406"/>
      <c r="G19" s="405"/>
      <c r="H19" s="170"/>
      <c r="I19" s="171">
        <f>ROUND(($I$18),3)</f>
        <v>65.34</v>
      </c>
    </row>
    <row r="20" spans="1:10" ht="38.25" customHeight="1" x14ac:dyDescent="0.2">
      <c r="A20" s="11" t="s">
        <v>13</v>
      </c>
      <c r="B20" s="392" t="s">
        <v>1063</v>
      </c>
      <c r="C20" s="393"/>
      <c r="D20" s="392" t="s">
        <v>1064</v>
      </c>
      <c r="E20" s="394"/>
      <c r="F20" s="394"/>
      <c r="G20" s="393"/>
      <c r="H20" s="13" t="s">
        <v>1195</v>
      </c>
      <c r="I20" s="174">
        <f>ROUND(($I$19) * 5.94 * 1,3)</f>
        <v>388.12</v>
      </c>
    </row>
    <row r="21" spans="1:10" ht="12.75" customHeight="1" x14ac:dyDescent="0.2">
      <c r="A21" s="11" t="s">
        <v>15</v>
      </c>
      <c r="B21" s="395" t="s">
        <v>42</v>
      </c>
      <c r="C21" s="396"/>
      <c r="D21" s="395"/>
      <c r="E21" s="397"/>
      <c r="F21" s="397"/>
      <c r="G21" s="396"/>
      <c r="H21" s="10"/>
      <c r="I21" s="172">
        <f>ROUND(($I$20),3)</f>
        <v>388.12</v>
      </c>
    </row>
    <row r="22" spans="1:10" ht="12.75" customHeight="1" x14ac:dyDescent="0.2"/>
    <row r="23" spans="1:10" s="8" customFormat="1" ht="24.95" customHeight="1" x14ac:dyDescent="0.2">
      <c r="A23" s="384" t="s">
        <v>725</v>
      </c>
      <c r="B23" s="384"/>
      <c r="C23" s="384"/>
      <c r="D23" s="384"/>
      <c r="E23" s="384"/>
      <c r="F23" s="384"/>
      <c r="G23" s="384"/>
      <c r="H23" s="384"/>
      <c r="I23" s="384"/>
    </row>
    <row r="24" spans="1:10" ht="12.75" customHeight="1" x14ac:dyDescent="0.2">
      <c r="D24" s="7"/>
    </row>
    <row r="25" spans="1:10" x14ac:dyDescent="0.2">
      <c r="A25" s="391" t="s">
        <v>0</v>
      </c>
      <c r="B25" s="391"/>
      <c r="C25" s="391"/>
      <c r="D25" s="391"/>
      <c r="E25" s="391"/>
      <c r="F25" s="391"/>
      <c r="G25" s="391"/>
      <c r="H25" s="391"/>
      <c r="I25" s="391"/>
    </row>
    <row r="26" spans="1:10" x14ac:dyDescent="0.2">
      <c r="A26" s="391"/>
      <c r="B26" s="391"/>
      <c r="C26" s="391"/>
      <c r="D26" s="391"/>
      <c r="E26" s="391"/>
      <c r="F26" s="391"/>
      <c r="G26" s="391"/>
      <c r="H26" s="391"/>
      <c r="I26" s="391"/>
    </row>
    <row r="27" spans="1:10" x14ac:dyDescent="0.2">
      <c r="D27" s="389" t="s">
        <v>2</v>
      </c>
      <c r="E27" s="390"/>
      <c r="F27" s="390"/>
      <c r="G27" s="390"/>
      <c r="H27" s="390"/>
      <c r="I27" s="390"/>
    </row>
    <row r="29" spans="1:10" x14ac:dyDescent="0.2">
      <c r="A29" s="391" t="s">
        <v>1</v>
      </c>
      <c r="B29" s="391"/>
      <c r="C29" s="391"/>
      <c r="D29" s="391"/>
      <c r="E29" s="391"/>
      <c r="F29" s="391"/>
      <c r="G29" s="391"/>
      <c r="H29" s="391"/>
      <c r="I29" s="391"/>
    </row>
    <row r="30" spans="1:10" x14ac:dyDescent="0.2">
      <c r="A30" s="391"/>
      <c r="B30" s="391"/>
      <c r="C30" s="391"/>
      <c r="D30" s="391"/>
      <c r="E30" s="391"/>
      <c r="F30" s="391"/>
      <c r="G30" s="391"/>
      <c r="H30" s="391"/>
      <c r="I30" s="391"/>
    </row>
    <row r="31" spans="1:10" x14ac:dyDescent="0.2">
      <c r="D31" s="389" t="s">
        <v>2</v>
      </c>
      <c r="E31" s="390"/>
      <c r="F31" s="390"/>
      <c r="G31" s="390"/>
      <c r="H31" s="390"/>
      <c r="I31" s="390"/>
    </row>
    <row r="33" spans="1:9" x14ac:dyDescent="0.2">
      <c r="A33" s="391" t="s">
        <v>5</v>
      </c>
      <c r="B33" s="391"/>
      <c r="C33" s="391"/>
      <c r="D33" s="391"/>
      <c r="E33" s="391"/>
      <c r="F33" s="391"/>
      <c r="G33" s="6" t="s">
        <v>7</v>
      </c>
      <c r="H33" s="391"/>
      <c r="I33" s="391"/>
    </row>
    <row r="34" spans="1:9" x14ac:dyDescent="0.2">
      <c r="D34" s="389" t="s">
        <v>40</v>
      </c>
      <c r="E34" s="390"/>
      <c r="F34" s="390"/>
      <c r="H34" s="389" t="s">
        <v>2</v>
      </c>
      <c r="I34" s="390"/>
    </row>
    <row r="36" spans="1:9" x14ac:dyDescent="0.2">
      <c r="A36" s="391" t="s">
        <v>3</v>
      </c>
      <c r="B36" s="391"/>
      <c r="C36" s="391"/>
      <c r="D36" s="391"/>
      <c r="E36" s="391"/>
      <c r="F36" s="391"/>
      <c r="G36" s="391"/>
      <c r="H36" s="391"/>
      <c r="I36" s="391"/>
    </row>
    <row r="37" spans="1:9" x14ac:dyDescent="0.2">
      <c r="D37" s="389" t="s">
        <v>6</v>
      </c>
      <c r="E37" s="390"/>
      <c r="F37" s="390"/>
      <c r="G37" s="390"/>
      <c r="H37" s="390"/>
      <c r="I37" s="390"/>
    </row>
  </sheetData>
  <mergeCells count="40">
    <mergeCell ref="A14:I14"/>
    <mergeCell ref="A1:C1"/>
    <mergeCell ref="D1:I1"/>
    <mergeCell ref="A3:I3"/>
    <mergeCell ref="A4:I4"/>
    <mergeCell ref="A6:B6"/>
    <mergeCell ref="C6:I6"/>
    <mergeCell ref="A8:I8"/>
    <mergeCell ref="A10:C10"/>
    <mergeCell ref="D10:I10"/>
    <mergeCell ref="A12:C12"/>
    <mergeCell ref="D12:I12"/>
    <mergeCell ref="B16:C16"/>
    <mergeCell ref="D16:G16"/>
    <mergeCell ref="B17:C17"/>
    <mergeCell ref="D17:G17"/>
    <mergeCell ref="B18:C18"/>
    <mergeCell ref="D18:G18"/>
    <mergeCell ref="A29:C30"/>
    <mergeCell ref="D29:I30"/>
    <mergeCell ref="B19:C19"/>
    <mergeCell ref="D19:G19"/>
    <mergeCell ref="B20:C20"/>
    <mergeCell ref="D20:G20"/>
    <mergeCell ref="B21:C21"/>
    <mergeCell ref="D21:G21"/>
    <mergeCell ref="A23:C23"/>
    <mergeCell ref="D23:I23"/>
    <mergeCell ref="A25:C26"/>
    <mergeCell ref="D25:I26"/>
    <mergeCell ref="D27:I27"/>
    <mergeCell ref="A36:C36"/>
    <mergeCell ref="D36:I36"/>
    <mergeCell ref="D37:I37"/>
    <mergeCell ref="D31:I31"/>
    <mergeCell ref="A33:C33"/>
    <mergeCell ref="D33:F33"/>
    <mergeCell ref="H33:I33"/>
    <mergeCell ref="D34:F34"/>
    <mergeCell ref="H34:I34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J96"/>
  <sheetViews>
    <sheetView view="pageBreakPreview" zoomScale="60" zoomScaleNormal="100" workbookViewId="0">
      <selection activeCell="J80" sqref="J77:J80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35.5703125" style="6" customWidth="1"/>
    <col min="4" max="4" width="4.42578125" style="6" customWidth="1"/>
    <col min="5" max="6" width="9.28515625" style="6" customWidth="1"/>
    <col min="7" max="7" width="16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204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51" customHeight="1" x14ac:dyDescent="0.2">
      <c r="A6" s="386" t="s">
        <v>51</v>
      </c>
      <c r="B6" s="386"/>
      <c r="C6" s="384" t="s">
        <v>203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36.75" customHeight="1" x14ac:dyDescent="0.2">
      <c r="A8" s="384" t="s">
        <v>202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39.6" customHeight="1" x14ac:dyDescent="0.2">
      <c r="A18" s="11" t="s">
        <v>10</v>
      </c>
      <c r="B18" s="395" t="s">
        <v>78</v>
      </c>
      <c r="C18" s="396"/>
      <c r="D18" s="395" t="s">
        <v>269</v>
      </c>
      <c r="E18" s="397"/>
      <c r="F18" s="397"/>
      <c r="G18" s="396"/>
      <c r="H18" s="10"/>
      <c r="I18" s="35"/>
    </row>
    <row r="19" spans="1:9" ht="121.5" customHeight="1" x14ac:dyDescent="0.2">
      <c r="A19" s="24" t="s">
        <v>88</v>
      </c>
      <c r="B19" s="413" t="s">
        <v>237</v>
      </c>
      <c r="C19" s="414"/>
      <c r="D19" s="415" t="s">
        <v>233</v>
      </c>
      <c r="E19" s="416"/>
      <c r="F19" s="416"/>
      <c r="G19" s="417"/>
      <c r="H19" s="23" t="s">
        <v>1423</v>
      </c>
      <c r="I19" s="22">
        <f>(0+98560*5.49)*0.4*5.94*1.1*1.4*(0.76*1.29+0.24)</f>
        <v>2416252.9395400709</v>
      </c>
    </row>
    <row r="20" spans="1:9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9" ht="26.45" customHeight="1" x14ac:dyDescent="0.2">
      <c r="A21" s="19" t="s">
        <v>39</v>
      </c>
      <c r="B21" s="421"/>
      <c r="C21" s="422"/>
      <c r="D21" s="421" t="s">
        <v>58</v>
      </c>
      <c r="E21" s="384"/>
      <c r="F21" s="384"/>
      <c r="G21" s="422"/>
      <c r="H21" s="18"/>
      <c r="I21" s="17"/>
    </row>
    <row r="22" spans="1:9" ht="132" hidden="1" customHeight="1" x14ac:dyDescent="0.2">
      <c r="A22" s="19" t="s">
        <v>39</v>
      </c>
      <c r="B22" s="421"/>
      <c r="C22" s="422"/>
      <c r="D22" s="421" t="s">
        <v>192</v>
      </c>
      <c r="E22" s="384"/>
      <c r="F22" s="384"/>
      <c r="G22" s="422"/>
      <c r="H22" s="18"/>
      <c r="I22" s="17"/>
    </row>
    <row r="23" spans="1:9" ht="54.75" customHeight="1" x14ac:dyDescent="0.2">
      <c r="A23" s="19"/>
      <c r="B23" s="425"/>
      <c r="C23" s="426"/>
      <c r="D23" s="421" t="s">
        <v>1074</v>
      </c>
      <c r="E23" s="384"/>
      <c r="F23" s="384"/>
      <c r="G23" s="422"/>
      <c r="H23" s="18"/>
      <c r="I23" s="17"/>
    </row>
    <row r="24" spans="1:9" ht="129" customHeight="1" x14ac:dyDescent="0.2">
      <c r="A24" s="19" t="s">
        <v>39</v>
      </c>
      <c r="B24" s="421"/>
      <c r="C24" s="422"/>
      <c r="D24" s="421" t="s">
        <v>571</v>
      </c>
      <c r="E24" s="384"/>
      <c r="F24" s="384"/>
      <c r="G24" s="422"/>
      <c r="H24" s="18"/>
      <c r="I24" s="17"/>
    </row>
    <row r="25" spans="1:9" ht="16.149999999999999" hidden="1" customHeight="1" x14ac:dyDescent="0.2">
      <c r="A25" s="19" t="s">
        <v>39</v>
      </c>
      <c r="B25" s="423"/>
      <c r="C25" s="424"/>
      <c r="D25" s="423" t="s">
        <v>99</v>
      </c>
      <c r="E25" s="418"/>
      <c r="F25" s="418"/>
      <c r="G25" s="424"/>
      <c r="H25" s="21"/>
      <c r="I25" s="20"/>
    </row>
    <row r="26" spans="1:9" ht="26.45" hidden="1" customHeight="1" x14ac:dyDescent="0.2">
      <c r="A26" s="19" t="s">
        <v>39</v>
      </c>
      <c r="B26" s="421"/>
      <c r="C26" s="422"/>
      <c r="D26" s="421" t="s">
        <v>201</v>
      </c>
      <c r="E26" s="384"/>
      <c r="F26" s="384"/>
      <c r="G26" s="422"/>
      <c r="H26" s="18"/>
      <c r="I26" s="17"/>
    </row>
    <row r="27" spans="1:9" ht="26.45" hidden="1" customHeight="1" x14ac:dyDescent="0.2">
      <c r="A27" s="19" t="s">
        <v>39</v>
      </c>
      <c r="B27" s="421"/>
      <c r="C27" s="422"/>
      <c r="D27" s="421" t="s">
        <v>200</v>
      </c>
      <c r="E27" s="384"/>
      <c r="F27" s="384"/>
      <c r="G27" s="422"/>
      <c r="H27" s="18"/>
      <c r="I27" s="17"/>
    </row>
    <row r="28" spans="1:9" ht="66" hidden="1" customHeight="1" x14ac:dyDescent="0.2">
      <c r="A28" s="19" t="s">
        <v>39</v>
      </c>
      <c r="B28" s="421"/>
      <c r="C28" s="422"/>
      <c r="D28" s="421" t="s">
        <v>199</v>
      </c>
      <c r="E28" s="384"/>
      <c r="F28" s="384"/>
      <c r="G28" s="422"/>
      <c r="H28" s="18"/>
      <c r="I28" s="17"/>
    </row>
    <row r="29" spans="1:9" ht="39.6" hidden="1" customHeight="1" x14ac:dyDescent="0.2">
      <c r="A29" s="19" t="s">
        <v>39</v>
      </c>
      <c r="B29" s="421"/>
      <c r="C29" s="422"/>
      <c r="D29" s="421" t="s">
        <v>198</v>
      </c>
      <c r="E29" s="384"/>
      <c r="F29" s="384"/>
      <c r="G29" s="422"/>
      <c r="H29" s="18"/>
      <c r="I29" s="17"/>
    </row>
    <row r="30" spans="1:9" ht="26.45" hidden="1" customHeight="1" x14ac:dyDescent="0.2">
      <c r="A30" s="19" t="s">
        <v>39</v>
      </c>
      <c r="B30" s="421"/>
      <c r="C30" s="422"/>
      <c r="D30" s="421" t="s">
        <v>197</v>
      </c>
      <c r="E30" s="384"/>
      <c r="F30" s="384"/>
      <c r="G30" s="422"/>
      <c r="H30" s="18"/>
      <c r="I30" s="17"/>
    </row>
    <row r="31" spans="1:9" ht="39.6" hidden="1" customHeight="1" x14ac:dyDescent="0.2">
      <c r="A31" s="19" t="s">
        <v>39</v>
      </c>
      <c r="B31" s="421"/>
      <c r="C31" s="422"/>
      <c r="D31" s="421" t="s">
        <v>196</v>
      </c>
      <c r="E31" s="384"/>
      <c r="F31" s="384"/>
      <c r="G31" s="422"/>
      <c r="H31" s="18"/>
      <c r="I31" s="17"/>
    </row>
    <row r="32" spans="1:9" ht="26.45" hidden="1" customHeight="1" x14ac:dyDescent="0.2">
      <c r="A32" s="19" t="s">
        <v>39</v>
      </c>
      <c r="B32" s="421"/>
      <c r="C32" s="422"/>
      <c r="D32" s="421" t="s">
        <v>195</v>
      </c>
      <c r="E32" s="384"/>
      <c r="F32" s="384"/>
      <c r="G32" s="422"/>
      <c r="H32" s="18"/>
      <c r="I32" s="17"/>
    </row>
    <row r="33" spans="1:9" ht="39.6" hidden="1" customHeight="1" x14ac:dyDescent="0.2">
      <c r="A33" s="19" t="s">
        <v>39</v>
      </c>
      <c r="B33" s="421"/>
      <c r="C33" s="422"/>
      <c r="D33" s="421" t="s">
        <v>194</v>
      </c>
      <c r="E33" s="384"/>
      <c r="F33" s="384"/>
      <c r="G33" s="422"/>
      <c r="H33" s="18"/>
      <c r="I33" s="17"/>
    </row>
    <row r="34" spans="1:9" ht="152.25" customHeight="1" x14ac:dyDescent="0.2">
      <c r="A34" s="19"/>
      <c r="B34" s="425"/>
      <c r="C34" s="426"/>
      <c r="D34" s="421" t="s">
        <v>1421</v>
      </c>
      <c r="E34" s="384"/>
      <c r="F34" s="384"/>
      <c r="G34" s="422"/>
      <c r="H34" s="18"/>
      <c r="I34" s="17"/>
    </row>
    <row r="35" spans="1:9" ht="19.5" hidden="1" customHeight="1" x14ac:dyDescent="0.2">
      <c r="A35" s="16" t="s">
        <v>39</v>
      </c>
      <c r="B35" s="427"/>
      <c r="C35" s="428"/>
      <c r="D35" s="427" t="s">
        <v>193</v>
      </c>
      <c r="E35" s="429"/>
      <c r="F35" s="429"/>
      <c r="G35" s="428"/>
      <c r="H35" s="15"/>
      <c r="I35" s="14"/>
    </row>
    <row r="36" spans="1:9" ht="122.25" customHeight="1" x14ac:dyDescent="0.2">
      <c r="A36" s="24" t="s">
        <v>85</v>
      </c>
      <c r="B36" s="413" t="s">
        <v>238</v>
      </c>
      <c r="C36" s="414"/>
      <c r="D36" s="415" t="s">
        <v>234</v>
      </c>
      <c r="E36" s="416"/>
      <c r="F36" s="416"/>
      <c r="G36" s="417"/>
      <c r="H36" s="23" t="s">
        <v>1424</v>
      </c>
      <c r="I36" s="22">
        <f>(0+98560*4.71)*1*0.4*5.94*1.1*0.3*1.4*(0.76*1.29+0.24)</f>
        <v>621888.0516521167</v>
      </c>
    </row>
    <row r="37" spans="1:9" ht="16.149999999999999" customHeight="1" x14ac:dyDescent="0.2">
      <c r="A37" s="19" t="s">
        <v>39</v>
      </c>
      <c r="B37" s="423"/>
      <c r="C37" s="424"/>
      <c r="D37" s="423" t="s">
        <v>45</v>
      </c>
      <c r="E37" s="418"/>
      <c r="F37" s="418"/>
      <c r="G37" s="424"/>
      <c r="H37" s="21"/>
      <c r="I37" s="20"/>
    </row>
    <row r="38" spans="1:9" ht="26.45" customHeight="1" x14ac:dyDescent="0.2">
      <c r="A38" s="19" t="s">
        <v>39</v>
      </c>
      <c r="B38" s="421"/>
      <c r="C38" s="422"/>
      <c r="D38" s="421" t="s">
        <v>58</v>
      </c>
      <c r="E38" s="384"/>
      <c r="F38" s="384"/>
      <c r="G38" s="422"/>
      <c r="H38" s="18"/>
      <c r="I38" s="17"/>
    </row>
    <row r="39" spans="1:9" ht="132" hidden="1" customHeight="1" x14ac:dyDescent="0.2">
      <c r="A39" s="19" t="s">
        <v>39</v>
      </c>
      <c r="B39" s="421"/>
      <c r="C39" s="422"/>
      <c r="D39" s="421" t="s">
        <v>192</v>
      </c>
      <c r="E39" s="384"/>
      <c r="F39" s="384"/>
      <c r="G39" s="422"/>
      <c r="H39" s="18"/>
      <c r="I39" s="17"/>
    </row>
    <row r="40" spans="1:9" ht="54.75" customHeight="1" x14ac:dyDescent="0.2">
      <c r="A40" s="19"/>
      <c r="B40" s="425"/>
      <c r="C40" s="426"/>
      <c r="D40" s="421" t="s">
        <v>1074</v>
      </c>
      <c r="E40" s="384"/>
      <c r="F40" s="384"/>
      <c r="G40" s="422"/>
      <c r="H40" s="18"/>
      <c r="I40" s="17"/>
    </row>
    <row r="41" spans="1:9" ht="79.150000000000006" customHeight="1" x14ac:dyDescent="0.2">
      <c r="A41" s="19" t="s">
        <v>39</v>
      </c>
      <c r="B41" s="421"/>
      <c r="C41" s="422"/>
      <c r="D41" s="421" t="s">
        <v>191</v>
      </c>
      <c r="E41" s="384"/>
      <c r="F41" s="384"/>
      <c r="G41" s="422"/>
      <c r="H41" s="18"/>
      <c r="I41" s="17"/>
    </row>
    <row r="42" spans="1:9" ht="112.9" customHeight="1" x14ac:dyDescent="0.2">
      <c r="A42" s="19" t="s">
        <v>39</v>
      </c>
      <c r="B42" s="421"/>
      <c r="C42" s="422"/>
      <c r="D42" s="421" t="s">
        <v>572</v>
      </c>
      <c r="E42" s="384"/>
      <c r="F42" s="384"/>
      <c r="G42" s="422"/>
      <c r="H42" s="18"/>
      <c r="I42" s="17"/>
    </row>
    <row r="43" spans="1:9" ht="16.149999999999999" hidden="1" customHeight="1" x14ac:dyDescent="0.2">
      <c r="A43" s="19" t="s">
        <v>39</v>
      </c>
      <c r="B43" s="423"/>
      <c r="C43" s="424"/>
      <c r="D43" s="423" t="s">
        <v>99</v>
      </c>
      <c r="E43" s="418"/>
      <c r="F43" s="418"/>
      <c r="G43" s="424"/>
      <c r="H43" s="21"/>
      <c r="I43" s="20"/>
    </row>
    <row r="44" spans="1:9" ht="26.45" hidden="1" customHeight="1" x14ac:dyDescent="0.2">
      <c r="A44" s="19" t="s">
        <v>39</v>
      </c>
      <c r="B44" s="421"/>
      <c r="C44" s="422"/>
      <c r="D44" s="421" t="s">
        <v>190</v>
      </c>
      <c r="E44" s="384"/>
      <c r="F44" s="384"/>
      <c r="G44" s="422"/>
      <c r="H44" s="18"/>
      <c r="I44" s="17"/>
    </row>
    <row r="45" spans="1:9" ht="66" hidden="1" customHeight="1" x14ac:dyDescent="0.2">
      <c r="A45" s="19" t="s">
        <v>39</v>
      </c>
      <c r="B45" s="421"/>
      <c r="C45" s="422"/>
      <c r="D45" s="421" t="s">
        <v>189</v>
      </c>
      <c r="E45" s="384"/>
      <c r="F45" s="384"/>
      <c r="G45" s="422"/>
      <c r="H45" s="18"/>
      <c r="I45" s="17"/>
    </row>
    <row r="46" spans="1:9" ht="39.6" hidden="1" customHeight="1" x14ac:dyDescent="0.2">
      <c r="A46" s="19" t="s">
        <v>39</v>
      </c>
      <c r="B46" s="421"/>
      <c r="C46" s="422"/>
      <c r="D46" s="421" t="s">
        <v>188</v>
      </c>
      <c r="E46" s="384"/>
      <c r="F46" s="384"/>
      <c r="G46" s="422"/>
      <c r="H46" s="18"/>
      <c r="I46" s="17"/>
    </row>
    <row r="47" spans="1:9" ht="26.45" hidden="1" customHeight="1" x14ac:dyDescent="0.2">
      <c r="A47" s="19" t="s">
        <v>39</v>
      </c>
      <c r="B47" s="421"/>
      <c r="C47" s="422"/>
      <c r="D47" s="421" t="s">
        <v>187</v>
      </c>
      <c r="E47" s="384"/>
      <c r="F47" s="384"/>
      <c r="G47" s="422"/>
      <c r="H47" s="18"/>
      <c r="I47" s="17"/>
    </row>
    <row r="48" spans="1:9" ht="39.6" hidden="1" customHeight="1" x14ac:dyDescent="0.2">
      <c r="A48" s="19" t="s">
        <v>39</v>
      </c>
      <c r="B48" s="421"/>
      <c r="C48" s="422"/>
      <c r="D48" s="421" t="s">
        <v>186</v>
      </c>
      <c r="E48" s="384"/>
      <c r="F48" s="384"/>
      <c r="G48" s="422"/>
      <c r="H48" s="18"/>
      <c r="I48" s="17"/>
    </row>
    <row r="49" spans="1:9" ht="39.6" hidden="1" customHeight="1" x14ac:dyDescent="0.2">
      <c r="A49" s="19" t="s">
        <v>39</v>
      </c>
      <c r="B49" s="421"/>
      <c r="C49" s="422"/>
      <c r="D49" s="421" t="s">
        <v>185</v>
      </c>
      <c r="E49" s="384"/>
      <c r="F49" s="384"/>
      <c r="G49" s="422"/>
      <c r="H49" s="18"/>
      <c r="I49" s="17"/>
    </row>
    <row r="50" spans="1:9" ht="13.15" hidden="1" customHeight="1" x14ac:dyDescent="0.2">
      <c r="A50" s="16" t="s">
        <v>39</v>
      </c>
      <c r="B50" s="421"/>
      <c r="C50" s="422"/>
      <c r="D50" s="421" t="s">
        <v>184</v>
      </c>
      <c r="E50" s="384"/>
      <c r="F50" s="384"/>
      <c r="G50" s="422"/>
      <c r="H50" s="18"/>
      <c r="I50" s="17"/>
    </row>
    <row r="51" spans="1:9" ht="157.5" customHeight="1" x14ac:dyDescent="0.2">
      <c r="A51" s="19"/>
      <c r="B51" s="434"/>
      <c r="C51" s="435"/>
      <c r="D51" s="436" t="s">
        <v>1422</v>
      </c>
      <c r="E51" s="437"/>
      <c r="F51" s="437"/>
      <c r="G51" s="438"/>
      <c r="H51" s="52"/>
      <c r="I51" s="53"/>
    </row>
    <row r="52" spans="1:9" ht="13.15" hidden="1" customHeight="1" x14ac:dyDescent="0.2">
      <c r="A52" s="439" t="s">
        <v>83</v>
      </c>
      <c r="B52" s="413" t="s">
        <v>59</v>
      </c>
      <c r="C52" s="414"/>
      <c r="D52" s="415" t="s">
        <v>539</v>
      </c>
      <c r="E52" s="416"/>
      <c r="F52" s="416"/>
      <c r="G52" s="417"/>
      <c r="H52" s="430" t="s">
        <v>1257</v>
      </c>
      <c r="I52" s="432">
        <f>ROUND((53100 + 186* 2950) * 1 * 0.4 * 1.4 * 1.4,0)*1.4*1.11</f>
        <v>733194.29399999999</v>
      </c>
    </row>
    <row r="53" spans="1:9" ht="121.5" customHeight="1" x14ac:dyDescent="0.2">
      <c r="A53" s="440"/>
      <c r="B53" s="423"/>
      <c r="C53" s="424"/>
      <c r="D53" s="421"/>
      <c r="E53" s="384"/>
      <c r="F53" s="384"/>
      <c r="G53" s="422"/>
      <c r="H53" s="431"/>
      <c r="I53" s="433"/>
    </row>
    <row r="54" spans="1:9" ht="16.149999999999999" customHeight="1" x14ac:dyDescent="0.2">
      <c r="A54" s="19" t="s">
        <v>39</v>
      </c>
      <c r="B54" s="423"/>
      <c r="C54" s="424"/>
      <c r="D54" s="423" t="s">
        <v>45</v>
      </c>
      <c r="E54" s="418"/>
      <c r="F54" s="418"/>
      <c r="G54" s="424"/>
      <c r="H54" s="21"/>
      <c r="I54" s="20"/>
    </row>
    <row r="55" spans="1:9" ht="26.45" customHeight="1" x14ac:dyDescent="0.2">
      <c r="A55" s="19" t="s">
        <v>39</v>
      </c>
      <c r="B55" s="421"/>
      <c r="C55" s="422"/>
      <c r="D55" s="421" t="s">
        <v>58</v>
      </c>
      <c r="E55" s="384"/>
      <c r="F55" s="384"/>
      <c r="G55" s="422"/>
      <c r="H55" s="18"/>
      <c r="I55" s="17"/>
    </row>
    <row r="56" spans="1:9" ht="54.75" customHeight="1" x14ac:dyDescent="0.2">
      <c r="A56" s="19"/>
      <c r="B56" s="425"/>
      <c r="C56" s="426"/>
      <c r="D56" s="421" t="s">
        <v>1087</v>
      </c>
      <c r="E56" s="384"/>
      <c r="F56" s="384"/>
      <c r="G56" s="422"/>
      <c r="H56" s="18"/>
      <c r="I56" s="17"/>
    </row>
    <row r="57" spans="1:9" ht="97.5" customHeight="1" x14ac:dyDescent="0.2">
      <c r="A57" s="19"/>
      <c r="B57" s="425"/>
      <c r="C57" s="426"/>
      <c r="D57" s="421" t="s">
        <v>565</v>
      </c>
      <c r="E57" s="384"/>
      <c r="F57" s="384"/>
      <c r="G57" s="422"/>
      <c r="H57" s="18"/>
      <c r="I57" s="17"/>
    </row>
    <row r="58" spans="1:9" ht="62.25" customHeight="1" x14ac:dyDescent="0.2">
      <c r="A58" s="19" t="s">
        <v>39</v>
      </c>
      <c r="B58" s="421"/>
      <c r="C58" s="422"/>
      <c r="D58" s="421" t="s">
        <v>1089</v>
      </c>
      <c r="E58" s="384"/>
      <c r="F58" s="384"/>
      <c r="G58" s="422"/>
      <c r="H58" s="18"/>
      <c r="I58" s="17"/>
    </row>
    <row r="59" spans="1:9" ht="16.149999999999999" hidden="1" customHeight="1" x14ac:dyDescent="0.2">
      <c r="A59" s="19" t="s">
        <v>39</v>
      </c>
      <c r="B59" s="423"/>
      <c r="C59" s="424"/>
      <c r="D59" s="423" t="s">
        <v>99</v>
      </c>
      <c r="E59" s="418"/>
      <c r="F59" s="418"/>
      <c r="G59" s="424"/>
      <c r="H59" s="21"/>
      <c r="I59" s="20"/>
    </row>
    <row r="60" spans="1:9" ht="26.45" hidden="1" customHeight="1" x14ac:dyDescent="0.2">
      <c r="A60" s="19" t="s">
        <v>39</v>
      </c>
      <c r="B60" s="421"/>
      <c r="C60" s="422"/>
      <c r="D60" s="421" t="s">
        <v>183</v>
      </c>
      <c r="E60" s="384"/>
      <c r="F60" s="384"/>
      <c r="G60" s="422"/>
      <c r="H60" s="18"/>
      <c r="I60" s="17"/>
    </row>
    <row r="61" spans="1:9" ht="26.45" hidden="1" customHeight="1" x14ac:dyDescent="0.2">
      <c r="A61" s="19" t="s">
        <v>39</v>
      </c>
      <c r="B61" s="421"/>
      <c r="C61" s="422"/>
      <c r="D61" s="421" t="s">
        <v>182</v>
      </c>
      <c r="E61" s="384"/>
      <c r="F61" s="384"/>
      <c r="G61" s="422"/>
      <c r="H61" s="18"/>
      <c r="I61" s="17"/>
    </row>
    <row r="62" spans="1:9" ht="79.150000000000006" hidden="1" customHeight="1" x14ac:dyDescent="0.2">
      <c r="A62" s="19" t="s">
        <v>39</v>
      </c>
      <c r="B62" s="421"/>
      <c r="C62" s="422"/>
      <c r="D62" s="421" t="s">
        <v>181</v>
      </c>
      <c r="E62" s="384"/>
      <c r="F62" s="384"/>
      <c r="G62" s="422"/>
      <c r="H62" s="18"/>
      <c r="I62" s="17"/>
    </row>
    <row r="63" spans="1:9" ht="26.45" hidden="1" customHeight="1" x14ac:dyDescent="0.2">
      <c r="A63" s="19" t="s">
        <v>39</v>
      </c>
      <c r="B63" s="421"/>
      <c r="C63" s="422"/>
      <c r="D63" s="441" t="s">
        <v>180</v>
      </c>
      <c r="E63" s="442"/>
      <c r="F63" s="442"/>
      <c r="G63" s="443"/>
      <c r="H63" s="18"/>
      <c r="I63" s="17"/>
    </row>
    <row r="64" spans="1:9" ht="26.45" hidden="1" customHeight="1" x14ac:dyDescent="0.2">
      <c r="A64" s="19" t="s">
        <v>39</v>
      </c>
      <c r="B64" s="421"/>
      <c r="C64" s="422"/>
      <c r="D64" s="441" t="s">
        <v>179</v>
      </c>
      <c r="E64" s="442"/>
      <c r="F64" s="442"/>
      <c r="G64" s="443"/>
      <c r="H64" s="18"/>
      <c r="I64" s="17"/>
    </row>
    <row r="65" spans="1:10" ht="26.45" hidden="1" customHeight="1" x14ac:dyDescent="0.2">
      <c r="A65" s="19" t="s">
        <v>39</v>
      </c>
      <c r="B65" s="421"/>
      <c r="C65" s="422"/>
      <c r="D65" s="441" t="s">
        <v>178</v>
      </c>
      <c r="E65" s="442"/>
      <c r="F65" s="442"/>
      <c r="G65" s="443"/>
      <c r="H65" s="18"/>
      <c r="I65" s="17"/>
    </row>
    <row r="66" spans="1:10" ht="26.45" hidden="1" customHeight="1" x14ac:dyDescent="0.2">
      <c r="A66" s="19" t="s">
        <v>39</v>
      </c>
      <c r="B66" s="421"/>
      <c r="C66" s="422"/>
      <c r="D66" s="441" t="s">
        <v>177</v>
      </c>
      <c r="E66" s="442"/>
      <c r="F66" s="442"/>
      <c r="G66" s="443"/>
      <c r="H66" s="18"/>
      <c r="I66" s="17"/>
    </row>
    <row r="67" spans="1:10" ht="26.45" hidden="1" customHeight="1" x14ac:dyDescent="0.2">
      <c r="A67" s="19" t="s">
        <v>39</v>
      </c>
      <c r="B67" s="421"/>
      <c r="C67" s="422"/>
      <c r="D67" s="421" t="s">
        <v>176</v>
      </c>
      <c r="E67" s="384"/>
      <c r="F67" s="384"/>
      <c r="G67" s="422"/>
      <c r="H67" s="18"/>
      <c r="I67" s="17"/>
    </row>
    <row r="68" spans="1:10" ht="39.6" hidden="1" customHeight="1" x14ac:dyDescent="0.2">
      <c r="A68" s="19" t="s">
        <v>39</v>
      </c>
      <c r="B68" s="421"/>
      <c r="C68" s="422"/>
      <c r="D68" s="441" t="s">
        <v>175</v>
      </c>
      <c r="E68" s="442"/>
      <c r="F68" s="442"/>
      <c r="G68" s="443"/>
      <c r="H68" s="18"/>
      <c r="I68" s="17"/>
    </row>
    <row r="69" spans="1:10" ht="26.45" hidden="1" customHeight="1" x14ac:dyDescent="0.2">
      <c r="A69" s="19" t="s">
        <v>39</v>
      </c>
      <c r="B69" s="421"/>
      <c r="C69" s="422"/>
      <c r="D69" s="441" t="s">
        <v>174</v>
      </c>
      <c r="E69" s="442"/>
      <c r="F69" s="442"/>
      <c r="G69" s="443"/>
      <c r="H69" s="18"/>
      <c r="I69" s="17"/>
    </row>
    <row r="70" spans="1:10" ht="39.6" hidden="1" customHeight="1" x14ac:dyDescent="0.2">
      <c r="A70" s="19" t="s">
        <v>39</v>
      </c>
      <c r="B70" s="421"/>
      <c r="C70" s="422"/>
      <c r="D70" s="421" t="s">
        <v>173</v>
      </c>
      <c r="E70" s="384"/>
      <c r="F70" s="384"/>
      <c r="G70" s="422"/>
      <c r="H70" s="18"/>
      <c r="I70" s="17"/>
    </row>
    <row r="71" spans="1:10" ht="26.45" hidden="1" customHeight="1" x14ac:dyDescent="0.2">
      <c r="A71" s="19" t="s">
        <v>39</v>
      </c>
      <c r="B71" s="421"/>
      <c r="C71" s="422"/>
      <c r="D71" s="421" t="s">
        <v>172</v>
      </c>
      <c r="E71" s="384"/>
      <c r="F71" s="384"/>
      <c r="G71" s="422"/>
      <c r="H71" s="18"/>
      <c r="I71" s="17"/>
    </row>
    <row r="72" spans="1:10" ht="26.45" hidden="1" customHeight="1" x14ac:dyDescent="0.2">
      <c r="A72" s="19" t="s">
        <v>39</v>
      </c>
      <c r="B72" s="421"/>
      <c r="C72" s="422"/>
      <c r="D72" s="421" t="s">
        <v>171</v>
      </c>
      <c r="E72" s="384"/>
      <c r="F72" s="384"/>
      <c r="G72" s="422"/>
      <c r="H72" s="18"/>
      <c r="I72" s="17"/>
    </row>
    <row r="73" spans="1:10" ht="39.6" hidden="1" customHeight="1" x14ac:dyDescent="0.2">
      <c r="A73" s="19" t="s">
        <v>39</v>
      </c>
      <c r="B73" s="421"/>
      <c r="C73" s="422"/>
      <c r="D73" s="421" t="s">
        <v>170</v>
      </c>
      <c r="E73" s="384"/>
      <c r="F73" s="384"/>
      <c r="G73" s="422"/>
      <c r="H73" s="18"/>
      <c r="I73" s="17"/>
    </row>
    <row r="74" spans="1:10" ht="39.6" hidden="1" customHeight="1" x14ac:dyDescent="0.2">
      <c r="A74" s="19" t="s">
        <v>39</v>
      </c>
      <c r="B74" s="421"/>
      <c r="C74" s="422"/>
      <c r="D74" s="421" t="s">
        <v>169</v>
      </c>
      <c r="E74" s="384"/>
      <c r="F74" s="384"/>
      <c r="G74" s="422"/>
      <c r="H74" s="18"/>
      <c r="I74" s="17"/>
    </row>
    <row r="75" spans="1:10" ht="26.45" hidden="1" customHeight="1" x14ac:dyDescent="0.2">
      <c r="A75" s="16" t="s">
        <v>39</v>
      </c>
      <c r="B75" s="421"/>
      <c r="C75" s="422"/>
      <c r="D75" s="421" t="s">
        <v>168</v>
      </c>
      <c r="E75" s="384"/>
      <c r="F75" s="384"/>
      <c r="G75" s="422"/>
      <c r="H75" s="15"/>
      <c r="I75" s="14"/>
    </row>
    <row r="76" spans="1:10" ht="117" customHeight="1" x14ac:dyDescent="0.2">
      <c r="A76" s="51"/>
      <c r="B76" s="434"/>
      <c r="C76" s="435"/>
      <c r="D76" s="436" t="s">
        <v>1256</v>
      </c>
      <c r="E76" s="437"/>
      <c r="F76" s="437"/>
      <c r="G76" s="438"/>
      <c r="H76" s="52"/>
      <c r="I76" s="53"/>
    </row>
    <row r="77" spans="1:10" ht="39.6" customHeight="1" x14ac:dyDescent="0.2">
      <c r="A77" s="11" t="s">
        <v>81</v>
      </c>
      <c r="B77" s="395" t="s">
        <v>235</v>
      </c>
      <c r="C77" s="396"/>
      <c r="D77" s="395"/>
      <c r="E77" s="397"/>
      <c r="F77" s="397"/>
      <c r="G77" s="396"/>
      <c r="H77" s="10"/>
      <c r="I77" s="9">
        <f>I19+I36+I52</f>
        <v>3771335.2851921879</v>
      </c>
    </row>
    <row r="78" spans="1:10" ht="39.6" customHeight="1" x14ac:dyDescent="0.2">
      <c r="A78" s="11" t="s">
        <v>167</v>
      </c>
      <c r="B78" s="395" t="s">
        <v>236</v>
      </c>
      <c r="C78" s="396"/>
      <c r="D78" s="395"/>
      <c r="E78" s="397"/>
      <c r="F78" s="397"/>
      <c r="G78" s="396"/>
      <c r="H78" s="10" t="s">
        <v>563</v>
      </c>
      <c r="I78" s="9">
        <f>I77</f>
        <v>3771335.2851921879</v>
      </c>
    </row>
    <row r="79" spans="1:10" ht="13.15" customHeight="1" x14ac:dyDescent="0.2">
      <c r="A79" s="11" t="s">
        <v>11</v>
      </c>
      <c r="B79" s="395" t="s">
        <v>43</v>
      </c>
      <c r="C79" s="396"/>
      <c r="D79" s="395"/>
      <c r="E79" s="397"/>
      <c r="F79" s="397"/>
      <c r="G79" s="396"/>
      <c r="H79" s="10"/>
      <c r="I79" s="9">
        <f>I78</f>
        <v>3771335.2851921879</v>
      </c>
    </row>
    <row r="80" spans="1:10" ht="13.15" customHeight="1" x14ac:dyDescent="0.2">
      <c r="A80" s="11" t="s">
        <v>13</v>
      </c>
      <c r="B80" s="395" t="s">
        <v>42</v>
      </c>
      <c r="C80" s="396"/>
      <c r="D80" s="395"/>
      <c r="E80" s="397"/>
      <c r="F80" s="397"/>
      <c r="G80" s="396"/>
      <c r="H80" s="10" t="s">
        <v>164</v>
      </c>
      <c r="I80" s="9">
        <f>I78</f>
        <v>3771335.2851921879</v>
      </c>
      <c r="J80" s="9"/>
    </row>
    <row r="81" spans="1:9" ht="12.75" customHeight="1" x14ac:dyDescent="0.2"/>
    <row r="82" spans="1:9" ht="12.75" customHeight="1" x14ac:dyDescent="0.2">
      <c r="D82" s="7"/>
    </row>
    <row r="83" spans="1:9" x14ac:dyDescent="0.2">
      <c r="A83" s="391" t="s">
        <v>0</v>
      </c>
      <c r="B83" s="391"/>
      <c r="C83" s="391"/>
      <c r="D83" s="391"/>
      <c r="E83" s="391"/>
      <c r="F83" s="391"/>
      <c r="G83" s="391"/>
      <c r="H83" s="391"/>
      <c r="I83" s="391"/>
    </row>
    <row r="84" spans="1:9" ht="12.75" customHeight="1" x14ac:dyDescent="0.2">
      <c r="A84" s="391"/>
      <c r="B84" s="391"/>
      <c r="C84" s="391"/>
      <c r="D84" s="391"/>
      <c r="E84" s="391"/>
      <c r="F84" s="391"/>
      <c r="G84" s="391"/>
      <c r="H84" s="391"/>
      <c r="I84" s="391"/>
    </row>
    <row r="85" spans="1:9" x14ac:dyDescent="0.2">
      <c r="D85" s="389" t="s">
        <v>2</v>
      </c>
      <c r="E85" s="390"/>
      <c r="F85" s="390"/>
      <c r="G85" s="390"/>
      <c r="H85" s="390"/>
      <c r="I85" s="390"/>
    </row>
    <row r="86" spans="1:9" ht="12.75" customHeight="1" x14ac:dyDescent="0.2"/>
    <row r="87" spans="1:9" x14ac:dyDescent="0.2">
      <c r="A87" s="391" t="s">
        <v>1</v>
      </c>
      <c r="B87" s="391"/>
      <c r="C87" s="391"/>
      <c r="D87" s="391"/>
      <c r="E87" s="391"/>
      <c r="F87" s="391"/>
      <c r="G87" s="391"/>
      <c r="H87" s="391"/>
      <c r="I87" s="391"/>
    </row>
    <row r="88" spans="1:9" ht="12.75" customHeight="1" x14ac:dyDescent="0.2">
      <c r="A88" s="391"/>
      <c r="B88" s="391"/>
      <c r="C88" s="391"/>
      <c r="D88" s="391"/>
      <c r="E88" s="391"/>
      <c r="F88" s="391"/>
      <c r="G88" s="391"/>
      <c r="H88" s="391"/>
      <c r="I88" s="391"/>
    </row>
    <row r="89" spans="1:9" x14ac:dyDescent="0.2">
      <c r="D89" s="389" t="s">
        <v>2</v>
      </c>
      <c r="E89" s="390"/>
      <c r="F89" s="390"/>
      <c r="G89" s="390"/>
      <c r="H89" s="390"/>
      <c r="I89" s="390"/>
    </row>
    <row r="90" spans="1:9" ht="12.75" customHeight="1" x14ac:dyDescent="0.2"/>
    <row r="91" spans="1:9" x14ac:dyDescent="0.2">
      <c r="A91" s="391" t="s">
        <v>5</v>
      </c>
      <c r="B91" s="391"/>
      <c r="C91" s="391"/>
      <c r="D91" s="391"/>
      <c r="E91" s="391"/>
      <c r="F91" s="391"/>
      <c r="G91" s="6" t="s">
        <v>7</v>
      </c>
      <c r="H91" s="391"/>
      <c r="I91" s="391"/>
    </row>
    <row r="92" spans="1:9" x14ac:dyDescent="0.2">
      <c r="D92" s="389" t="s">
        <v>40</v>
      </c>
      <c r="E92" s="390"/>
      <c r="F92" s="390"/>
      <c r="H92" s="389" t="s">
        <v>2</v>
      </c>
      <c r="I92" s="390"/>
    </row>
    <row r="93" spans="1:9" ht="12.75" customHeight="1" x14ac:dyDescent="0.2"/>
    <row r="94" spans="1:9" x14ac:dyDescent="0.2">
      <c r="A94" s="391" t="s">
        <v>3</v>
      </c>
      <c r="B94" s="391"/>
      <c r="C94" s="391"/>
      <c r="D94" s="391"/>
      <c r="E94" s="391"/>
      <c r="F94" s="391"/>
      <c r="G94" s="391"/>
      <c r="H94" s="391"/>
      <c r="I94" s="391"/>
    </row>
    <row r="95" spans="1:9" x14ac:dyDescent="0.2">
      <c r="D95" s="389" t="s">
        <v>6</v>
      </c>
      <c r="E95" s="390"/>
      <c r="F95" s="390"/>
      <c r="G95" s="390"/>
      <c r="H95" s="390"/>
      <c r="I95" s="390"/>
    </row>
    <row r="96" spans="1:9" ht="12.75" customHeight="1" x14ac:dyDescent="0.2"/>
  </sheetData>
  <mergeCells count="157">
    <mergeCell ref="A94:C94"/>
    <mergeCell ref="D94:I94"/>
    <mergeCell ref="D95:I95"/>
    <mergeCell ref="D89:I89"/>
    <mergeCell ref="A91:C91"/>
    <mergeCell ref="D91:F91"/>
    <mergeCell ref="D92:F92"/>
    <mergeCell ref="H91:I91"/>
    <mergeCell ref="H92:I92"/>
    <mergeCell ref="A83:C84"/>
    <mergeCell ref="D83:I84"/>
    <mergeCell ref="D85:I85"/>
    <mergeCell ref="A87:C88"/>
    <mergeCell ref="D87:I88"/>
    <mergeCell ref="B78:C78"/>
    <mergeCell ref="D78:G78"/>
    <mergeCell ref="B79:C79"/>
    <mergeCell ref="D79:G79"/>
    <mergeCell ref="B80:C80"/>
    <mergeCell ref="D80:G80"/>
    <mergeCell ref="B75:C75"/>
    <mergeCell ref="D75:G75"/>
    <mergeCell ref="B77:C77"/>
    <mergeCell ref="D77:G77"/>
    <mergeCell ref="B72:C72"/>
    <mergeCell ref="D72:G72"/>
    <mergeCell ref="B73:C73"/>
    <mergeCell ref="D73:G73"/>
    <mergeCell ref="B74:C74"/>
    <mergeCell ref="D74:G74"/>
    <mergeCell ref="B76:C76"/>
    <mergeCell ref="D76:G76"/>
    <mergeCell ref="B69:C69"/>
    <mergeCell ref="D69:G69"/>
    <mergeCell ref="B70:C70"/>
    <mergeCell ref="D70:G70"/>
    <mergeCell ref="B71:C71"/>
    <mergeCell ref="D71:G71"/>
    <mergeCell ref="B66:C66"/>
    <mergeCell ref="D66:G66"/>
    <mergeCell ref="B67:C67"/>
    <mergeCell ref="D67:G67"/>
    <mergeCell ref="B68:C68"/>
    <mergeCell ref="D68:G68"/>
    <mergeCell ref="B63:C63"/>
    <mergeCell ref="D63:G63"/>
    <mergeCell ref="B64:C64"/>
    <mergeCell ref="D64:G64"/>
    <mergeCell ref="B65:C65"/>
    <mergeCell ref="D65:G65"/>
    <mergeCell ref="B60:C60"/>
    <mergeCell ref="D60:G60"/>
    <mergeCell ref="B61:C61"/>
    <mergeCell ref="D61:G61"/>
    <mergeCell ref="B62:C62"/>
    <mergeCell ref="D62:G62"/>
    <mergeCell ref="B59:C59"/>
    <mergeCell ref="D59:G59"/>
    <mergeCell ref="B55:C55"/>
    <mergeCell ref="D55:G55"/>
    <mergeCell ref="B58:C58"/>
    <mergeCell ref="D58:G58"/>
    <mergeCell ref="A52:A53"/>
    <mergeCell ref="B52:C53"/>
    <mergeCell ref="D52:G53"/>
    <mergeCell ref="B56:C56"/>
    <mergeCell ref="D56:G56"/>
    <mergeCell ref="D57:G57"/>
    <mergeCell ref="B57:C57"/>
    <mergeCell ref="H52:H53"/>
    <mergeCell ref="I52:I53"/>
    <mergeCell ref="B54:C54"/>
    <mergeCell ref="D54:G54"/>
    <mergeCell ref="B48:C48"/>
    <mergeCell ref="D48:G48"/>
    <mergeCell ref="B49:C49"/>
    <mergeCell ref="D49:G49"/>
    <mergeCell ref="B50:C50"/>
    <mergeCell ref="D50:G50"/>
    <mergeCell ref="B51:C51"/>
    <mergeCell ref="D51:G51"/>
    <mergeCell ref="B34:C34"/>
    <mergeCell ref="D34:G34"/>
    <mergeCell ref="B45:C45"/>
    <mergeCell ref="D45:G45"/>
    <mergeCell ref="B46:C46"/>
    <mergeCell ref="D46:G46"/>
    <mergeCell ref="B47:C47"/>
    <mergeCell ref="D47:G47"/>
    <mergeCell ref="B42:C42"/>
    <mergeCell ref="D42:G42"/>
    <mergeCell ref="B43:C43"/>
    <mergeCell ref="D43:G43"/>
    <mergeCell ref="B44:C44"/>
    <mergeCell ref="D44:G44"/>
    <mergeCell ref="B38:C38"/>
    <mergeCell ref="D38:G38"/>
    <mergeCell ref="B39:C39"/>
    <mergeCell ref="D39:G39"/>
    <mergeCell ref="B41:C41"/>
    <mergeCell ref="D41:G41"/>
    <mergeCell ref="B35:C35"/>
    <mergeCell ref="D35:G35"/>
    <mergeCell ref="B36:C36"/>
    <mergeCell ref="D36:G36"/>
    <mergeCell ref="B37:C37"/>
    <mergeCell ref="D37:G37"/>
    <mergeCell ref="B40:C40"/>
    <mergeCell ref="D40:G40"/>
    <mergeCell ref="D12:I12"/>
    <mergeCell ref="A12:C12"/>
    <mergeCell ref="A14:I14"/>
    <mergeCell ref="B17:C17"/>
    <mergeCell ref="D17:G17"/>
    <mergeCell ref="B16:C16"/>
    <mergeCell ref="D16:G16"/>
    <mergeCell ref="B25:C25"/>
    <mergeCell ref="D25:G25"/>
    <mergeCell ref="B21:C21"/>
    <mergeCell ref="D21:G21"/>
    <mergeCell ref="B22:C22"/>
    <mergeCell ref="D22:G22"/>
    <mergeCell ref="D23:G23"/>
    <mergeCell ref="B23:C23"/>
    <mergeCell ref="B24:C24"/>
    <mergeCell ref="D24:G24"/>
    <mergeCell ref="B18:C18"/>
    <mergeCell ref="D18:G18"/>
    <mergeCell ref="B19:C19"/>
    <mergeCell ref="D19:G19"/>
    <mergeCell ref="B20:C20"/>
    <mergeCell ref="D20:G20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B26:C26"/>
    <mergeCell ref="D26:G26"/>
    <mergeCell ref="B27:C27"/>
    <mergeCell ref="D27:G27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</mergeCells>
  <pageMargins left="0.39370078740157477" right="0.39370078740157477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>
    <oddFooter>&amp;CСтраница &amp;P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8"/>
  <dimension ref="A1:J72"/>
  <sheetViews>
    <sheetView view="pageBreakPreview" zoomScale="60" zoomScaleNormal="100" workbookViewId="0">
      <selection activeCell="H56" sqref="H56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25.5" customHeight="1" x14ac:dyDescent="0.2">
      <c r="A1" s="419" t="s">
        <v>55</v>
      </c>
      <c r="B1" s="419"/>
      <c r="C1" s="419"/>
      <c r="D1" s="381" t="s">
        <v>54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163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12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23.75" customHeight="1" x14ac:dyDescent="0.2">
      <c r="A18" s="24" t="s">
        <v>10</v>
      </c>
      <c r="B18" s="413" t="s">
        <v>543</v>
      </c>
      <c r="C18" s="414"/>
      <c r="D18" s="415" t="s">
        <v>544</v>
      </c>
      <c r="E18" s="416"/>
      <c r="F18" s="416"/>
      <c r="G18" s="417"/>
      <c r="H18" s="23" t="s">
        <v>610</v>
      </c>
      <c r="I18" s="22">
        <f>(29050 + 7400 * 5.49) * 1 * 0.4 * 1.1*0.9*1.4</f>
        <v>38628.374400000001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58</v>
      </c>
      <c r="E20" s="384"/>
      <c r="F20" s="384"/>
      <c r="G20" s="422"/>
      <c r="H20" s="18"/>
      <c r="I20" s="17"/>
    </row>
    <row r="21" spans="1:9" ht="145.15" hidden="1" customHeight="1" x14ac:dyDescent="0.2">
      <c r="A21" s="19" t="s">
        <v>39</v>
      </c>
      <c r="B21" s="421"/>
      <c r="C21" s="422"/>
      <c r="D21" s="421" t="s">
        <v>44</v>
      </c>
      <c r="E21" s="384"/>
      <c r="F21" s="384"/>
      <c r="G21" s="422"/>
      <c r="H21" s="18"/>
      <c r="I21" s="17"/>
    </row>
    <row r="22" spans="1:9" ht="79.150000000000006" customHeight="1" x14ac:dyDescent="0.2">
      <c r="A22" s="19" t="s">
        <v>39</v>
      </c>
      <c r="B22" s="421"/>
      <c r="C22" s="422"/>
      <c r="D22" s="421" t="s">
        <v>160</v>
      </c>
      <c r="E22" s="384"/>
      <c r="F22" s="384"/>
      <c r="G22" s="422"/>
      <c r="H22" s="18"/>
      <c r="I22" s="17"/>
    </row>
    <row r="23" spans="1:9" ht="144.75" customHeight="1" x14ac:dyDescent="0.2">
      <c r="A23" s="51" t="s">
        <v>39</v>
      </c>
      <c r="B23" s="436"/>
      <c r="C23" s="438"/>
      <c r="D23" s="436" t="s">
        <v>574</v>
      </c>
      <c r="E23" s="437"/>
      <c r="F23" s="437"/>
      <c r="G23" s="438"/>
      <c r="H23" s="52"/>
      <c r="I23" s="53"/>
    </row>
    <row r="24" spans="1:9" ht="123" customHeight="1" x14ac:dyDescent="0.2">
      <c r="A24" s="24" t="s">
        <v>11</v>
      </c>
      <c r="B24" s="413" t="s">
        <v>545</v>
      </c>
      <c r="C24" s="414"/>
      <c r="D24" s="415" t="s">
        <v>546</v>
      </c>
      <c r="E24" s="416"/>
      <c r="F24" s="416"/>
      <c r="G24" s="417"/>
      <c r="H24" s="23" t="s">
        <v>611</v>
      </c>
      <c r="I24" s="22">
        <f>(29050 + 7400 * 4.71) * 1 * 0.4 *  1.1*0.3*0.9*1.4</f>
        <v>10628.513280000001</v>
      </c>
    </row>
    <row r="25" spans="1:9" ht="14.25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29.25" customHeight="1" x14ac:dyDescent="0.2">
      <c r="A26" s="19" t="s">
        <v>39</v>
      </c>
      <c r="B26" s="421"/>
      <c r="C26" s="422"/>
      <c r="D26" s="421" t="s">
        <v>58</v>
      </c>
      <c r="E26" s="384"/>
      <c r="F26" s="384"/>
      <c r="G26" s="422"/>
      <c r="H26" s="18"/>
      <c r="I26" s="17"/>
    </row>
    <row r="27" spans="1:9" ht="79.150000000000006" customHeight="1" x14ac:dyDescent="0.2">
      <c r="A27" s="19" t="s">
        <v>39</v>
      </c>
      <c r="B27" s="421"/>
      <c r="C27" s="422"/>
      <c r="D27" s="421" t="s">
        <v>44</v>
      </c>
      <c r="E27" s="384"/>
      <c r="F27" s="384"/>
      <c r="G27" s="422"/>
      <c r="H27" s="18"/>
      <c r="I27" s="17"/>
    </row>
    <row r="28" spans="1:9" ht="85.5" customHeight="1" x14ac:dyDescent="0.2">
      <c r="A28" s="19" t="s">
        <v>39</v>
      </c>
      <c r="B28" s="421"/>
      <c r="C28" s="422"/>
      <c r="D28" s="421" t="s">
        <v>160</v>
      </c>
      <c r="E28" s="384"/>
      <c r="F28" s="384"/>
      <c r="G28" s="422"/>
      <c r="H28" s="18"/>
      <c r="I28" s="17"/>
    </row>
    <row r="29" spans="1:9" ht="140.44999999999999" customHeight="1" x14ac:dyDescent="0.2">
      <c r="A29" s="51" t="s">
        <v>39</v>
      </c>
      <c r="B29" s="436"/>
      <c r="C29" s="438"/>
      <c r="D29" s="436" t="s">
        <v>574</v>
      </c>
      <c r="E29" s="437"/>
      <c r="F29" s="437"/>
      <c r="G29" s="438"/>
      <c r="H29" s="52"/>
      <c r="I29" s="53"/>
    </row>
    <row r="30" spans="1:9" ht="48" customHeight="1" x14ac:dyDescent="0.2">
      <c r="A30" s="11" t="s">
        <v>39</v>
      </c>
      <c r="B30" s="395"/>
      <c r="C30" s="396"/>
      <c r="D30" s="392" t="s">
        <v>1404</v>
      </c>
      <c r="E30" s="394"/>
      <c r="F30" s="394"/>
      <c r="G30" s="393"/>
      <c r="H30" s="10"/>
      <c r="I30" s="35"/>
    </row>
    <row r="31" spans="1:9" ht="123.75" customHeight="1" x14ac:dyDescent="0.2">
      <c r="A31" s="24" t="s">
        <v>13</v>
      </c>
      <c r="B31" s="413" t="s">
        <v>162</v>
      </c>
      <c r="C31" s="414"/>
      <c r="D31" s="415" t="s">
        <v>161</v>
      </c>
      <c r="E31" s="416"/>
      <c r="F31" s="416"/>
      <c r="G31" s="417"/>
      <c r="H31" s="23" t="s">
        <v>612</v>
      </c>
      <c r="I31" s="22">
        <f>(0  + 5020  * 1) * 6 * 0.4 *  1.1*1.4</f>
        <v>18553.920000000002</v>
      </c>
    </row>
    <row r="32" spans="1:9" ht="26.45" customHeight="1" x14ac:dyDescent="0.2">
      <c r="A32" s="19" t="s">
        <v>39</v>
      </c>
      <c r="B32" s="423"/>
      <c r="C32" s="424"/>
      <c r="D32" s="423" t="s">
        <v>45</v>
      </c>
      <c r="E32" s="418"/>
      <c r="F32" s="418"/>
      <c r="G32" s="424"/>
      <c r="H32" s="21"/>
      <c r="I32" s="20"/>
    </row>
    <row r="33" spans="1:9" ht="29.25" customHeight="1" x14ac:dyDescent="0.2">
      <c r="A33" s="19" t="s">
        <v>39</v>
      </c>
      <c r="B33" s="421"/>
      <c r="C33" s="422"/>
      <c r="D33" s="421" t="s">
        <v>58</v>
      </c>
      <c r="E33" s="384"/>
      <c r="F33" s="384"/>
      <c r="G33" s="422"/>
      <c r="H33" s="18"/>
      <c r="I33" s="17"/>
    </row>
    <row r="34" spans="1:9" ht="79.150000000000006" hidden="1" customHeight="1" x14ac:dyDescent="0.2">
      <c r="A34" s="19" t="s">
        <v>39</v>
      </c>
      <c r="B34" s="421"/>
      <c r="C34" s="422"/>
      <c r="D34" s="421" t="s">
        <v>44</v>
      </c>
      <c r="E34" s="384"/>
      <c r="F34" s="384"/>
      <c r="G34" s="422"/>
      <c r="H34" s="18"/>
      <c r="I34" s="17"/>
    </row>
    <row r="35" spans="1:9" ht="165.6" customHeight="1" x14ac:dyDescent="0.2">
      <c r="A35" s="19" t="s">
        <v>39</v>
      </c>
      <c r="B35" s="421"/>
      <c r="C35" s="422"/>
      <c r="D35" s="421" t="s">
        <v>575</v>
      </c>
      <c r="E35" s="384"/>
      <c r="F35" s="384"/>
      <c r="G35" s="422"/>
      <c r="H35" s="18"/>
      <c r="I35" s="17"/>
    </row>
    <row r="36" spans="1:9" ht="26.45" customHeight="1" x14ac:dyDescent="0.2">
      <c r="A36" s="19" t="s">
        <v>39</v>
      </c>
      <c r="B36" s="423"/>
      <c r="C36" s="424"/>
      <c r="D36" s="423" t="s">
        <v>99</v>
      </c>
      <c r="E36" s="418"/>
      <c r="F36" s="418"/>
      <c r="G36" s="424"/>
      <c r="H36" s="21"/>
      <c r="I36" s="20"/>
    </row>
    <row r="37" spans="1:9" ht="45.75" hidden="1" customHeight="1" x14ac:dyDescent="0.2">
      <c r="A37" s="19" t="s">
        <v>39</v>
      </c>
      <c r="B37" s="421"/>
      <c r="C37" s="422"/>
      <c r="D37" s="421" t="s">
        <v>159</v>
      </c>
      <c r="E37" s="384"/>
      <c r="F37" s="384"/>
      <c r="G37" s="422"/>
      <c r="H37" s="18"/>
      <c r="I37" s="17"/>
    </row>
    <row r="38" spans="1:9" ht="42" hidden="1" customHeight="1" x14ac:dyDescent="0.2">
      <c r="A38" s="19" t="s">
        <v>39</v>
      </c>
      <c r="B38" s="421"/>
      <c r="C38" s="422"/>
      <c r="D38" s="421" t="s">
        <v>158</v>
      </c>
      <c r="E38" s="384"/>
      <c r="F38" s="384"/>
      <c r="G38" s="422"/>
      <c r="H38" s="18"/>
      <c r="I38" s="17"/>
    </row>
    <row r="39" spans="1:9" ht="33.75" hidden="1" customHeight="1" x14ac:dyDescent="0.2">
      <c r="A39" s="19" t="s">
        <v>39</v>
      </c>
      <c r="B39" s="421"/>
      <c r="C39" s="422"/>
      <c r="D39" s="421" t="s">
        <v>157</v>
      </c>
      <c r="E39" s="384"/>
      <c r="F39" s="384"/>
      <c r="G39" s="422"/>
      <c r="H39" s="18"/>
      <c r="I39" s="17"/>
    </row>
    <row r="40" spans="1:9" ht="45" hidden="1" customHeight="1" x14ac:dyDescent="0.2">
      <c r="A40" s="19" t="s">
        <v>39</v>
      </c>
      <c r="B40" s="421"/>
      <c r="C40" s="422"/>
      <c r="D40" s="421" t="s">
        <v>156</v>
      </c>
      <c r="E40" s="384"/>
      <c r="F40" s="384"/>
      <c r="G40" s="422"/>
      <c r="H40" s="18"/>
      <c r="I40" s="17"/>
    </row>
    <row r="41" spans="1:9" ht="26.45" hidden="1" customHeight="1" x14ac:dyDescent="0.2">
      <c r="A41" s="19" t="s">
        <v>39</v>
      </c>
      <c r="B41" s="421"/>
      <c r="C41" s="422"/>
      <c r="D41" s="421" t="s">
        <v>155</v>
      </c>
      <c r="E41" s="384"/>
      <c r="F41" s="384"/>
      <c r="G41" s="422"/>
      <c r="H41" s="18"/>
      <c r="I41" s="17"/>
    </row>
    <row r="42" spans="1:9" ht="26.45" hidden="1" customHeight="1" x14ac:dyDescent="0.2">
      <c r="A42" s="19" t="s">
        <v>39</v>
      </c>
      <c r="B42" s="421"/>
      <c r="C42" s="422"/>
      <c r="D42" s="421" t="s">
        <v>154</v>
      </c>
      <c r="E42" s="384"/>
      <c r="F42" s="384"/>
      <c r="G42" s="422"/>
      <c r="H42" s="18"/>
      <c r="I42" s="17"/>
    </row>
    <row r="43" spans="1:9" ht="26.45" hidden="1" customHeight="1" x14ac:dyDescent="0.2">
      <c r="A43" s="19" t="s">
        <v>39</v>
      </c>
      <c r="B43" s="421"/>
      <c r="C43" s="422"/>
      <c r="D43" s="421" t="s">
        <v>153</v>
      </c>
      <c r="E43" s="384"/>
      <c r="F43" s="384"/>
      <c r="G43" s="422"/>
      <c r="H43" s="18"/>
      <c r="I43" s="17"/>
    </row>
    <row r="44" spans="1:9" ht="39.6" hidden="1" customHeight="1" x14ac:dyDescent="0.2">
      <c r="A44" s="19" t="s">
        <v>39</v>
      </c>
      <c r="B44" s="421"/>
      <c r="C44" s="422"/>
      <c r="D44" s="421" t="s">
        <v>152</v>
      </c>
      <c r="E44" s="384"/>
      <c r="F44" s="384"/>
      <c r="G44" s="422"/>
      <c r="H44" s="18"/>
      <c r="I44" s="17"/>
    </row>
    <row r="45" spans="1:9" ht="13.15" hidden="1" customHeight="1" x14ac:dyDescent="0.2">
      <c r="A45" s="19" t="s">
        <v>39</v>
      </c>
      <c r="B45" s="421"/>
      <c r="C45" s="422"/>
      <c r="D45" s="421" t="s">
        <v>151</v>
      </c>
      <c r="E45" s="384"/>
      <c r="F45" s="384"/>
      <c r="G45" s="422"/>
      <c r="H45" s="18"/>
      <c r="I45" s="17"/>
    </row>
    <row r="46" spans="1:9" ht="26.45" hidden="1" customHeight="1" x14ac:dyDescent="0.2">
      <c r="A46" s="19" t="s">
        <v>39</v>
      </c>
      <c r="B46" s="421"/>
      <c r="C46" s="422"/>
      <c r="D46" s="421" t="s">
        <v>150</v>
      </c>
      <c r="E46" s="384"/>
      <c r="F46" s="384"/>
      <c r="G46" s="422"/>
      <c r="H46" s="18"/>
      <c r="I46" s="17"/>
    </row>
    <row r="47" spans="1:9" ht="26.45" hidden="1" customHeight="1" x14ac:dyDescent="0.2">
      <c r="A47" s="19" t="s">
        <v>39</v>
      </c>
      <c r="B47" s="421"/>
      <c r="C47" s="422"/>
      <c r="D47" s="421" t="s">
        <v>149</v>
      </c>
      <c r="E47" s="384"/>
      <c r="F47" s="384"/>
      <c r="G47" s="422"/>
      <c r="H47" s="18"/>
      <c r="I47" s="17"/>
    </row>
    <row r="48" spans="1:9" ht="26.45" hidden="1" customHeight="1" x14ac:dyDescent="0.2">
      <c r="A48" s="19" t="s">
        <v>39</v>
      </c>
      <c r="B48" s="421"/>
      <c r="C48" s="422"/>
      <c r="D48" s="421" t="s">
        <v>148</v>
      </c>
      <c r="E48" s="384"/>
      <c r="F48" s="384"/>
      <c r="G48" s="422"/>
      <c r="H48" s="18"/>
      <c r="I48" s="17"/>
    </row>
    <row r="49" spans="1:9" ht="26.45" hidden="1" customHeight="1" x14ac:dyDescent="0.2">
      <c r="A49" s="19" t="s">
        <v>39</v>
      </c>
      <c r="B49" s="421"/>
      <c r="C49" s="422"/>
      <c r="D49" s="421" t="s">
        <v>147</v>
      </c>
      <c r="E49" s="384"/>
      <c r="F49" s="384"/>
      <c r="G49" s="422"/>
      <c r="H49" s="18"/>
      <c r="I49" s="17"/>
    </row>
    <row r="50" spans="1:9" ht="39.6" hidden="1" customHeight="1" x14ac:dyDescent="0.2">
      <c r="A50" s="19" t="s">
        <v>39</v>
      </c>
      <c r="B50" s="421"/>
      <c r="C50" s="422"/>
      <c r="D50" s="421" t="s">
        <v>146</v>
      </c>
      <c r="E50" s="384"/>
      <c r="F50" s="384"/>
      <c r="G50" s="422"/>
      <c r="H50" s="18"/>
      <c r="I50" s="17"/>
    </row>
    <row r="51" spans="1:9" ht="26.45" hidden="1" customHeight="1" x14ac:dyDescent="0.2">
      <c r="A51" s="19" t="s">
        <v>39</v>
      </c>
      <c r="B51" s="421"/>
      <c r="C51" s="422"/>
      <c r="D51" s="421" t="s">
        <v>145</v>
      </c>
      <c r="E51" s="384"/>
      <c r="F51" s="384"/>
      <c r="G51" s="422"/>
      <c r="H51" s="18"/>
      <c r="I51" s="17"/>
    </row>
    <row r="52" spans="1:9" ht="26.45" hidden="1" customHeight="1" x14ac:dyDescent="0.2">
      <c r="A52" s="19" t="s">
        <v>39</v>
      </c>
      <c r="B52" s="421"/>
      <c r="C52" s="422"/>
      <c r="D52" s="421" t="s">
        <v>144</v>
      </c>
      <c r="E52" s="384"/>
      <c r="F52" s="384"/>
      <c r="G52" s="422"/>
      <c r="H52" s="18"/>
      <c r="I52" s="17"/>
    </row>
    <row r="53" spans="1:9" ht="13.15" hidden="1" customHeight="1" x14ac:dyDescent="0.2">
      <c r="A53" s="16" t="s">
        <v>39</v>
      </c>
      <c r="B53" s="427"/>
      <c r="C53" s="428"/>
      <c r="D53" s="427" t="s">
        <v>143</v>
      </c>
      <c r="E53" s="429"/>
      <c r="F53" s="429"/>
      <c r="G53" s="428"/>
      <c r="H53" s="15"/>
      <c r="I53" s="14"/>
    </row>
    <row r="54" spans="1:9" ht="39.6" customHeight="1" x14ac:dyDescent="0.2">
      <c r="A54" s="11" t="s">
        <v>15</v>
      </c>
      <c r="B54" s="395" t="s">
        <v>43</v>
      </c>
      <c r="C54" s="396"/>
      <c r="D54" s="395"/>
      <c r="E54" s="397"/>
      <c r="F54" s="397"/>
      <c r="G54" s="396"/>
      <c r="H54" s="10"/>
      <c r="I54" s="9">
        <f>I18+I24+I31</f>
        <v>67810.807679999998</v>
      </c>
    </row>
    <row r="55" spans="1:9" ht="157.5" customHeight="1" x14ac:dyDescent="0.2">
      <c r="A55" s="11" t="s">
        <v>17</v>
      </c>
      <c r="B55" s="392" t="s">
        <v>1259</v>
      </c>
      <c r="C55" s="393"/>
      <c r="D55" s="392" t="s">
        <v>1425</v>
      </c>
      <c r="E55" s="394"/>
      <c r="F55" s="394"/>
      <c r="G55" s="393"/>
      <c r="H55" s="13" t="s">
        <v>1426</v>
      </c>
      <c r="I55" s="12">
        <f>I54*1.1566</f>
        <v>78429.980162688007</v>
      </c>
    </row>
    <row r="56" spans="1:9" ht="69" customHeight="1" x14ac:dyDescent="0.2">
      <c r="A56" s="11" t="s">
        <v>19</v>
      </c>
      <c r="B56" s="392" t="s">
        <v>1075</v>
      </c>
      <c r="C56" s="393"/>
      <c r="D56" s="392" t="s">
        <v>1064</v>
      </c>
      <c r="E56" s="394"/>
      <c r="F56" s="394"/>
      <c r="G56" s="393"/>
      <c r="H56" s="13" t="s">
        <v>1260</v>
      </c>
      <c r="I56" s="12">
        <f>I55*5.94</f>
        <v>465874.0821663668</v>
      </c>
    </row>
    <row r="57" spans="1:9" ht="12.75" customHeight="1" x14ac:dyDescent="0.2">
      <c r="A57" s="11" t="s">
        <v>20</v>
      </c>
      <c r="B57" s="395" t="s">
        <v>42</v>
      </c>
      <c r="C57" s="396"/>
      <c r="D57" s="395"/>
      <c r="E57" s="397"/>
      <c r="F57" s="397"/>
      <c r="G57" s="396"/>
      <c r="H57" s="10"/>
      <c r="I57" s="9">
        <f>I56</f>
        <v>465874.0821663668</v>
      </c>
    </row>
    <row r="58" spans="1:9" ht="12.75" customHeight="1" x14ac:dyDescent="0.2"/>
    <row r="59" spans="1:9" x14ac:dyDescent="0.2">
      <c r="D59" s="7"/>
    </row>
    <row r="60" spans="1:9" ht="12.75" customHeight="1" x14ac:dyDescent="0.2">
      <c r="A60" s="391" t="s">
        <v>0</v>
      </c>
      <c r="B60" s="391"/>
      <c r="C60" s="391"/>
      <c r="D60" s="391"/>
      <c r="E60" s="391"/>
      <c r="F60" s="391"/>
      <c r="G60" s="391"/>
      <c r="H60" s="391"/>
      <c r="I60" s="391"/>
    </row>
    <row r="61" spans="1:9" x14ac:dyDescent="0.2">
      <c r="A61" s="391"/>
      <c r="B61" s="391"/>
      <c r="C61" s="391"/>
      <c r="D61" s="391"/>
      <c r="E61" s="391"/>
      <c r="F61" s="391"/>
      <c r="G61" s="391"/>
      <c r="H61" s="391"/>
      <c r="I61" s="391"/>
    </row>
    <row r="62" spans="1:9" ht="12.75" customHeight="1" x14ac:dyDescent="0.2">
      <c r="D62" s="389" t="s">
        <v>2</v>
      </c>
      <c r="E62" s="390"/>
      <c r="F62" s="390"/>
      <c r="G62" s="390"/>
      <c r="H62" s="390"/>
      <c r="I62" s="390"/>
    </row>
    <row r="64" spans="1:9" ht="12.75" customHeight="1" x14ac:dyDescent="0.2">
      <c r="A64" s="391" t="s">
        <v>1</v>
      </c>
      <c r="B64" s="391"/>
      <c r="C64" s="391"/>
      <c r="D64" s="391"/>
      <c r="E64" s="391"/>
      <c r="F64" s="391"/>
      <c r="G64" s="391"/>
      <c r="H64" s="391"/>
      <c r="I64" s="391"/>
    </row>
    <row r="65" spans="1:9" x14ac:dyDescent="0.2">
      <c r="A65" s="391"/>
      <c r="B65" s="391"/>
      <c r="C65" s="391"/>
      <c r="D65" s="391"/>
      <c r="E65" s="391"/>
      <c r="F65" s="391"/>
      <c r="G65" s="391"/>
      <c r="H65" s="391"/>
      <c r="I65" s="391"/>
    </row>
    <row r="66" spans="1:9" ht="12.75" customHeight="1" x14ac:dyDescent="0.2">
      <c r="D66" s="389" t="s">
        <v>2</v>
      </c>
      <c r="E66" s="390"/>
      <c r="F66" s="390"/>
      <c r="G66" s="390"/>
      <c r="H66" s="390"/>
      <c r="I66" s="390"/>
    </row>
    <row r="68" spans="1:9" x14ac:dyDescent="0.2">
      <c r="A68" s="391" t="s">
        <v>5</v>
      </c>
      <c r="B68" s="391"/>
      <c r="C68" s="391"/>
      <c r="D68" s="391"/>
      <c r="E68" s="391"/>
      <c r="F68" s="391"/>
      <c r="G68" s="6" t="s">
        <v>7</v>
      </c>
      <c r="H68" s="391"/>
      <c r="I68" s="391"/>
    </row>
    <row r="69" spans="1:9" ht="12.75" customHeight="1" x14ac:dyDescent="0.2">
      <c r="D69" s="389" t="s">
        <v>40</v>
      </c>
      <c r="E69" s="390"/>
      <c r="F69" s="390"/>
      <c r="H69" s="389" t="s">
        <v>2</v>
      </c>
      <c r="I69" s="390"/>
    </row>
    <row r="71" spans="1:9" x14ac:dyDescent="0.2">
      <c r="A71" s="391" t="s">
        <v>3</v>
      </c>
      <c r="B71" s="391"/>
      <c r="C71" s="391"/>
      <c r="D71" s="391"/>
      <c r="E71" s="391"/>
      <c r="F71" s="391"/>
      <c r="G71" s="391"/>
      <c r="H71" s="391"/>
      <c r="I71" s="391"/>
    </row>
    <row r="72" spans="1:9" ht="12.75" customHeight="1" x14ac:dyDescent="0.2">
      <c r="D72" s="389" t="s">
        <v>6</v>
      </c>
      <c r="E72" s="390"/>
      <c r="F72" s="390"/>
      <c r="G72" s="390"/>
      <c r="H72" s="390"/>
      <c r="I72" s="390"/>
    </row>
  </sheetData>
  <mergeCells count="110">
    <mergeCell ref="B30:C30"/>
    <mergeCell ref="D30:G30"/>
    <mergeCell ref="B23:C23"/>
    <mergeCell ref="D23:G23"/>
    <mergeCell ref="B29:C29"/>
    <mergeCell ref="D29:G29"/>
    <mergeCell ref="D12:I12"/>
    <mergeCell ref="A12:C12"/>
    <mergeCell ref="A14:I14"/>
    <mergeCell ref="B17:C17"/>
    <mergeCell ref="D17:G17"/>
    <mergeCell ref="B16:C16"/>
    <mergeCell ref="D16:G16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7:C27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D27:G27"/>
    <mergeCell ref="B28:C28"/>
    <mergeCell ref="D28:G28"/>
    <mergeCell ref="B24:C24"/>
    <mergeCell ref="D24:G24"/>
    <mergeCell ref="B25:C25"/>
    <mergeCell ref="D25:G25"/>
    <mergeCell ref="B26:C26"/>
    <mergeCell ref="D26:G26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B43:C43"/>
    <mergeCell ref="D43:G43"/>
    <mergeCell ref="B44:C44"/>
    <mergeCell ref="D44:G44"/>
    <mergeCell ref="B45:C45"/>
    <mergeCell ref="D45:G45"/>
    <mergeCell ref="B46:C46"/>
    <mergeCell ref="D46:G46"/>
    <mergeCell ref="B47:C47"/>
    <mergeCell ref="D47:G47"/>
    <mergeCell ref="B48:C48"/>
    <mergeCell ref="D48:G48"/>
    <mergeCell ref="B49:C49"/>
    <mergeCell ref="D49:G49"/>
    <mergeCell ref="B56:C56"/>
    <mergeCell ref="D56:G56"/>
    <mergeCell ref="B57:C57"/>
    <mergeCell ref="D57:G57"/>
    <mergeCell ref="A60:C61"/>
    <mergeCell ref="D60:I61"/>
    <mergeCell ref="D62:I62"/>
    <mergeCell ref="B50:C50"/>
    <mergeCell ref="D50:G50"/>
    <mergeCell ref="B51:C51"/>
    <mergeCell ref="D51:G51"/>
    <mergeCell ref="B52:C52"/>
    <mergeCell ref="D52:G52"/>
    <mergeCell ref="B53:C53"/>
    <mergeCell ref="D53:G53"/>
    <mergeCell ref="B54:C54"/>
    <mergeCell ref="D54:G54"/>
    <mergeCell ref="B55:C55"/>
    <mergeCell ref="D55:G55"/>
    <mergeCell ref="A64:C65"/>
    <mergeCell ref="D64:I65"/>
    <mergeCell ref="A71:C71"/>
    <mergeCell ref="D71:I71"/>
    <mergeCell ref="D72:I72"/>
    <mergeCell ref="D66:I66"/>
    <mergeCell ref="A68:C68"/>
    <mergeCell ref="D68:F68"/>
    <mergeCell ref="D69:F69"/>
    <mergeCell ref="H68:I68"/>
    <mergeCell ref="H69:I69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6"/>
  <dimension ref="A1:J64"/>
  <sheetViews>
    <sheetView view="pageBreakPreview" topLeftCell="A22" zoomScale="60" zoomScaleNormal="100" workbookViewId="0">
      <selection activeCell="A8" sqref="A8:I8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102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14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97.35" customHeight="1" x14ac:dyDescent="0.2">
      <c r="A18" s="24" t="s">
        <v>10</v>
      </c>
      <c r="B18" s="413" t="s">
        <v>59</v>
      </c>
      <c r="C18" s="414"/>
      <c r="D18" s="415" t="s">
        <v>413</v>
      </c>
      <c r="E18" s="416"/>
      <c r="F18" s="416"/>
      <c r="G18" s="417"/>
      <c r="H18" s="23" t="s">
        <v>1090</v>
      </c>
      <c r="I18" s="22">
        <f>(53100+186*2800)*1*0.4*1.4*1.4</f>
        <v>449937.6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58</v>
      </c>
      <c r="E20" s="384"/>
      <c r="F20" s="384"/>
      <c r="G20" s="422"/>
      <c r="H20" s="18"/>
      <c r="I20" s="17"/>
    </row>
    <row r="21" spans="1:9" ht="184.9" hidden="1" customHeight="1" x14ac:dyDescent="0.2">
      <c r="A21" s="19" t="s">
        <v>39</v>
      </c>
      <c r="B21" s="421"/>
      <c r="C21" s="422"/>
      <c r="D21" s="421" t="s">
        <v>57</v>
      </c>
      <c r="E21" s="384"/>
      <c r="F21" s="384"/>
      <c r="G21" s="422"/>
      <c r="H21" s="18"/>
      <c r="I21" s="17"/>
    </row>
    <row r="22" spans="1:9" ht="105" customHeight="1" x14ac:dyDescent="0.2">
      <c r="A22" s="19"/>
      <c r="B22" s="425"/>
      <c r="C22" s="426"/>
      <c r="D22" s="421" t="s">
        <v>565</v>
      </c>
      <c r="E22" s="384"/>
      <c r="F22" s="384"/>
      <c r="G22" s="422"/>
      <c r="H22" s="18"/>
      <c r="I22" s="17"/>
    </row>
    <row r="23" spans="1:9" ht="216" customHeight="1" x14ac:dyDescent="0.2">
      <c r="A23" s="19" t="s">
        <v>39</v>
      </c>
      <c r="B23" s="421"/>
      <c r="C23" s="422"/>
      <c r="D23" s="421" t="s">
        <v>1089</v>
      </c>
      <c r="E23" s="384"/>
      <c r="F23" s="384"/>
      <c r="G23" s="422"/>
      <c r="H23" s="18"/>
      <c r="I23" s="17"/>
    </row>
    <row r="24" spans="1:9" ht="16.149999999999999" hidden="1" customHeight="1" x14ac:dyDescent="0.2">
      <c r="A24" s="19" t="s">
        <v>39</v>
      </c>
      <c r="B24" s="423"/>
      <c r="C24" s="424"/>
      <c r="D24" s="423" t="s">
        <v>99</v>
      </c>
      <c r="E24" s="418"/>
      <c r="F24" s="418"/>
      <c r="G24" s="424"/>
      <c r="H24" s="21"/>
      <c r="I24" s="20"/>
    </row>
    <row r="25" spans="1:9" ht="26.45" hidden="1" customHeight="1" x14ac:dyDescent="0.2">
      <c r="A25" s="19" t="s">
        <v>39</v>
      </c>
      <c r="B25" s="421"/>
      <c r="C25" s="422"/>
      <c r="D25" s="441" t="s">
        <v>263</v>
      </c>
      <c r="E25" s="442"/>
      <c r="F25" s="442"/>
      <c r="G25" s="443"/>
      <c r="H25" s="18"/>
      <c r="I25" s="17"/>
    </row>
    <row r="26" spans="1:9" ht="26.45" hidden="1" customHeight="1" x14ac:dyDescent="0.2">
      <c r="A26" s="19" t="s">
        <v>39</v>
      </c>
      <c r="B26" s="421"/>
      <c r="C26" s="422"/>
      <c r="D26" s="421" t="s">
        <v>266</v>
      </c>
      <c r="E26" s="384"/>
      <c r="F26" s="384"/>
      <c r="G26" s="422"/>
      <c r="H26" s="18"/>
      <c r="I26" s="17"/>
    </row>
    <row r="27" spans="1:9" ht="52.9" hidden="1" customHeight="1" x14ac:dyDescent="0.2">
      <c r="A27" s="19" t="s">
        <v>39</v>
      </c>
      <c r="B27" s="421"/>
      <c r="C27" s="422"/>
      <c r="D27" s="421" t="s">
        <v>101</v>
      </c>
      <c r="E27" s="384"/>
      <c r="F27" s="384"/>
      <c r="G27" s="422"/>
      <c r="H27" s="18"/>
      <c r="I27" s="17"/>
    </row>
    <row r="28" spans="1:9" ht="26.45" hidden="1" customHeight="1" x14ac:dyDescent="0.2">
      <c r="A28" s="19" t="s">
        <v>39</v>
      </c>
      <c r="B28" s="421"/>
      <c r="C28" s="422"/>
      <c r="D28" s="421" t="s">
        <v>264</v>
      </c>
      <c r="E28" s="384"/>
      <c r="F28" s="384"/>
      <c r="G28" s="422"/>
      <c r="H28" s="18"/>
      <c r="I28" s="17"/>
    </row>
    <row r="29" spans="1:9" ht="39.6" hidden="1" customHeight="1" x14ac:dyDescent="0.2">
      <c r="A29" s="19" t="s">
        <v>39</v>
      </c>
      <c r="B29" s="421"/>
      <c r="C29" s="422"/>
      <c r="D29" s="441" t="s">
        <v>414</v>
      </c>
      <c r="E29" s="442"/>
      <c r="F29" s="442"/>
      <c r="G29" s="443"/>
      <c r="H29" s="18"/>
      <c r="I29" s="17"/>
    </row>
    <row r="30" spans="1:9" ht="39.6" hidden="1" customHeight="1" x14ac:dyDescent="0.2">
      <c r="A30" s="19" t="s">
        <v>39</v>
      </c>
      <c r="B30" s="421"/>
      <c r="C30" s="422"/>
      <c r="D30" s="421" t="s">
        <v>415</v>
      </c>
      <c r="E30" s="384"/>
      <c r="F30" s="384"/>
      <c r="G30" s="422"/>
      <c r="H30" s="18"/>
      <c r="I30" s="17"/>
    </row>
    <row r="31" spans="1:9" ht="26.45" hidden="1" customHeight="1" x14ac:dyDescent="0.2">
      <c r="A31" s="16" t="s">
        <v>39</v>
      </c>
      <c r="B31" s="427"/>
      <c r="C31" s="428"/>
      <c r="D31" s="427" t="s">
        <v>265</v>
      </c>
      <c r="E31" s="429"/>
      <c r="F31" s="429"/>
      <c r="G31" s="428"/>
      <c r="H31" s="15"/>
      <c r="I31" s="14"/>
    </row>
    <row r="32" spans="1:9" ht="97.35" customHeight="1" x14ac:dyDescent="0.2">
      <c r="A32" s="24" t="s">
        <v>11</v>
      </c>
      <c r="B32" s="413" t="s">
        <v>100</v>
      </c>
      <c r="C32" s="414"/>
      <c r="D32" s="415" t="s">
        <v>262</v>
      </c>
      <c r="E32" s="416"/>
      <c r="F32" s="416"/>
      <c r="G32" s="417"/>
      <c r="H32" s="23" t="s">
        <v>1091</v>
      </c>
      <c r="I32" s="22">
        <f>(21200 + 30176 * 3.429) * 1 * 0.4 *1.4</f>
        <v>69817.162240000005</v>
      </c>
    </row>
    <row r="33" spans="1:9" ht="16.149999999999999" customHeight="1" x14ac:dyDescent="0.2">
      <c r="A33" s="19" t="s">
        <v>39</v>
      </c>
      <c r="B33" s="423"/>
      <c r="C33" s="424"/>
      <c r="D33" s="423" t="s">
        <v>45</v>
      </c>
      <c r="E33" s="418"/>
      <c r="F33" s="418"/>
      <c r="G33" s="424"/>
      <c r="H33" s="21"/>
      <c r="I33" s="20"/>
    </row>
    <row r="34" spans="1:9" ht="26.45" customHeight="1" x14ac:dyDescent="0.2">
      <c r="A34" s="19" t="s">
        <v>39</v>
      </c>
      <c r="B34" s="421"/>
      <c r="C34" s="422"/>
      <c r="D34" s="421" t="s">
        <v>58</v>
      </c>
      <c r="E34" s="384"/>
      <c r="F34" s="384"/>
      <c r="G34" s="422"/>
      <c r="H34" s="18"/>
      <c r="I34" s="17"/>
    </row>
    <row r="35" spans="1:9" ht="184.9" hidden="1" customHeight="1" x14ac:dyDescent="0.2">
      <c r="A35" s="19" t="s">
        <v>39</v>
      </c>
      <c r="B35" s="421"/>
      <c r="C35" s="422"/>
      <c r="D35" s="421" t="s">
        <v>57</v>
      </c>
      <c r="E35" s="384"/>
      <c r="F35" s="384"/>
      <c r="G35" s="422"/>
      <c r="H35" s="18"/>
      <c r="I35" s="17"/>
    </row>
    <row r="36" spans="1:9" ht="215.25" customHeight="1" x14ac:dyDescent="0.2">
      <c r="A36" s="19" t="s">
        <v>39</v>
      </c>
      <c r="B36" s="421"/>
      <c r="C36" s="422"/>
      <c r="D36" s="421" t="s">
        <v>1089</v>
      </c>
      <c r="E36" s="384"/>
      <c r="F36" s="384"/>
      <c r="G36" s="422"/>
      <c r="H36" s="18"/>
      <c r="I36" s="17"/>
    </row>
    <row r="37" spans="1:9" ht="16.149999999999999" hidden="1" customHeight="1" x14ac:dyDescent="0.2">
      <c r="A37" s="19" t="s">
        <v>39</v>
      </c>
      <c r="B37" s="423"/>
      <c r="C37" s="424"/>
      <c r="D37" s="423" t="s">
        <v>99</v>
      </c>
      <c r="E37" s="418"/>
      <c r="F37" s="418"/>
      <c r="G37" s="424"/>
      <c r="H37" s="21"/>
      <c r="I37" s="20"/>
    </row>
    <row r="38" spans="1:9" ht="26.45" hidden="1" customHeight="1" x14ac:dyDescent="0.2">
      <c r="A38" s="19" t="s">
        <v>39</v>
      </c>
      <c r="B38" s="421"/>
      <c r="C38" s="422"/>
      <c r="D38" s="441" t="s">
        <v>98</v>
      </c>
      <c r="E38" s="442"/>
      <c r="F38" s="442"/>
      <c r="G38" s="443"/>
      <c r="H38" s="18"/>
      <c r="I38" s="17"/>
    </row>
    <row r="39" spans="1:9" ht="26.45" hidden="1" customHeight="1" x14ac:dyDescent="0.2">
      <c r="A39" s="19" t="s">
        <v>39</v>
      </c>
      <c r="B39" s="421"/>
      <c r="C39" s="422"/>
      <c r="D39" s="421" t="s">
        <v>97</v>
      </c>
      <c r="E39" s="384"/>
      <c r="F39" s="384"/>
      <c r="G39" s="422"/>
      <c r="H39" s="18"/>
      <c r="I39" s="17"/>
    </row>
    <row r="40" spans="1:9" ht="52.9" hidden="1" customHeight="1" x14ac:dyDescent="0.2">
      <c r="A40" s="19" t="s">
        <v>39</v>
      </c>
      <c r="B40" s="421"/>
      <c r="C40" s="422"/>
      <c r="D40" s="441" t="s">
        <v>96</v>
      </c>
      <c r="E40" s="442"/>
      <c r="F40" s="442"/>
      <c r="G40" s="443"/>
      <c r="H40" s="18"/>
      <c r="I40" s="17"/>
    </row>
    <row r="41" spans="1:9" ht="26.45" hidden="1" customHeight="1" x14ac:dyDescent="0.2">
      <c r="A41" s="19" t="s">
        <v>39</v>
      </c>
      <c r="B41" s="421"/>
      <c r="C41" s="422"/>
      <c r="D41" s="421" t="s">
        <v>95</v>
      </c>
      <c r="E41" s="384"/>
      <c r="F41" s="384"/>
      <c r="G41" s="422"/>
      <c r="H41" s="18"/>
      <c r="I41" s="17"/>
    </row>
    <row r="42" spans="1:9" ht="26.45" hidden="1" customHeight="1" x14ac:dyDescent="0.2">
      <c r="A42" s="19" t="s">
        <v>39</v>
      </c>
      <c r="B42" s="421"/>
      <c r="C42" s="422"/>
      <c r="D42" s="421" t="s">
        <v>94</v>
      </c>
      <c r="E42" s="384"/>
      <c r="F42" s="384"/>
      <c r="G42" s="422"/>
      <c r="H42" s="18"/>
      <c r="I42" s="17"/>
    </row>
    <row r="43" spans="1:9" ht="39.6" hidden="1" customHeight="1" x14ac:dyDescent="0.2">
      <c r="A43" s="19" t="s">
        <v>39</v>
      </c>
      <c r="B43" s="421"/>
      <c r="C43" s="422"/>
      <c r="D43" s="421" t="s">
        <v>93</v>
      </c>
      <c r="E43" s="384"/>
      <c r="F43" s="384"/>
      <c r="G43" s="422"/>
      <c r="H43" s="18"/>
      <c r="I43" s="17"/>
    </row>
    <row r="44" spans="1:9" ht="26.45" hidden="1" customHeight="1" x14ac:dyDescent="0.2">
      <c r="A44" s="16" t="s">
        <v>39</v>
      </c>
      <c r="B44" s="427"/>
      <c r="C44" s="428"/>
      <c r="D44" s="427" t="s">
        <v>92</v>
      </c>
      <c r="E44" s="429"/>
      <c r="F44" s="429"/>
      <c r="G44" s="428"/>
      <c r="H44" s="15"/>
      <c r="I44" s="14"/>
    </row>
    <row r="45" spans="1:9" ht="13.15" customHeight="1" x14ac:dyDescent="0.2">
      <c r="A45" s="11" t="s">
        <v>13</v>
      </c>
      <c r="B45" s="395" t="s">
        <v>43</v>
      </c>
      <c r="C45" s="396"/>
      <c r="D45" s="395"/>
      <c r="E45" s="397"/>
      <c r="F45" s="397"/>
      <c r="G45" s="396"/>
      <c r="H45" s="10"/>
      <c r="I45" s="9">
        <f>I18+I32</f>
        <v>519754.76223999995</v>
      </c>
    </row>
    <row r="46" spans="1:9" ht="39.6" customHeight="1" x14ac:dyDescent="0.2">
      <c r="A46" s="11" t="s">
        <v>15</v>
      </c>
      <c r="B46" s="392" t="s">
        <v>1076</v>
      </c>
      <c r="C46" s="393"/>
      <c r="D46" s="392" t="s">
        <v>1064</v>
      </c>
      <c r="E46" s="394"/>
      <c r="F46" s="394"/>
      <c r="G46" s="393"/>
      <c r="H46" s="13" t="s">
        <v>1077</v>
      </c>
      <c r="I46" s="12">
        <f>I45*1.4</f>
        <v>727656.66713599989</v>
      </c>
    </row>
    <row r="47" spans="1:9" ht="13.15" customHeight="1" x14ac:dyDescent="0.2">
      <c r="A47" s="11" t="s">
        <v>17</v>
      </c>
      <c r="B47" s="395" t="s">
        <v>42</v>
      </c>
      <c r="C47" s="396"/>
      <c r="D47" s="395"/>
      <c r="E47" s="397"/>
      <c r="F47" s="397"/>
      <c r="G47" s="396"/>
      <c r="H47" s="10" t="s">
        <v>56</v>
      </c>
      <c r="I47" s="9">
        <f>I46</f>
        <v>727656.66713599989</v>
      </c>
    </row>
    <row r="48" spans="1:9" ht="12.75" customHeight="1" x14ac:dyDescent="0.2"/>
    <row r="49" spans="1:9" s="8" customFormat="1" ht="25.15" hidden="1" customHeight="1" x14ac:dyDescent="0.2">
      <c r="A49" s="384" t="s">
        <v>41</v>
      </c>
      <c r="B49" s="384"/>
      <c r="C49" s="384"/>
      <c r="D49" s="384" t="s">
        <v>232</v>
      </c>
      <c r="E49" s="384"/>
      <c r="F49" s="384"/>
      <c r="G49" s="384"/>
      <c r="H49" s="384"/>
      <c r="I49" s="384"/>
    </row>
    <row r="50" spans="1:9" ht="12.75" customHeight="1" x14ac:dyDescent="0.2">
      <c r="D50" s="7"/>
    </row>
    <row r="51" spans="1:9" x14ac:dyDescent="0.2">
      <c r="A51" s="391" t="s">
        <v>0</v>
      </c>
      <c r="B51" s="391"/>
      <c r="C51" s="391"/>
      <c r="D51" s="391"/>
      <c r="E51" s="391"/>
      <c r="F51" s="391"/>
      <c r="G51" s="391"/>
      <c r="H51" s="391"/>
      <c r="I51" s="391"/>
    </row>
    <row r="52" spans="1:9" ht="12.75" customHeight="1" x14ac:dyDescent="0.2">
      <c r="A52" s="391"/>
      <c r="B52" s="391"/>
      <c r="C52" s="391"/>
      <c r="D52" s="391"/>
      <c r="E52" s="391"/>
      <c r="F52" s="391"/>
      <c r="G52" s="391"/>
      <c r="H52" s="391"/>
      <c r="I52" s="391"/>
    </row>
    <row r="53" spans="1:9" x14ac:dyDescent="0.2">
      <c r="D53" s="389" t="s">
        <v>2</v>
      </c>
      <c r="E53" s="390"/>
      <c r="F53" s="390"/>
      <c r="G53" s="390"/>
      <c r="H53" s="390"/>
      <c r="I53" s="390"/>
    </row>
    <row r="54" spans="1:9" ht="12.75" customHeight="1" x14ac:dyDescent="0.2"/>
    <row r="55" spans="1:9" x14ac:dyDescent="0.2">
      <c r="A55" s="391" t="s">
        <v>1</v>
      </c>
      <c r="B55" s="391"/>
      <c r="C55" s="391"/>
      <c r="D55" s="391"/>
      <c r="E55" s="391"/>
      <c r="F55" s="391"/>
      <c r="G55" s="391"/>
      <c r="H55" s="391"/>
      <c r="I55" s="391"/>
    </row>
    <row r="56" spans="1:9" ht="12.75" customHeight="1" x14ac:dyDescent="0.2">
      <c r="A56" s="391"/>
      <c r="B56" s="391"/>
      <c r="C56" s="391"/>
      <c r="D56" s="391"/>
      <c r="E56" s="391"/>
      <c r="F56" s="391"/>
      <c r="G56" s="391"/>
      <c r="H56" s="391"/>
      <c r="I56" s="391"/>
    </row>
    <row r="57" spans="1:9" x14ac:dyDescent="0.2">
      <c r="D57" s="389" t="s">
        <v>2</v>
      </c>
      <c r="E57" s="390"/>
      <c r="F57" s="390"/>
      <c r="G57" s="390"/>
      <c r="H57" s="390"/>
      <c r="I57" s="390"/>
    </row>
    <row r="58" spans="1:9" ht="12.75" customHeight="1" x14ac:dyDescent="0.2"/>
    <row r="59" spans="1:9" x14ac:dyDescent="0.2">
      <c r="A59" s="391" t="s">
        <v>5</v>
      </c>
      <c r="B59" s="391"/>
      <c r="C59" s="391"/>
      <c r="D59" s="391"/>
      <c r="E59" s="391"/>
      <c r="F59" s="391"/>
      <c r="G59" s="6" t="s">
        <v>7</v>
      </c>
      <c r="H59" s="391"/>
      <c r="I59" s="391"/>
    </row>
    <row r="60" spans="1:9" x14ac:dyDescent="0.2">
      <c r="D60" s="389" t="s">
        <v>40</v>
      </c>
      <c r="E60" s="390"/>
      <c r="F60" s="390"/>
      <c r="H60" s="389" t="s">
        <v>2</v>
      </c>
      <c r="I60" s="390"/>
    </row>
    <row r="61" spans="1:9" ht="12.75" customHeight="1" x14ac:dyDescent="0.2"/>
    <row r="62" spans="1:9" x14ac:dyDescent="0.2">
      <c r="A62" s="391" t="s">
        <v>3</v>
      </c>
      <c r="B62" s="391"/>
      <c r="C62" s="391"/>
      <c r="D62" s="391"/>
      <c r="E62" s="391"/>
      <c r="F62" s="391"/>
      <c r="G62" s="391"/>
      <c r="H62" s="391"/>
      <c r="I62" s="391"/>
    </row>
    <row r="63" spans="1:9" x14ac:dyDescent="0.2">
      <c r="D63" s="389" t="s">
        <v>6</v>
      </c>
      <c r="E63" s="390"/>
      <c r="F63" s="390"/>
      <c r="G63" s="390"/>
      <c r="H63" s="390"/>
      <c r="I63" s="390"/>
    </row>
    <row r="64" spans="1:9" ht="12.75" customHeight="1" x14ac:dyDescent="0.2"/>
  </sheetData>
  <mergeCells count="92">
    <mergeCell ref="D12:I12"/>
    <mergeCell ref="A12:C12"/>
    <mergeCell ref="A14:I14"/>
    <mergeCell ref="B17:C17"/>
    <mergeCell ref="D17:G17"/>
    <mergeCell ref="B16:C16"/>
    <mergeCell ref="D16:G16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B18:C18"/>
    <mergeCell ref="D18:G18"/>
    <mergeCell ref="B19:C19"/>
    <mergeCell ref="D19:G19"/>
    <mergeCell ref="B20:C20"/>
    <mergeCell ref="D20:G20"/>
    <mergeCell ref="B21:C21"/>
    <mergeCell ref="D21:G21"/>
    <mergeCell ref="B23:C23"/>
    <mergeCell ref="D23:G23"/>
    <mergeCell ref="B24:C24"/>
    <mergeCell ref="D24:G24"/>
    <mergeCell ref="B22:C22"/>
    <mergeCell ref="D22:G22"/>
    <mergeCell ref="B25:C25"/>
    <mergeCell ref="D25:G25"/>
    <mergeCell ref="B26:C26"/>
    <mergeCell ref="D26:G26"/>
    <mergeCell ref="B27:C27"/>
    <mergeCell ref="D27:G27"/>
    <mergeCell ref="B28:C28"/>
    <mergeCell ref="D28:G28"/>
    <mergeCell ref="B29:C29"/>
    <mergeCell ref="D29:G29"/>
    <mergeCell ref="B30:C30"/>
    <mergeCell ref="D30:G30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B43:C43"/>
    <mergeCell ref="D43:G43"/>
    <mergeCell ref="B44:C44"/>
    <mergeCell ref="D44:G44"/>
    <mergeCell ref="B45:C45"/>
    <mergeCell ref="D45:G45"/>
    <mergeCell ref="B46:C46"/>
    <mergeCell ref="D46:G46"/>
    <mergeCell ref="B47:C47"/>
    <mergeCell ref="D47:G47"/>
    <mergeCell ref="A49:C49"/>
    <mergeCell ref="D49:I49"/>
    <mergeCell ref="A51:C52"/>
    <mergeCell ref="D51:I52"/>
    <mergeCell ref="D53:I53"/>
    <mergeCell ref="A55:C56"/>
    <mergeCell ref="D55:I56"/>
    <mergeCell ref="D57:I57"/>
    <mergeCell ref="D63:I63"/>
    <mergeCell ref="A59:C59"/>
    <mergeCell ref="D59:F59"/>
    <mergeCell ref="D60:F60"/>
    <mergeCell ref="H59:I59"/>
    <mergeCell ref="H60:I60"/>
    <mergeCell ref="A62:C62"/>
    <mergeCell ref="D62:I6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7"/>
  <dimension ref="A1:M88"/>
  <sheetViews>
    <sheetView view="pageBreakPreview" topLeftCell="A47" zoomScale="60" zoomScaleNormal="90" workbookViewId="0">
      <selection activeCell="A24" sqref="A24:XFD24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1" width="15" style="5" bestFit="1" customWidth="1"/>
    <col min="12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69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142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16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3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3" ht="110.65" customHeight="1" x14ac:dyDescent="0.2">
      <c r="A18" s="24" t="s">
        <v>10</v>
      </c>
      <c r="B18" s="413" t="s">
        <v>141</v>
      </c>
      <c r="C18" s="414"/>
      <c r="D18" s="415" t="s">
        <v>140</v>
      </c>
      <c r="E18" s="416"/>
      <c r="F18" s="416"/>
      <c r="G18" s="417"/>
      <c r="H18" s="23" t="s">
        <v>1327</v>
      </c>
      <c r="I18" s="22">
        <f>5320  * 21 * 0.2 * 5.94*  1.5 *  1.1*1.4</f>
        <v>306590.96160000004</v>
      </c>
    </row>
    <row r="19" spans="1:13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3" ht="26.45" customHeight="1" x14ac:dyDescent="0.2">
      <c r="A20" s="19" t="s">
        <v>39</v>
      </c>
      <c r="B20" s="421"/>
      <c r="C20" s="422"/>
      <c r="D20" s="421" t="s">
        <v>1291</v>
      </c>
      <c r="E20" s="384"/>
      <c r="F20" s="384"/>
      <c r="G20" s="422"/>
      <c r="H20" s="18"/>
      <c r="I20" s="17"/>
    </row>
    <row r="21" spans="1:13" ht="52.9" customHeight="1" x14ac:dyDescent="0.2">
      <c r="A21" s="19" t="s">
        <v>39</v>
      </c>
      <c r="B21" s="421"/>
      <c r="C21" s="422"/>
      <c r="D21" s="421" t="s">
        <v>1078</v>
      </c>
      <c r="E21" s="384"/>
      <c r="F21" s="384"/>
      <c r="G21" s="422"/>
      <c r="H21" s="18"/>
      <c r="I21" s="17"/>
    </row>
    <row r="22" spans="1:13" ht="184.9" hidden="1" customHeight="1" x14ac:dyDescent="0.2">
      <c r="A22" s="19" t="s">
        <v>39</v>
      </c>
      <c r="B22" s="421"/>
      <c r="C22" s="422"/>
      <c r="D22" s="421" t="s">
        <v>66</v>
      </c>
      <c r="E22" s="384"/>
      <c r="F22" s="384"/>
      <c r="G22" s="422"/>
      <c r="H22" s="18"/>
      <c r="I22" s="17"/>
    </row>
    <row r="23" spans="1:13" ht="92.25" customHeight="1" x14ac:dyDescent="0.2">
      <c r="A23" s="19"/>
      <c r="B23" s="425"/>
      <c r="C23" s="426"/>
      <c r="D23" s="421" t="s">
        <v>567</v>
      </c>
      <c r="E23" s="384"/>
      <c r="F23" s="384"/>
      <c r="G23" s="422"/>
      <c r="H23" s="18"/>
      <c r="I23" s="17"/>
    </row>
    <row r="24" spans="1:13" ht="138.6" customHeight="1" x14ac:dyDescent="0.2">
      <c r="A24" s="19"/>
      <c r="B24" s="425"/>
      <c r="C24" s="426"/>
      <c r="D24" s="421" t="s">
        <v>1290</v>
      </c>
      <c r="E24" s="384"/>
      <c r="F24" s="384"/>
      <c r="G24" s="422"/>
      <c r="H24" s="18"/>
      <c r="I24" s="17"/>
      <c r="J24" s="81"/>
      <c r="K24" s="81"/>
      <c r="L24" s="81"/>
      <c r="M24" s="81"/>
    </row>
    <row r="25" spans="1:13" ht="69" customHeight="1" x14ac:dyDescent="0.2">
      <c r="A25" s="19" t="s">
        <v>39</v>
      </c>
      <c r="B25" s="423"/>
      <c r="C25" s="424"/>
      <c r="D25" s="423" t="s">
        <v>139</v>
      </c>
      <c r="E25" s="418"/>
      <c r="F25" s="418"/>
      <c r="G25" s="424"/>
      <c r="H25" s="21"/>
      <c r="I25" s="20"/>
    </row>
    <row r="26" spans="1:13" ht="26.45" hidden="1" customHeight="1" x14ac:dyDescent="0.2">
      <c r="A26" s="19" t="s">
        <v>39</v>
      </c>
      <c r="B26" s="421"/>
      <c r="C26" s="422"/>
      <c r="D26" s="421" t="s">
        <v>138</v>
      </c>
      <c r="E26" s="384"/>
      <c r="F26" s="384"/>
      <c r="G26" s="422"/>
      <c r="H26" s="18"/>
      <c r="I26" s="17"/>
    </row>
    <row r="27" spans="1:13" ht="39.6" hidden="1" customHeight="1" x14ac:dyDescent="0.2">
      <c r="A27" s="19" t="s">
        <v>39</v>
      </c>
      <c r="B27" s="421"/>
      <c r="C27" s="422"/>
      <c r="D27" s="421" t="s">
        <v>137</v>
      </c>
      <c r="E27" s="384"/>
      <c r="F27" s="384"/>
      <c r="G27" s="422"/>
      <c r="H27" s="18"/>
      <c r="I27" s="17"/>
    </row>
    <row r="28" spans="1:13" ht="26.45" hidden="1" customHeight="1" x14ac:dyDescent="0.2">
      <c r="A28" s="19" t="s">
        <v>39</v>
      </c>
      <c r="B28" s="421"/>
      <c r="C28" s="422"/>
      <c r="D28" s="421" t="s">
        <v>136</v>
      </c>
      <c r="E28" s="384"/>
      <c r="F28" s="384"/>
      <c r="G28" s="422"/>
      <c r="H28" s="18"/>
      <c r="I28" s="17"/>
    </row>
    <row r="29" spans="1:13" ht="39.6" hidden="1" customHeight="1" x14ac:dyDescent="0.2">
      <c r="A29" s="19" t="s">
        <v>39</v>
      </c>
      <c r="B29" s="421"/>
      <c r="C29" s="422"/>
      <c r="D29" s="421" t="s">
        <v>135</v>
      </c>
      <c r="E29" s="384"/>
      <c r="F29" s="384"/>
      <c r="G29" s="422"/>
      <c r="H29" s="18"/>
      <c r="I29" s="17"/>
    </row>
    <row r="30" spans="1:13" ht="66" hidden="1" customHeight="1" x14ac:dyDescent="0.2">
      <c r="A30" s="19" t="s">
        <v>39</v>
      </c>
      <c r="B30" s="421"/>
      <c r="C30" s="422"/>
      <c r="D30" s="421" t="s">
        <v>134</v>
      </c>
      <c r="E30" s="384"/>
      <c r="F30" s="384"/>
      <c r="G30" s="422"/>
      <c r="H30" s="18"/>
      <c r="I30" s="17"/>
    </row>
    <row r="31" spans="1:13" ht="66" hidden="1" customHeight="1" x14ac:dyDescent="0.2">
      <c r="A31" s="19" t="s">
        <v>39</v>
      </c>
      <c r="B31" s="421"/>
      <c r="C31" s="422"/>
      <c r="D31" s="421" t="s">
        <v>133</v>
      </c>
      <c r="E31" s="384"/>
      <c r="F31" s="384"/>
      <c r="G31" s="422"/>
      <c r="H31" s="18"/>
      <c r="I31" s="17"/>
    </row>
    <row r="32" spans="1:13" ht="66" hidden="1" customHeight="1" x14ac:dyDescent="0.2">
      <c r="A32" s="19" t="s">
        <v>39</v>
      </c>
      <c r="B32" s="421"/>
      <c r="C32" s="422"/>
      <c r="D32" s="421" t="s">
        <v>132</v>
      </c>
      <c r="E32" s="384"/>
      <c r="F32" s="384"/>
      <c r="G32" s="422"/>
      <c r="H32" s="18"/>
      <c r="I32" s="17"/>
    </row>
    <row r="33" spans="1:9" ht="79.150000000000006" hidden="1" customHeight="1" x14ac:dyDescent="0.2">
      <c r="A33" s="19" t="s">
        <v>39</v>
      </c>
      <c r="B33" s="421"/>
      <c r="C33" s="422"/>
      <c r="D33" s="421" t="s">
        <v>131</v>
      </c>
      <c r="E33" s="384"/>
      <c r="F33" s="384"/>
      <c r="G33" s="422"/>
      <c r="H33" s="18"/>
      <c r="I33" s="17"/>
    </row>
    <row r="34" spans="1:9" ht="66" hidden="1" customHeight="1" x14ac:dyDescent="0.2">
      <c r="A34" s="19" t="s">
        <v>39</v>
      </c>
      <c r="B34" s="421"/>
      <c r="C34" s="422"/>
      <c r="D34" s="421" t="s">
        <v>130</v>
      </c>
      <c r="E34" s="384"/>
      <c r="F34" s="384"/>
      <c r="G34" s="422"/>
      <c r="H34" s="18"/>
      <c r="I34" s="17"/>
    </row>
    <row r="35" spans="1:9" ht="66" hidden="1" customHeight="1" x14ac:dyDescent="0.2">
      <c r="A35" s="19" t="s">
        <v>39</v>
      </c>
      <c r="B35" s="421"/>
      <c r="C35" s="422"/>
      <c r="D35" s="421" t="s">
        <v>129</v>
      </c>
      <c r="E35" s="384"/>
      <c r="F35" s="384"/>
      <c r="G35" s="422"/>
      <c r="H35" s="18"/>
      <c r="I35" s="17"/>
    </row>
    <row r="36" spans="1:9" ht="26.45" hidden="1" customHeight="1" x14ac:dyDescent="0.2">
      <c r="A36" s="19" t="s">
        <v>39</v>
      </c>
      <c r="B36" s="421"/>
      <c r="C36" s="422"/>
      <c r="D36" s="421" t="s">
        <v>128</v>
      </c>
      <c r="E36" s="384"/>
      <c r="F36" s="384"/>
      <c r="G36" s="422"/>
      <c r="H36" s="18"/>
      <c r="I36" s="17"/>
    </row>
    <row r="37" spans="1:9" ht="39.6" hidden="1" customHeight="1" x14ac:dyDescent="0.2">
      <c r="A37" s="19" t="s">
        <v>39</v>
      </c>
      <c r="B37" s="421"/>
      <c r="C37" s="422"/>
      <c r="D37" s="421" t="s">
        <v>127</v>
      </c>
      <c r="E37" s="384"/>
      <c r="F37" s="384"/>
      <c r="G37" s="422"/>
      <c r="H37" s="18"/>
      <c r="I37" s="17"/>
    </row>
    <row r="38" spans="1:9" ht="39.6" hidden="1" customHeight="1" x14ac:dyDescent="0.2">
      <c r="A38" s="19" t="s">
        <v>39</v>
      </c>
      <c r="B38" s="421"/>
      <c r="C38" s="422"/>
      <c r="D38" s="421" t="s">
        <v>126</v>
      </c>
      <c r="E38" s="384"/>
      <c r="F38" s="384"/>
      <c r="G38" s="422"/>
      <c r="H38" s="18"/>
      <c r="I38" s="17"/>
    </row>
    <row r="39" spans="1:9" ht="39.6" hidden="1" customHeight="1" x14ac:dyDescent="0.2">
      <c r="A39" s="19" t="s">
        <v>39</v>
      </c>
      <c r="B39" s="421"/>
      <c r="C39" s="422"/>
      <c r="D39" s="421" t="s">
        <v>125</v>
      </c>
      <c r="E39" s="384"/>
      <c r="F39" s="384"/>
      <c r="G39" s="422"/>
      <c r="H39" s="18"/>
      <c r="I39" s="17"/>
    </row>
    <row r="40" spans="1:9" ht="26.45" hidden="1" customHeight="1" x14ac:dyDescent="0.2">
      <c r="A40" s="16" t="s">
        <v>39</v>
      </c>
      <c r="B40" s="427"/>
      <c r="C40" s="428"/>
      <c r="D40" s="427" t="s">
        <v>124</v>
      </c>
      <c r="E40" s="429"/>
      <c r="F40" s="429"/>
      <c r="G40" s="428"/>
      <c r="H40" s="15"/>
      <c r="I40" s="14"/>
    </row>
    <row r="41" spans="1:9" ht="163.35" customHeight="1" x14ac:dyDescent="0.2">
      <c r="A41" s="24" t="s">
        <v>11</v>
      </c>
      <c r="B41" s="413" t="s">
        <v>123</v>
      </c>
      <c r="C41" s="414"/>
      <c r="D41" s="415" t="s">
        <v>122</v>
      </c>
      <c r="E41" s="416"/>
      <c r="F41" s="416"/>
      <c r="G41" s="417"/>
      <c r="H41" s="23" t="s">
        <v>1092</v>
      </c>
      <c r="I41" s="22">
        <f>(437400  + 64  * 3460) * 1 * 0.4 * 1.4 * 1.2 * 1.4</f>
        <v>619836.6719999999</v>
      </c>
    </row>
    <row r="42" spans="1:9" ht="16.149999999999999" customHeight="1" x14ac:dyDescent="0.2">
      <c r="A42" s="19" t="s">
        <v>39</v>
      </c>
      <c r="B42" s="423"/>
      <c r="C42" s="424"/>
      <c r="D42" s="423" t="s">
        <v>45</v>
      </c>
      <c r="E42" s="418"/>
      <c r="F42" s="418"/>
      <c r="G42" s="424"/>
      <c r="H42" s="21"/>
      <c r="I42" s="20"/>
    </row>
    <row r="43" spans="1:9" ht="26.45" customHeight="1" x14ac:dyDescent="0.2">
      <c r="A43" s="19" t="s">
        <v>39</v>
      </c>
      <c r="B43" s="421"/>
      <c r="C43" s="422"/>
      <c r="D43" s="421" t="s">
        <v>58</v>
      </c>
      <c r="E43" s="384"/>
      <c r="F43" s="384"/>
      <c r="G43" s="422"/>
      <c r="H43" s="18"/>
      <c r="I43" s="17"/>
    </row>
    <row r="44" spans="1:9" ht="52.9" customHeight="1" x14ac:dyDescent="0.2">
      <c r="A44" s="19" t="s">
        <v>39</v>
      </c>
      <c r="B44" s="421"/>
      <c r="C44" s="422"/>
      <c r="D44" s="421" t="s">
        <v>1082</v>
      </c>
      <c r="E44" s="384"/>
      <c r="F44" s="384"/>
      <c r="G44" s="422"/>
      <c r="H44" s="18"/>
      <c r="I44" s="17"/>
    </row>
    <row r="45" spans="1:9" ht="184.9" hidden="1" customHeight="1" x14ac:dyDescent="0.2">
      <c r="A45" s="19" t="s">
        <v>39</v>
      </c>
      <c r="B45" s="421"/>
      <c r="C45" s="422"/>
      <c r="D45" s="421" t="s">
        <v>66</v>
      </c>
      <c r="E45" s="384"/>
      <c r="F45" s="384"/>
      <c r="G45" s="422"/>
      <c r="H45" s="18"/>
      <c r="I45" s="17"/>
    </row>
    <row r="46" spans="1:9" ht="93.75" customHeight="1" x14ac:dyDescent="0.2">
      <c r="A46" s="19"/>
      <c r="B46" s="425"/>
      <c r="C46" s="426"/>
      <c r="D46" s="421" t="s">
        <v>566</v>
      </c>
      <c r="E46" s="384"/>
      <c r="F46" s="384"/>
      <c r="G46" s="422"/>
      <c r="H46" s="18"/>
      <c r="I46" s="17"/>
    </row>
    <row r="47" spans="1:9" ht="84.75" customHeight="1" x14ac:dyDescent="0.2">
      <c r="A47" s="19" t="s">
        <v>39</v>
      </c>
      <c r="B47" s="421"/>
      <c r="C47" s="422"/>
      <c r="D47" s="421" t="s">
        <v>1089</v>
      </c>
      <c r="E47" s="384"/>
      <c r="F47" s="384"/>
      <c r="G47" s="422"/>
      <c r="H47" s="18"/>
      <c r="I47" s="17"/>
    </row>
    <row r="48" spans="1:9" ht="42.6" customHeight="1" x14ac:dyDescent="0.2">
      <c r="A48" s="19" t="s">
        <v>39</v>
      </c>
      <c r="B48" s="423"/>
      <c r="C48" s="424"/>
      <c r="D48" s="423" t="s">
        <v>121</v>
      </c>
      <c r="E48" s="418"/>
      <c r="F48" s="418"/>
      <c r="G48" s="424"/>
      <c r="H48" s="21"/>
      <c r="I48" s="20"/>
    </row>
    <row r="49" spans="1:9" ht="26.45" hidden="1" customHeight="1" x14ac:dyDescent="0.2">
      <c r="A49" s="19" t="s">
        <v>39</v>
      </c>
      <c r="B49" s="421"/>
      <c r="C49" s="422"/>
      <c r="D49" s="441" t="s">
        <v>120</v>
      </c>
      <c r="E49" s="442"/>
      <c r="F49" s="442"/>
      <c r="G49" s="443"/>
      <c r="H49" s="18"/>
      <c r="I49" s="17"/>
    </row>
    <row r="50" spans="1:9" ht="26.45" hidden="1" customHeight="1" x14ac:dyDescent="0.2">
      <c r="A50" s="19" t="s">
        <v>39</v>
      </c>
      <c r="B50" s="421"/>
      <c r="C50" s="422"/>
      <c r="D50" s="421" t="s">
        <v>119</v>
      </c>
      <c r="E50" s="384"/>
      <c r="F50" s="384"/>
      <c r="G50" s="422"/>
      <c r="H50" s="18"/>
      <c r="I50" s="17"/>
    </row>
    <row r="51" spans="1:9" ht="52.9" hidden="1" customHeight="1" x14ac:dyDescent="0.2">
      <c r="A51" s="19" t="s">
        <v>39</v>
      </c>
      <c r="B51" s="421"/>
      <c r="C51" s="422"/>
      <c r="D51" s="421" t="s">
        <v>118</v>
      </c>
      <c r="E51" s="384"/>
      <c r="F51" s="384"/>
      <c r="G51" s="422"/>
      <c r="H51" s="18"/>
      <c r="I51" s="17"/>
    </row>
    <row r="52" spans="1:9" ht="26.45" hidden="1" customHeight="1" x14ac:dyDescent="0.2">
      <c r="A52" s="19" t="s">
        <v>39</v>
      </c>
      <c r="B52" s="421"/>
      <c r="C52" s="422"/>
      <c r="D52" s="421" t="s">
        <v>117</v>
      </c>
      <c r="E52" s="384"/>
      <c r="F52" s="384"/>
      <c r="G52" s="422"/>
      <c r="H52" s="18"/>
      <c r="I52" s="17"/>
    </row>
    <row r="53" spans="1:9" ht="39.6" hidden="1" customHeight="1" x14ac:dyDescent="0.2">
      <c r="A53" s="19" t="s">
        <v>39</v>
      </c>
      <c r="B53" s="421"/>
      <c r="C53" s="422"/>
      <c r="D53" s="441" t="s">
        <v>116</v>
      </c>
      <c r="E53" s="442"/>
      <c r="F53" s="442"/>
      <c r="G53" s="443"/>
      <c r="H53" s="18"/>
      <c r="I53" s="17"/>
    </row>
    <row r="54" spans="1:9" ht="39.6" hidden="1" customHeight="1" x14ac:dyDescent="0.2">
      <c r="A54" s="19" t="s">
        <v>39</v>
      </c>
      <c r="B54" s="421"/>
      <c r="C54" s="422"/>
      <c r="D54" s="421" t="s">
        <v>115</v>
      </c>
      <c r="E54" s="384"/>
      <c r="F54" s="384"/>
      <c r="G54" s="422"/>
      <c r="H54" s="18"/>
      <c r="I54" s="17"/>
    </row>
    <row r="55" spans="1:9" ht="26.45" hidden="1" customHeight="1" x14ac:dyDescent="0.2">
      <c r="A55" s="16" t="s">
        <v>39</v>
      </c>
      <c r="B55" s="427"/>
      <c r="C55" s="428"/>
      <c r="D55" s="427" t="s">
        <v>114</v>
      </c>
      <c r="E55" s="429"/>
      <c r="F55" s="429"/>
      <c r="G55" s="428"/>
      <c r="H55" s="15"/>
      <c r="I55" s="14"/>
    </row>
    <row r="56" spans="1:9" ht="163.35" customHeight="1" x14ac:dyDescent="0.2">
      <c r="A56" s="24" t="s">
        <v>13</v>
      </c>
      <c r="B56" s="413" t="s">
        <v>113</v>
      </c>
      <c r="C56" s="414"/>
      <c r="D56" s="415" t="s">
        <v>112</v>
      </c>
      <c r="E56" s="416"/>
      <c r="F56" s="416"/>
      <c r="G56" s="417"/>
      <c r="H56" s="23" t="s">
        <v>1093</v>
      </c>
      <c r="I56" s="22">
        <f>(199600  + 82  * 5220) * 1 * 0.4 * 1.4 * 1.2 * 1.4</f>
        <v>590483.71199999994</v>
      </c>
    </row>
    <row r="57" spans="1:9" ht="16.149999999999999" customHeight="1" x14ac:dyDescent="0.2">
      <c r="A57" s="19" t="s">
        <v>39</v>
      </c>
      <c r="B57" s="423"/>
      <c r="C57" s="424"/>
      <c r="D57" s="423" t="s">
        <v>45</v>
      </c>
      <c r="E57" s="418"/>
      <c r="F57" s="418"/>
      <c r="G57" s="424"/>
      <c r="H57" s="21"/>
      <c r="I57" s="20"/>
    </row>
    <row r="58" spans="1:9" ht="26.45" customHeight="1" x14ac:dyDescent="0.2">
      <c r="A58" s="19" t="s">
        <v>39</v>
      </c>
      <c r="B58" s="421"/>
      <c r="C58" s="422"/>
      <c r="D58" s="421" t="s">
        <v>58</v>
      </c>
      <c r="E58" s="384"/>
      <c r="F58" s="384"/>
      <c r="G58" s="422"/>
      <c r="H58" s="18"/>
      <c r="I58" s="17"/>
    </row>
    <row r="59" spans="1:9" ht="52.9" customHeight="1" x14ac:dyDescent="0.2">
      <c r="A59" s="19" t="s">
        <v>39</v>
      </c>
      <c r="B59" s="421"/>
      <c r="C59" s="422"/>
      <c r="D59" s="421" t="s">
        <v>1082</v>
      </c>
      <c r="E59" s="384"/>
      <c r="F59" s="384"/>
      <c r="G59" s="422"/>
      <c r="H59" s="18"/>
      <c r="I59" s="17"/>
    </row>
    <row r="60" spans="1:9" ht="184.9" hidden="1" customHeight="1" x14ac:dyDescent="0.2">
      <c r="A60" s="19" t="s">
        <v>39</v>
      </c>
      <c r="B60" s="421"/>
      <c r="C60" s="422"/>
      <c r="D60" s="421" t="s">
        <v>66</v>
      </c>
      <c r="E60" s="384"/>
      <c r="F60" s="384"/>
      <c r="G60" s="422"/>
      <c r="H60" s="18"/>
      <c r="I60" s="17"/>
    </row>
    <row r="61" spans="1:9" ht="93.75" customHeight="1" x14ac:dyDescent="0.2">
      <c r="A61" s="19"/>
      <c r="B61" s="425"/>
      <c r="C61" s="426"/>
      <c r="D61" s="421" t="s">
        <v>566</v>
      </c>
      <c r="E61" s="384"/>
      <c r="F61" s="384"/>
      <c r="G61" s="422"/>
      <c r="H61" s="18"/>
      <c r="I61" s="17"/>
    </row>
    <row r="62" spans="1:9" ht="69" customHeight="1" x14ac:dyDescent="0.2">
      <c r="A62" s="19" t="s">
        <v>39</v>
      </c>
      <c r="B62" s="421"/>
      <c r="C62" s="422"/>
      <c r="D62" s="421" t="s">
        <v>1089</v>
      </c>
      <c r="E62" s="384"/>
      <c r="F62" s="384"/>
      <c r="G62" s="422"/>
      <c r="H62" s="18"/>
      <c r="I62" s="17"/>
    </row>
    <row r="63" spans="1:9" ht="42.6" customHeight="1" x14ac:dyDescent="0.2">
      <c r="A63" s="19" t="s">
        <v>39</v>
      </c>
      <c r="B63" s="423"/>
      <c r="C63" s="424"/>
      <c r="D63" s="423" t="s">
        <v>111</v>
      </c>
      <c r="E63" s="418"/>
      <c r="F63" s="418"/>
      <c r="G63" s="424"/>
      <c r="H63" s="21"/>
      <c r="I63" s="20"/>
    </row>
    <row r="64" spans="1:9" ht="26.45" hidden="1" customHeight="1" x14ac:dyDescent="0.2">
      <c r="A64" s="19" t="s">
        <v>39</v>
      </c>
      <c r="B64" s="421"/>
      <c r="C64" s="422"/>
      <c r="D64" s="441" t="s">
        <v>110</v>
      </c>
      <c r="E64" s="442"/>
      <c r="F64" s="442"/>
      <c r="G64" s="443"/>
      <c r="H64" s="18"/>
      <c r="I64" s="17"/>
    </row>
    <row r="65" spans="1:11" ht="26.45" hidden="1" customHeight="1" x14ac:dyDescent="0.2">
      <c r="A65" s="19" t="s">
        <v>39</v>
      </c>
      <c r="B65" s="421"/>
      <c r="C65" s="422"/>
      <c r="D65" s="421" t="s">
        <v>109</v>
      </c>
      <c r="E65" s="384"/>
      <c r="F65" s="384"/>
      <c r="G65" s="422"/>
      <c r="H65" s="18"/>
      <c r="I65" s="17"/>
    </row>
    <row r="66" spans="1:11" ht="52.9" hidden="1" customHeight="1" x14ac:dyDescent="0.2">
      <c r="A66" s="19" t="s">
        <v>39</v>
      </c>
      <c r="B66" s="421"/>
      <c r="C66" s="422"/>
      <c r="D66" s="421" t="s">
        <v>108</v>
      </c>
      <c r="E66" s="384"/>
      <c r="F66" s="384"/>
      <c r="G66" s="422"/>
      <c r="H66" s="18"/>
      <c r="I66" s="17"/>
    </row>
    <row r="67" spans="1:11" ht="26.45" hidden="1" customHeight="1" x14ac:dyDescent="0.2">
      <c r="A67" s="19" t="s">
        <v>39</v>
      </c>
      <c r="B67" s="421"/>
      <c r="C67" s="422"/>
      <c r="D67" s="421" t="s">
        <v>107</v>
      </c>
      <c r="E67" s="384"/>
      <c r="F67" s="384"/>
      <c r="G67" s="422"/>
      <c r="H67" s="18"/>
      <c r="I67" s="17"/>
    </row>
    <row r="68" spans="1:11" ht="39.6" hidden="1" customHeight="1" x14ac:dyDescent="0.2">
      <c r="A68" s="19" t="s">
        <v>39</v>
      </c>
      <c r="B68" s="421"/>
      <c r="C68" s="422"/>
      <c r="D68" s="441" t="s">
        <v>106</v>
      </c>
      <c r="E68" s="442"/>
      <c r="F68" s="442"/>
      <c r="G68" s="443"/>
      <c r="H68" s="18"/>
      <c r="I68" s="17"/>
    </row>
    <row r="69" spans="1:11" ht="39.6" hidden="1" customHeight="1" x14ac:dyDescent="0.2">
      <c r="A69" s="19" t="s">
        <v>39</v>
      </c>
      <c r="B69" s="421"/>
      <c r="C69" s="422"/>
      <c r="D69" s="421" t="s">
        <v>105</v>
      </c>
      <c r="E69" s="384"/>
      <c r="F69" s="384"/>
      <c r="G69" s="422"/>
      <c r="H69" s="18"/>
      <c r="I69" s="17"/>
    </row>
    <row r="70" spans="1:11" ht="26.45" hidden="1" customHeight="1" x14ac:dyDescent="0.2">
      <c r="A70" s="16" t="s">
        <v>39</v>
      </c>
      <c r="B70" s="427"/>
      <c r="C70" s="428"/>
      <c r="D70" s="427" t="s">
        <v>104</v>
      </c>
      <c r="E70" s="429"/>
      <c r="F70" s="429"/>
      <c r="G70" s="428"/>
      <c r="H70" s="15"/>
      <c r="I70" s="14"/>
    </row>
    <row r="71" spans="1:11" ht="13.15" customHeight="1" x14ac:dyDescent="0.2">
      <c r="A71" s="11" t="s">
        <v>15</v>
      </c>
      <c r="B71" s="395" t="s">
        <v>43</v>
      </c>
      <c r="C71" s="396"/>
      <c r="D71" s="395"/>
      <c r="E71" s="397"/>
      <c r="F71" s="397"/>
      <c r="G71" s="396"/>
      <c r="H71" s="10"/>
      <c r="I71" s="9">
        <f>I18+I41+I56</f>
        <v>1516911.3455999999</v>
      </c>
      <c r="K71" s="87"/>
    </row>
    <row r="72" spans="1:11" ht="13.15" customHeight="1" x14ac:dyDescent="0.2">
      <c r="A72" s="11" t="s">
        <v>17</v>
      </c>
      <c r="B72" s="395" t="s">
        <v>42</v>
      </c>
      <c r="C72" s="396"/>
      <c r="D72" s="395"/>
      <c r="E72" s="397"/>
      <c r="F72" s="397"/>
      <c r="G72" s="396"/>
      <c r="H72" s="10"/>
      <c r="I72" s="9">
        <f>I71</f>
        <v>1516911.3455999999</v>
      </c>
    </row>
    <row r="73" spans="1:11" ht="12.75" customHeight="1" x14ac:dyDescent="0.2"/>
    <row r="74" spans="1:11" ht="12.75" customHeight="1" x14ac:dyDescent="0.2">
      <c r="D74" s="7"/>
    </row>
    <row r="75" spans="1:11" x14ac:dyDescent="0.2">
      <c r="A75" s="391" t="s">
        <v>0</v>
      </c>
      <c r="B75" s="391"/>
      <c r="C75" s="391"/>
      <c r="D75" s="391"/>
      <c r="E75" s="391"/>
      <c r="F75" s="391"/>
      <c r="G75" s="391"/>
      <c r="H75" s="391"/>
      <c r="I75" s="391"/>
    </row>
    <row r="76" spans="1:11" ht="12.75" customHeight="1" x14ac:dyDescent="0.2">
      <c r="A76" s="391"/>
      <c r="B76" s="391"/>
      <c r="C76" s="391"/>
      <c r="D76" s="391"/>
      <c r="E76" s="391"/>
      <c r="F76" s="391"/>
      <c r="G76" s="391"/>
      <c r="H76" s="391"/>
      <c r="I76" s="391"/>
    </row>
    <row r="77" spans="1:11" x14ac:dyDescent="0.2">
      <c r="D77" s="389" t="s">
        <v>2</v>
      </c>
      <c r="E77" s="390"/>
      <c r="F77" s="390"/>
      <c r="G77" s="390"/>
      <c r="H77" s="390"/>
      <c r="I77" s="390"/>
    </row>
    <row r="78" spans="1:11" ht="12.75" customHeight="1" x14ac:dyDescent="0.2"/>
    <row r="79" spans="1:11" x14ac:dyDescent="0.2">
      <c r="A79" s="391" t="s">
        <v>1</v>
      </c>
      <c r="B79" s="391"/>
      <c r="C79" s="391"/>
      <c r="D79" s="391"/>
      <c r="E79" s="391"/>
      <c r="F79" s="391"/>
      <c r="G79" s="391"/>
      <c r="H79" s="391"/>
      <c r="I79" s="391"/>
    </row>
    <row r="80" spans="1:11" ht="12.75" customHeight="1" x14ac:dyDescent="0.2">
      <c r="A80" s="391"/>
      <c r="B80" s="391"/>
      <c r="C80" s="391"/>
      <c r="D80" s="391"/>
      <c r="E80" s="391"/>
      <c r="F80" s="391"/>
      <c r="G80" s="391"/>
      <c r="H80" s="391"/>
      <c r="I80" s="391"/>
    </row>
    <row r="81" spans="1:9" x14ac:dyDescent="0.2">
      <c r="D81" s="389" t="s">
        <v>2</v>
      </c>
      <c r="E81" s="390"/>
      <c r="F81" s="390"/>
      <c r="G81" s="390"/>
      <c r="H81" s="390"/>
      <c r="I81" s="390"/>
    </row>
    <row r="82" spans="1:9" ht="12.75" customHeight="1" x14ac:dyDescent="0.2"/>
    <row r="83" spans="1:9" x14ac:dyDescent="0.2">
      <c r="A83" s="391" t="s">
        <v>5</v>
      </c>
      <c r="B83" s="391"/>
      <c r="C83" s="391"/>
      <c r="D83" s="391"/>
      <c r="E83" s="391"/>
      <c r="F83" s="391"/>
      <c r="G83" s="6" t="s">
        <v>7</v>
      </c>
      <c r="H83" s="391"/>
      <c r="I83" s="391"/>
    </row>
    <row r="84" spans="1:9" x14ac:dyDescent="0.2">
      <c r="D84" s="389" t="s">
        <v>40</v>
      </c>
      <c r="E84" s="390"/>
      <c r="F84" s="390"/>
      <c r="H84" s="389" t="s">
        <v>2</v>
      </c>
      <c r="I84" s="390"/>
    </row>
    <row r="85" spans="1:9" ht="12.75" customHeight="1" x14ac:dyDescent="0.2"/>
    <row r="86" spans="1:9" x14ac:dyDescent="0.2">
      <c r="A86" s="391" t="s">
        <v>3</v>
      </c>
      <c r="B86" s="391"/>
      <c r="C86" s="391"/>
      <c r="D86" s="391"/>
      <c r="E86" s="391"/>
      <c r="F86" s="391"/>
      <c r="G86" s="391"/>
      <c r="H86" s="391"/>
      <c r="I86" s="391"/>
    </row>
    <row r="87" spans="1:9" x14ac:dyDescent="0.2">
      <c r="D87" s="389" t="s">
        <v>6</v>
      </c>
      <c r="E87" s="390"/>
      <c r="F87" s="390"/>
      <c r="G87" s="390"/>
      <c r="H87" s="390"/>
      <c r="I87" s="390"/>
    </row>
    <row r="88" spans="1:9" ht="12.75" customHeight="1" x14ac:dyDescent="0.2"/>
  </sheetData>
  <mergeCells count="140">
    <mergeCell ref="B69:C69"/>
    <mergeCell ref="D69:G69"/>
    <mergeCell ref="B70:C70"/>
    <mergeCell ref="D70:G70"/>
    <mergeCell ref="B71:C71"/>
    <mergeCell ref="D71:G71"/>
    <mergeCell ref="B66:C66"/>
    <mergeCell ref="D66:G66"/>
    <mergeCell ref="B67:C67"/>
    <mergeCell ref="D67:G67"/>
    <mergeCell ref="B68:C68"/>
    <mergeCell ref="D68:G68"/>
    <mergeCell ref="D87:I87"/>
    <mergeCell ref="D77:I77"/>
    <mergeCell ref="A79:C80"/>
    <mergeCell ref="D79:I80"/>
    <mergeCell ref="D81:I81"/>
    <mergeCell ref="A83:C83"/>
    <mergeCell ref="D83:F83"/>
    <mergeCell ref="B72:C72"/>
    <mergeCell ref="D72:G72"/>
    <mergeCell ref="A75:C76"/>
    <mergeCell ref="D75:I76"/>
    <mergeCell ref="D84:F84"/>
    <mergeCell ref="H83:I83"/>
    <mergeCell ref="H84:I84"/>
    <mergeCell ref="A86:C86"/>
    <mergeCell ref="D86:I86"/>
    <mergeCell ref="D64:G64"/>
    <mergeCell ref="B65:C65"/>
    <mergeCell ref="D65:G65"/>
    <mergeCell ref="B59:C59"/>
    <mergeCell ref="D59:G59"/>
    <mergeCell ref="B60:C60"/>
    <mergeCell ref="D60:G60"/>
    <mergeCell ref="B62:C62"/>
    <mergeCell ref="D62:G62"/>
    <mergeCell ref="B63:C63"/>
    <mergeCell ref="D63:G63"/>
    <mergeCell ref="B64:C64"/>
    <mergeCell ref="B56:C56"/>
    <mergeCell ref="D56:G56"/>
    <mergeCell ref="B57:C57"/>
    <mergeCell ref="D57:G57"/>
    <mergeCell ref="B58:C58"/>
    <mergeCell ref="D58:G58"/>
    <mergeCell ref="B61:C61"/>
    <mergeCell ref="D61:G61"/>
    <mergeCell ref="B53:C53"/>
    <mergeCell ref="D53:G53"/>
    <mergeCell ref="B54:C54"/>
    <mergeCell ref="D54:G54"/>
    <mergeCell ref="B55:C55"/>
    <mergeCell ref="D55:G55"/>
    <mergeCell ref="B50:C50"/>
    <mergeCell ref="D50:G50"/>
    <mergeCell ref="B51:C51"/>
    <mergeCell ref="D51:G51"/>
    <mergeCell ref="B52:C52"/>
    <mergeCell ref="D52:G52"/>
    <mergeCell ref="B47:C47"/>
    <mergeCell ref="D47:G47"/>
    <mergeCell ref="B48:C48"/>
    <mergeCell ref="D48:G48"/>
    <mergeCell ref="B49:C49"/>
    <mergeCell ref="D49:G49"/>
    <mergeCell ref="B43:C43"/>
    <mergeCell ref="D43:G43"/>
    <mergeCell ref="B44:C44"/>
    <mergeCell ref="D44:G44"/>
    <mergeCell ref="B45:C45"/>
    <mergeCell ref="D45:G45"/>
    <mergeCell ref="D46:G46"/>
    <mergeCell ref="B46:C46"/>
    <mergeCell ref="B40:C40"/>
    <mergeCell ref="D40:G40"/>
    <mergeCell ref="B41:C41"/>
    <mergeCell ref="D41:G41"/>
    <mergeCell ref="B42:C42"/>
    <mergeCell ref="D42:G42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B26:C26"/>
    <mergeCell ref="D26:G26"/>
    <mergeCell ref="B27:C27"/>
    <mergeCell ref="D27:G27"/>
    <mergeCell ref="B21:C21"/>
    <mergeCell ref="D21:G21"/>
    <mergeCell ref="B22:C22"/>
    <mergeCell ref="D22:G22"/>
    <mergeCell ref="B24:C24"/>
    <mergeCell ref="D24:G24"/>
    <mergeCell ref="B18:C18"/>
    <mergeCell ref="D18:G18"/>
    <mergeCell ref="B19:C19"/>
    <mergeCell ref="D19:G19"/>
    <mergeCell ref="B20:C20"/>
    <mergeCell ref="D20:G20"/>
    <mergeCell ref="D23:G23"/>
    <mergeCell ref="B23:C23"/>
    <mergeCell ref="D12:I12"/>
    <mergeCell ref="A12:C12"/>
    <mergeCell ref="A14:I14"/>
    <mergeCell ref="B17:C17"/>
    <mergeCell ref="D17:G17"/>
    <mergeCell ref="B16:C16"/>
    <mergeCell ref="D16:G16"/>
    <mergeCell ref="D10:I10"/>
    <mergeCell ref="D1:I1"/>
    <mergeCell ref="A3:I3"/>
    <mergeCell ref="A4:I4"/>
    <mergeCell ref="A1:C1"/>
    <mergeCell ref="A8:I8"/>
    <mergeCell ref="A10:C10"/>
    <mergeCell ref="A6:B6"/>
    <mergeCell ref="C6:G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2"/>
  <dimension ref="A1:J60"/>
  <sheetViews>
    <sheetView view="pageBreakPreview" topLeftCell="A2" zoomScale="60" zoomScaleNormal="100" workbookViewId="0">
      <selection activeCell="A24" sqref="A24:XFD24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25.5" customHeight="1" x14ac:dyDescent="0.2">
      <c r="A1" s="419" t="s">
        <v>55</v>
      </c>
      <c r="B1" s="419"/>
      <c r="C1" s="419"/>
      <c r="D1" s="381" t="s">
        <v>54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53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51" customHeight="1" x14ac:dyDescent="0.2">
      <c r="A6" s="386" t="s">
        <v>51</v>
      </c>
      <c r="B6" s="386"/>
      <c r="C6" s="384" t="s">
        <v>50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18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1088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0" ht="123.75" customHeight="1" x14ac:dyDescent="0.2">
      <c r="A18" s="24" t="s">
        <v>10</v>
      </c>
      <c r="B18" s="413" t="s">
        <v>412</v>
      </c>
      <c r="C18" s="414"/>
      <c r="D18" s="415" t="s">
        <v>465</v>
      </c>
      <c r="E18" s="416"/>
      <c r="F18" s="416"/>
      <c r="G18" s="417"/>
      <c r="H18" s="23" t="s">
        <v>1328</v>
      </c>
      <c r="I18" s="22">
        <f>(155600+15*(0.4*1000+0.6*3195))*1*0.6*1.15*1.1*1.4</f>
        <v>202271.223</v>
      </c>
      <c r="J18" s="78"/>
    </row>
    <row r="19" spans="1:10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0" ht="26.45" customHeight="1" x14ac:dyDescent="0.2">
      <c r="A20" s="67" t="s">
        <v>39</v>
      </c>
      <c r="B20" s="444"/>
      <c r="C20" s="445"/>
      <c r="D20" s="444" t="s">
        <v>1294</v>
      </c>
      <c r="E20" s="446"/>
      <c r="F20" s="446"/>
      <c r="G20" s="445"/>
      <c r="H20" s="68"/>
      <c r="I20" s="69"/>
    </row>
    <row r="21" spans="1:10" ht="26.45" hidden="1" customHeight="1" x14ac:dyDescent="0.2">
      <c r="A21" s="67" t="s">
        <v>39</v>
      </c>
      <c r="B21" s="444"/>
      <c r="C21" s="445"/>
      <c r="D21" s="444" t="s">
        <v>452</v>
      </c>
      <c r="E21" s="446"/>
      <c r="F21" s="446"/>
      <c r="G21" s="445"/>
      <c r="H21" s="68"/>
      <c r="I21" s="69"/>
    </row>
    <row r="22" spans="1:10" ht="26.45" hidden="1" customHeight="1" x14ac:dyDescent="0.2">
      <c r="A22" s="67" t="s">
        <v>39</v>
      </c>
      <c r="B22" s="444"/>
      <c r="C22" s="445"/>
      <c r="D22" s="444" t="s">
        <v>453</v>
      </c>
      <c r="E22" s="446"/>
      <c r="F22" s="446"/>
      <c r="G22" s="445"/>
      <c r="H22" s="68"/>
      <c r="I22" s="69"/>
    </row>
    <row r="23" spans="1:10" ht="104.25" customHeight="1" x14ac:dyDescent="0.2">
      <c r="A23" s="67" t="s">
        <v>39</v>
      </c>
      <c r="B23" s="444"/>
      <c r="C23" s="445"/>
      <c r="D23" s="444" t="s">
        <v>454</v>
      </c>
      <c r="E23" s="446"/>
      <c r="F23" s="446"/>
      <c r="G23" s="445"/>
      <c r="H23" s="68"/>
      <c r="I23" s="69"/>
    </row>
    <row r="24" spans="1:10" ht="156.6" customHeight="1" x14ac:dyDescent="0.2">
      <c r="A24" s="19" t="s">
        <v>39</v>
      </c>
      <c r="B24" s="421"/>
      <c r="C24" s="422"/>
      <c r="D24" s="421" t="s">
        <v>580</v>
      </c>
      <c r="E24" s="384"/>
      <c r="F24" s="384"/>
      <c r="G24" s="422"/>
      <c r="H24" s="18"/>
      <c r="I24" s="17"/>
    </row>
    <row r="25" spans="1:10" ht="68.25" customHeight="1" x14ac:dyDescent="0.2">
      <c r="A25" s="67" t="s">
        <v>39</v>
      </c>
      <c r="B25" s="450"/>
      <c r="C25" s="451"/>
      <c r="D25" s="450" t="s">
        <v>455</v>
      </c>
      <c r="E25" s="452"/>
      <c r="F25" s="452"/>
      <c r="G25" s="451"/>
      <c r="H25" s="70"/>
      <c r="I25" s="71"/>
    </row>
    <row r="26" spans="1:10" ht="43.5" hidden="1" customHeight="1" x14ac:dyDescent="0.2">
      <c r="A26" s="67" t="s">
        <v>39</v>
      </c>
      <c r="B26" s="444"/>
      <c r="C26" s="445"/>
      <c r="D26" s="444" t="s">
        <v>456</v>
      </c>
      <c r="E26" s="446"/>
      <c r="F26" s="446"/>
      <c r="G26" s="445"/>
      <c r="H26" s="68"/>
      <c r="I26" s="69"/>
    </row>
    <row r="27" spans="1:10" ht="43.5" hidden="1" customHeight="1" x14ac:dyDescent="0.2">
      <c r="A27" s="67" t="s">
        <v>39</v>
      </c>
      <c r="B27" s="444"/>
      <c r="C27" s="445"/>
      <c r="D27" s="444" t="s">
        <v>457</v>
      </c>
      <c r="E27" s="446"/>
      <c r="F27" s="446"/>
      <c r="G27" s="445"/>
      <c r="H27" s="68"/>
      <c r="I27" s="69"/>
    </row>
    <row r="28" spans="1:10" ht="43.5" hidden="1" customHeight="1" x14ac:dyDescent="0.2">
      <c r="A28" s="67" t="s">
        <v>39</v>
      </c>
      <c r="B28" s="444"/>
      <c r="C28" s="445"/>
      <c r="D28" s="444" t="s">
        <v>458</v>
      </c>
      <c r="E28" s="446"/>
      <c r="F28" s="446"/>
      <c r="G28" s="445"/>
      <c r="H28" s="68"/>
      <c r="I28" s="69"/>
    </row>
    <row r="29" spans="1:10" ht="43.5" hidden="1" customHeight="1" x14ac:dyDescent="0.2">
      <c r="A29" s="67" t="s">
        <v>39</v>
      </c>
      <c r="B29" s="444"/>
      <c r="C29" s="445"/>
      <c r="D29" s="444" t="s">
        <v>459</v>
      </c>
      <c r="E29" s="446"/>
      <c r="F29" s="446"/>
      <c r="G29" s="445"/>
      <c r="H29" s="68"/>
      <c r="I29" s="69"/>
    </row>
    <row r="30" spans="1:10" ht="43.5" hidden="1" customHeight="1" x14ac:dyDescent="0.2">
      <c r="A30" s="67" t="s">
        <v>39</v>
      </c>
      <c r="B30" s="444"/>
      <c r="C30" s="445"/>
      <c r="D30" s="444" t="s">
        <v>460</v>
      </c>
      <c r="E30" s="446"/>
      <c r="F30" s="446"/>
      <c r="G30" s="445"/>
      <c r="H30" s="68"/>
      <c r="I30" s="69"/>
    </row>
    <row r="31" spans="1:10" ht="43.5" hidden="1" customHeight="1" x14ac:dyDescent="0.2">
      <c r="A31" s="67" t="s">
        <v>39</v>
      </c>
      <c r="B31" s="444"/>
      <c r="C31" s="445"/>
      <c r="D31" s="444" t="s">
        <v>461</v>
      </c>
      <c r="E31" s="446"/>
      <c r="F31" s="446"/>
      <c r="G31" s="445"/>
      <c r="H31" s="68"/>
      <c r="I31" s="69"/>
    </row>
    <row r="32" spans="1:10" ht="43.5" hidden="1" customHeight="1" x14ac:dyDescent="0.2">
      <c r="A32" s="67" t="s">
        <v>39</v>
      </c>
      <c r="B32" s="444"/>
      <c r="C32" s="445"/>
      <c r="D32" s="444" t="s">
        <v>462</v>
      </c>
      <c r="E32" s="446"/>
      <c r="F32" s="446"/>
      <c r="G32" s="445"/>
      <c r="H32" s="68"/>
      <c r="I32" s="69"/>
    </row>
    <row r="33" spans="1:9" ht="43.5" hidden="1" customHeight="1" x14ac:dyDescent="0.2">
      <c r="A33" s="67" t="s">
        <v>39</v>
      </c>
      <c r="B33" s="444"/>
      <c r="C33" s="445"/>
      <c r="D33" s="444" t="s">
        <v>463</v>
      </c>
      <c r="E33" s="446"/>
      <c r="F33" s="446"/>
      <c r="G33" s="445"/>
      <c r="H33" s="68"/>
      <c r="I33" s="69"/>
    </row>
    <row r="34" spans="1:9" ht="43.5" hidden="1" customHeight="1" x14ac:dyDescent="0.2">
      <c r="A34" s="67" t="s">
        <v>39</v>
      </c>
      <c r="B34" s="444"/>
      <c r="C34" s="445"/>
      <c r="D34" s="444" t="s">
        <v>464</v>
      </c>
      <c r="E34" s="446"/>
      <c r="F34" s="446"/>
      <c r="G34" s="445"/>
      <c r="H34" s="68"/>
      <c r="I34" s="69"/>
    </row>
    <row r="35" spans="1:9" ht="43.5" hidden="1" customHeight="1" x14ac:dyDescent="0.2">
      <c r="A35" s="67" t="s">
        <v>39</v>
      </c>
      <c r="B35" s="444"/>
      <c r="C35" s="445"/>
      <c r="D35" s="444" t="s">
        <v>456</v>
      </c>
      <c r="E35" s="446"/>
      <c r="F35" s="446"/>
      <c r="G35" s="445"/>
      <c r="H35" s="68"/>
      <c r="I35" s="69"/>
    </row>
    <row r="36" spans="1:9" ht="43.5" hidden="1" customHeight="1" x14ac:dyDescent="0.2">
      <c r="A36" s="67" t="s">
        <v>39</v>
      </c>
      <c r="B36" s="444"/>
      <c r="C36" s="445"/>
      <c r="D36" s="444" t="s">
        <v>457</v>
      </c>
      <c r="E36" s="446"/>
      <c r="F36" s="446"/>
      <c r="G36" s="445"/>
      <c r="H36" s="68"/>
      <c r="I36" s="69"/>
    </row>
    <row r="37" spans="1:9" ht="43.5" hidden="1" customHeight="1" x14ac:dyDescent="0.2">
      <c r="A37" s="67" t="s">
        <v>39</v>
      </c>
      <c r="B37" s="444"/>
      <c r="C37" s="445"/>
      <c r="D37" s="444" t="s">
        <v>458</v>
      </c>
      <c r="E37" s="446"/>
      <c r="F37" s="446"/>
      <c r="G37" s="445"/>
      <c r="H37" s="68"/>
      <c r="I37" s="69"/>
    </row>
    <row r="38" spans="1:9" ht="43.5" hidden="1" customHeight="1" x14ac:dyDescent="0.2">
      <c r="A38" s="67" t="s">
        <v>39</v>
      </c>
      <c r="B38" s="444"/>
      <c r="C38" s="445"/>
      <c r="D38" s="444" t="s">
        <v>459</v>
      </c>
      <c r="E38" s="446"/>
      <c r="F38" s="446"/>
      <c r="G38" s="445"/>
      <c r="H38" s="68"/>
      <c r="I38" s="69"/>
    </row>
    <row r="39" spans="1:9" ht="43.5" hidden="1" customHeight="1" x14ac:dyDescent="0.2">
      <c r="A39" s="67" t="s">
        <v>39</v>
      </c>
      <c r="B39" s="444"/>
      <c r="C39" s="445"/>
      <c r="D39" s="444" t="s">
        <v>460</v>
      </c>
      <c r="E39" s="446"/>
      <c r="F39" s="446"/>
      <c r="G39" s="445"/>
      <c r="H39" s="68"/>
      <c r="I39" s="69"/>
    </row>
    <row r="40" spans="1:9" ht="43.5" hidden="1" customHeight="1" x14ac:dyDescent="0.2">
      <c r="A40" s="67" t="s">
        <v>39</v>
      </c>
      <c r="B40" s="444"/>
      <c r="C40" s="445"/>
      <c r="D40" s="444" t="s">
        <v>461</v>
      </c>
      <c r="E40" s="446"/>
      <c r="F40" s="446"/>
      <c r="G40" s="445"/>
      <c r="H40" s="68"/>
      <c r="I40" s="69"/>
    </row>
    <row r="41" spans="1:9" ht="43.5" hidden="1" customHeight="1" x14ac:dyDescent="0.2">
      <c r="A41" s="67" t="s">
        <v>39</v>
      </c>
      <c r="B41" s="444"/>
      <c r="C41" s="445"/>
      <c r="D41" s="444" t="s">
        <v>462</v>
      </c>
      <c r="E41" s="446"/>
      <c r="F41" s="446"/>
      <c r="G41" s="445"/>
      <c r="H41" s="68"/>
      <c r="I41" s="69"/>
    </row>
    <row r="42" spans="1:9" ht="43.5" hidden="1" customHeight="1" x14ac:dyDescent="0.2">
      <c r="A42" s="67" t="s">
        <v>39</v>
      </c>
      <c r="B42" s="444"/>
      <c r="C42" s="445"/>
      <c r="D42" s="444" t="s">
        <v>463</v>
      </c>
      <c r="E42" s="446"/>
      <c r="F42" s="446"/>
      <c r="G42" s="445"/>
      <c r="H42" s="68"/>
      <c r="I42" s="69"/>
    </row>
    <row r="43" spans="1:9" ht="43.5" hidden="1" customHeight="1" x14ac:dyDescent="0.2">
      <c r="A43" s="72" t="s">
        <v>39</v>
      </c>
      <c r="B43" s="447"/>
      <c r="C43" s="448"/>
      <c r="D43" s="447" t="s">
        <v>464</v>
      </c>
      <c r="E43" s="449"/>
      <c r="F43" s="449"/>
      <c r="G43" s="448"/>
      <c r="H43" s="73"/>
      <c r="I43" s="74"/>
    </row>
    <row r="44" spans="1:9" ht="43.5" customHeight="1" x14ac:dyDescent="0.2">
      <c r="A44" s="11" t="s">
        <v>11</v>
      </c>
      <c r="B44" s="395" t="s">
        <v>43</v>
      </c>
      <c r="C44" s="396"/>
      <c r="D44" s="395"/>
      <c r="E44" s="397"/>
      <c r="F44" s="397"/>
      <c r="G44" s="396"/>
      <c r="H44" s="10"/>
      <c r="I44" s="9">
        <f>I18</f>
        <v>202271.223</v>
      </c>
    </row>
    <row r="45" spans="1:9" ht="56.25" customHeight="1" x14ac:dyDescent="0.2">
      <c r="A45" s="11" t="s">
        <v>13</v>
      </c>
      <c r="B45" s="392" t="s">
        <v>1075</v>
      </c>
      <c r="C45" s="393"/>
      <c r="D45" s="392" t="s">
        <v>1064</v>
      </c>
      <c r="E45" s="394"/>
      <c r="F45" s="394"/>
      <c r="G45" s="393"/>
      <c r="H45" s="13" t="s">
        <v>1065</v>
      </c>
      <c r="I45" s="12">
        <f>I44*5.94</f>
        <v>1201491.0646200001</v>
      </c>
    </row>
    <row r="46" spans="1:9" x14ac:dyDescent="0.2">
      <c r="A46" s="11" t="s">
        <v>15</v>
      </c>
      <c r="B46" s="395" t="s">
        <v>42</v>
      </c>
      <c r="C46" s="396"/>
      <c r="D46" s="395"/>
      <c r="E46" s="397"/>
      <c r="F46" s="397"/>
      <c r="G46" s="396"/>
      <c r="H46" s="10"/>
      <c r="I46" s="9">
        <f>I45</f>
        <v>1201491.0646200001</v>
      </c>
    </row>
    <row r="47" spans="1:9" ht="12.75" customHeight="1" x14ac:dyDescent="0.2">
      <c r="D47" s="7"/>
    </row>
    <row r="48" spans="1:9" x14ac:dyDescent="0.2">
      <c r="A48" s="391" t="s">
        <v>0</v>
      </c>
      <c r="B48" s="391"/>
      <c r="C48" s="391"/>
      <c r="D48" s="391"/>
      <c r="E48" s="391"/>
      <c r="F48" s="391"/>
      <c r="G48" s="391"/>
      <c r="H48" s="391"/>
      <c r="I48" s="391"/>
    </row>
    <row r="49" spans="1:9" ht="12.75" customHeight="1" x14ac:dyDescent="0.2">
      <c r="A49" s="391"/>
      <c r="B49" s="391"/>
      <c r="C49" s="391"/>
      <c r="D49" s="391"/>
      <c r="E49" s="391"/>
      <c r="F49" s="391"/>
      <c r="G49" s="391"/>
      <c r="H49" s="391"/>
      <c r="I49" s="391"/>
    </row>
    <row r="50" spans="1:9" x14ac:dyDescent="0.2">
      <c r="D50" s="389" t="s">
        <v>2</v>
      </c>
      <c r="E50" s="390"/>
      <c r="F50" s="390"/>
      <c r="G50" s="390"/>
      <c r="H50" s="390"/>
      <c r="I50" s="390"/>
    </row>
    <row r="51" spans="1:9" ht="12.75" customHeight="1" x14ac:dyDescent="0.2"/>
    <row r="52" spans="1:9" x14ac:dyDescent="0.2">
      <c r="A52" s="391" t="s">
        <v>1</v>
      </c>
      <c r="B52" s="391"/>
      <c r="C52" s="391"/>
      <c r="D52" s="391"/>
      <c r="E52" s="391"/>
      <c r="F52" s="391"/>
      <c r="G52" s="391"/>
      <c r="H52" s="391"/>
      <c r="I52" s="391"/>
    </row>
    <row r="53" spans="1:9" ht="12.75" customHeight="1" x14ac:dyDescent="0.2">
      <c r="A53" s="391"/>
      <c r="B53" s="391"/>
      <c r="C53" s="391"/>
      <c r="D53" s="391"/>
      <c r="E53" s="391"/>
      <c r="F53" s="391"/>
      <c r="G53" s="391"/>
      <c r="H53" s="391"/>
      <c r="I53" s="391"/>
    </row>
    <row r="54" spans="1:9" x14ac:dyDescent="0.2">
      <c r="D54" s="389" t="s">
        <v>2</v>
      </c>
      <c r="E54" s="390"/>
      <c r="F54" s="390"/>
      <c r="G54" s="390"/>
      <c r="H54" s="390"/>
      <c r="I54" s="390"/>
    </row>
    <row r="56" spans="1:9" ht="12.75" customHeight="1" x14ac:dyDescent="0.2">
      <c r="A56" s="391" t="s">
        <v>5</v>
      </c>
      <c r="B56" s="391"/>
      <c r="C56" s="391"/>
      <c r="D56" s="391"/>
      <c r="E56" s="391"/>
      <c r="F56" s="391"/>
      <c r="G56" s="6" t="s">
        <v>7</v>
      </c>
      <c r="H56" s="391"/>
      <c r="I56" s="391"/>
    </row>
    <row r="57" spans="1:9" x14ac:dyDescent="0.2">
      <c r="D57" s="389" t="s">
        <v>40</v>
      </c>
      <c r="E57" s="390"/>
      <c r="F57" s="390"/>
      <c r="H57" s="389" t="s">
        <v>2</v>
      </c>
      <c r="I57" s="390"/>
    </row>
    <row r="59" spans="1:9" ht="12.75" customHeight="1" x14ac:dyDescent="0.2">
      <c r="A59" s="391" t="s">
        <v>3</v>
      </c>
      <c r="B59" s="391"/>
      <c r="C59" s="391"/>
      <c r="D59" s="391"/>
      <c r="E59" s="391"/>
      <c r="F59" s="391"/>
      <c r="G59" s="391"/>
      <c r="H59" s="391"/>
      <c r="I59" s="391"/>
    </row>
    <row r="60" spans="1:9" x14ac:dyDescent="0.2">
      <c r="D60" s="389" t="s">
        <v>6</v>
      </c>
      <c r="E60" s="390"/>
      <c r="F60" s="390"/>
      <c r="G60" s="390"/>
      <c r="H60" s="390"/>
      <c r="I60" s="390"/>
    </row>
  </sheetData>
  <mergeCells count="88">
    <mergeCell ref="B24:C24"/>
    <mergeCell ref="D24:G24"/>
    <mergeCell ref="B25:C25"/>
    <mergeCell ref="D25:G25"/>
    <mergeCell ref="B26:C26"/>
    <mergeCell ref="D26:G26"/>
    <mergeCell ref="B43:C43"/>
    <mergeCell ref="D43:G43"/>
    <mergeCell ref="B27:C27"/>
    <mergeCell ref="D27:G27"/>
    <mergeCell ref="B28:C28"/>
    <mergeCell ref="D28:G28"/>
    <mergeCell ref="B29:C29"/>
    <mergeCell ref="D29:G29"/>
    <mergeCell ref="B30:C30"/>
    <mergeCell ref="D30:G30"/>
    <mergeCell ref="B31:C31"/>
    <mergeCell ref="D31:G31"/>
    <mergeCell ref="B32:C32"/>
    <mergeCell ref="D32:G32"/>
    <mergeCell ref="B33:C33"/>
    <mergeCell ref="D33:G33"/>
    <mergeCell ref="B22:C22"/>
    <mergeCell ref="D22:G22"/>
    <mergeCell ref="B23:C23"/>
    <mergeCell ref="D23:G23"/>
    <mergeCell ref="B20:C20"/>
    <mergeCell ref="D20:G20"/>
    <mergeCell ref="B21:C21"/>
    <mergeCell ref="D21:G21"/>
    <mergeCell ref="B18:C18"/>
    <mergeCell ref="D18:G18"/>
    <mergeCell ref="B19:C19"/>
    <mergeCell ref="D19:G19"/>
    <mergeCell ref="D10:I10"/>
    <mergeCell ref="A10:C10"/>
    <mergeCell ref="D12:I12"/>
    <mergeCell ref="A12:C12"/>
    <mergeCell ref="A14:I14"/>
    <mergeCell ref="B17:C17"/>
    <mergeCell ref="D17:G17"/>
    <mergeCell ref="B16:C16"/>
    <mergeCell ref="D16:G16"/>
    <mergeCell ref="D1:I1"/>
    <mergeCell ref="A3:I3"/>
    <mergeCell ref="A4:I4"/>
    <mergeCell ref="A1:C1"/>
    <mergeCell ref="A8:I8"/>
    <mergeCell ref="A6:B6"/>
    <mergeCell ref="C6:G6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A48:C49"/>
    <mergeCell ref="D48:I49"/>
    <mergeCell ref="B44:C44"/>
    <mergeCell ref="D44:G44"/>
    <mergeCell ref="B45:C45"/>
    <mergeCell ref="D45:G45"/>
    <mergeCell ref="B46:C46"/>
    <mergeCell ref="D46:G46"/>
    <mergeCell ref="D50:I50"/>
    <mergeCell ref="A52:C53"/>
    <mergeCell ref="D52:I53"/>
    <mergeCell ref="D54:I54"/>
    <mergeCell ref="A56:C56"/>
    <mergeCell ref="D56:F56"/>
    <mergeCell ref="D60:I60"/>
    <mergeCell ref="D57:F57"/>
    <mergeCell ref="H56:I56"/>
    <mergeCell ref="H57:I57"/>
    <mergeCell ref="A59:C59"/>
    <mergeCell ref="D59:I59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4"/>
  <dimension ref="A1:J102"/>
  <sheetViews>
    <sheetView view="pageBreakPreview" zoomScale="60" zoomScaleNormal="90" workbookViewId="0">
      <selection activeCell="A14" sqref="A14:I14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6" width="9.28515625" style="6" customWidth="1"/>
    <col min="7" max="7" width="21.42578125" style="6" customWidth="1"/>
    <col min="8" max="8" width="21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69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68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35.25" customHeight="1" x14ac:dyDescent="0.2">
      <c r="A8" s="384" t="s">
        <v>1307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37.15" customHeight="1" x14ac:dyDescent="0.2">
      <c r="A14" s="384" t="s">
        <v>466</v>
      </c>
      <c r="B14" s="384"/>
      <c r="C14" s="384"/>
      <c r="D14" s="384"/>
      <c r="E14" s="384"/>
      <c r="F14" s="384"/>
      <c r="G14" s="384"/>
      <c r="H14" s="384"/>
      <c r="I14" s="384"/>
      <c r="J14" s="30"/>
    </row>
    <row r="15" spans="1:10" ht="12.75" customHeight="1" x14ac:dyDescent="0.2">
      <c r="A15" s="387" t="s">
        <v>1084</v>
      </c>
      <c r="B15" s="387"/>
      <c r="C15" s="387"/>
      <c r="D15" s="387"/>
      <c r="E15" s="387"/>
      <c r="F15" s="387"/>
      <c r="G15" s="387"/>
      <c r="H15" s="387"/>
      <c r="I15" s="387"/>
      <c r="J15" s="6"/>
    </row>
    <row r="16" spans="1:10" ht="100.5" customHeight="1" x14ac:dyDescent="0.2">
      <c r="A16" s="27" t="s">
        <v>49</v>
      </c>
      <c r="B16" s="407" t="s">
        <v>467</v>
      </c>
      <c r="C16" s="408"/>
      <c r="D16" s="407" t="s">
        <v>468</v>
      </c>
      <c r="E16" s="409"/>
      <c r="F16" s="409"/>
      <c r="G16" s="408"/>
      <c r="H16" s="75" t="s">
        <v>469</v>
      </c>
      <c r="I16" s="27" t="s">
        <v>280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23" customHeight="1" x14ac:dyDescent="0.2">
      <c r="A18" s="24" t="s">
        <v>10</v>
      </c>
      <c r="B18" s="413" t="s">
        <v>470</v>
      </c>
      <c r="C18" s="414"/>
      <c r="D18" s="415" t="s">
        <v>471</v>
      </c>
      <c r="E18" s="416"/>
      <c r="F18" s="416"/>
      <c r="G18" s="417"/>
      <c r="H18" s="23" t="s">
        <v>1095</v>
      </c>
      <c r="I18" s="22">
        <f>95200  * 1 * 0.4 *1.4</f>
        <v>53312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58</v>
      </c>
      <c r="E20" s="384"/>
      <c r="F20" s="384"/>
      <c r="G20" s="422"/>
      <c r="H20" s="18"/>
      <c r="I20" s="17"/>
    </row>
    <row r="21" spans="1:9" ht="58.5" customHeight="1" x14ac:dyDescent="0.2">
      <c r="A21" s="19" t="s">
        <v>39</v>
      </c>
      <c r="B21" s="421"/>
      <c r="C21" s="422"/>
      <c r="D21" s="421" t="s">
        <v>1094</v>
      </c>
      <c r="E21" s="384"/>
      <c r="F21" s="384"/>
      <c r="G21" s="422"/>
      <c r="H21" s="18"/>
      <c r="I21" s="17"/>
    </row>
    <row r="22" spans="1:9" ht="26.45" customHeight="1" x14ac:dyDescent="0.2">
      <c r="A22" s="51" t="s">
        <v>39</v>
      </c>
      <c r="B22" s="436"/>
      <c r="C22" s="438"/>
      <c r="D22" s="436" t="s">
        <v>474</v>
      </c>
      <c r="E22" s="437"/>
      <c r="F22" s="437"/>
      <c r="G22" s="438"/>
      <c r="H22" s="52"/>
      <c r="I22" s="53"/>
    </row>
    <row r="23" spans="1:9" ht="26.45" customHeight="1" x14ac:dyDescent="0.2">
      <c r="A23" s="439" t="s">
        <v>11</v>
      </c>
      <c r="B23" s="413" t="s">
        <v>475</v>
      </c>
      <c r="C23" s="414"/>
      <c r="D23" s="415" t="s">
        <v>476</v>
      </c>
      <c r="E23" s="416"/>
      <c r="F23" s="416"/>
      <c r="G23" s="417"/>
      <c r="H23" s="430" t="s">
        <v>1096</v>
      </c>
      <c r="I23" s="432">
        <f>(30800+ 608 * (0.4 * 100 + 0.6 * 100 / 2)) * 1 * 0.4 *  0.3*1.4</f>
        <v>12324.479999999998</v>
      </c>
    </row>
    <row r="24" spans="1:9" ht="116.25" customHeight="1" x14ac:dyDescent="0.2">
      <c r="A24" s="440"/>
      <c r="B24" s="423"/>
      <c r="C24" s="424"/>
      <c r="D24" s="421"/>
      <c r="E24" s="384"/>
      <c r="F24" s="384"/>
      <c r="G24" s="422"/>
      <c r="H24" s="431"/>
      <c r="I24" s="433"/>
    </row>
    <row r="25" spans="1:9" ht="17.25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15" customHeight="1" x14ac:dyDescent="0.2">
      <c r="A26" s="19" t="s">
        <v>39</v>
      </c>
      <c r="B26" s="421"/>
      <c r="C26" s="422"/>
      <c r="D26" s="421" t="s">
        <v>58</v>
      </c>
      <c r="E26" s="384"/>
      <c r="F26" s="384"/>
      <c r="G26" s="422"/>
      <c r="H26" s="18"/>
      <c r="I26" s="17"/>
    </row>
    <row r="27" spans="1:9" ht="122.45" customHeight="1" x14ac:dyDescent="0.2">
      <c r="A27" s="19" t="s">
        <v>39</v>
      </c>
      <c r="B27" s="421"/>
      <c r="C27" s="422"/>
      <c r="D27" s="421" t="s">
        <v>581</v>
      </c>
      <c r="E27" s="384"/>
      <c r="F27" s="384"/>
      <c r="G27" s="422"/>
      <c r="H27" s="18"/>
      <c r="I27" s="17"/>
    </row>
    <row r="28" spans="1:9" ht="30" customHeight="1" x14ac:dyDescent="0.2">
      <c r="A28" s="51" t="s">
        <v>39</v>
      </c>
      <c r="B28" s="436"/>
      <c r="C28" s="438"/>
      <c r="D28" s="436" t="s">
        <v>477</v>
      </c>
      <c r="E28" s="437"/>
      <c r="F28" s="437"/>
      <c r="G28" s="438"/>
      <c r="H28" s="52"/>
      <c r="I28" s="53"/>
    </row>
    <row r="29" spans="1:9" ht="141" customHeight="1" x14ac:dyDescent="0.2">
      <c r="A29" s="24" t="s">
        <v>13</v>
      </c>
      <c r="B29" s="413" t="s">
        <v>478</v>
      </c>
      <c r="C29" s="414"/>
      <c r="D29" s="415" t="s">
        <v>479</v>
      </c>
      <c r="E29" s="416"/>
      <c r="F29" s="416"/>
      <c r="G29" s="417"/>
      <c r="H29" s="23" t="s">
        <v>1097</v>
      </c>
      <c r="I29" s="22">
        <f>(35900  + 863* (0.4 * 100 + 0.6 * 100 / 2)) * 1 * 0.4 *  0.9*1.4</f>
        <v>48540.24</v>
      </c>
    </row>
    <row r="30" spans="1:9" ht="13.15" customHeight="1" x14ac:dyDescent="0.2">
      <c r="A30" s="19" t="s">
        <v>39</v>
      </c>
      <c r="B30" s="423"/>
      <c r="C30" s="424"/>
      <c r="D30" s="423" t="s">
        <v>45</v>
      </c>
      <c r="E30" s="418"/>
      <c r="F30" s="418"/>
      <c r="G30" s="424"/>
      <c r="H30" s="21"/>
      <c r="I30" s="20"/>
    </row>
    <row r="31" spans="1:9" ht="13.15" customHeight="1" x14ac:dyDescent="0.2">
      <c r="A31" s="19" t="s">
        <v>39</v>
      </c>
      <c r="B31" s="421"/>
      <c r="C31" s="422"/>
      <c r="D31" s="421" t="s">
        <v>58</v>
      </c>
      <c r="E31" s="384"/>
      <c r="F31" s="384"/>
      <c r="G31" s="422"/>
      <c r="H31" s="18"/>
      <c r="I31" s="17"/>
    </row>
    <row r="32" spans="1:9" ht="115.9" customHeight="1" x14ac:dyDescent="0.2">
      <c r="A32" s="19" t="s">
        <v>39</v>
      </c>
      <c r="B32" s="421"/>
      <c r="C32" s="422"/>
      <c r="D32" s="421" t="s">
        <v>582</v>
      </c>
      <c r="E32" s="384"/>
      <c r="F32" s="384"/>
      <c r="G32" s="422"/>
      <c r="H32" s="18"/>
      <c r="I32" s="17"/>
    </row>
    <row r="33" spans="1:9" ht="25.5" customHeight="1" x14ac:dyDescent="0.2">
      <c r="A33" s="51" t="s">
        <v>39</v>
      </c>
      <c r="B33" s="436"/>
      <c r="C33" s="438"/>
      <c r="D33" s="436" t="s">
        <v>477</v>
      </c>
      <c r="E33" s="437"/>
      <c r="F33" s="437"/>
      <c r="G33" s="438"/>
      <c r="H33" s="52"/>
      <c r="I33" s="53"/>
    </row>
    <row r="34" spans="1:9" ht="126" customHeight="1" x14ac:dyDescent="0.2">
      <c r="A34" s="24" t="s">
        <v>15</v>
      </c>
      <c r="B34" s="413" t="s">
        <v>480</v>
      </c>
      <c r="C34" s="414"/>
      <c r="D34" s="415" t="s">
        <v>481</v>
      </c>
      <c r="E34" s="416"/>
      <c r="F34" s="416"/>
      <c r="G34" s="417"/>
      <c r="H34" s="23" t="s">
        <v>1098</v>
      </c>
      <c r="I34" s="22">
        <f>(94800  + 970  * 248) * 1 * 0.4 *  1.4</f>
        <v>187801.59999999998</v>
      </c>
    </row>
    <row r="35" spans="1:9" ht="13.15" customHeight="1" x14ac:dyDescent="0.2">
      <c r="A35" s="19" t="s">
        <v>39</v>
      </c>
      <c r="B35" s="423"/>
      <c r="C35" s="424"/>
      <c r="D35" s="423" t="s">
        <v>45</v>
      </c>
      <c r="E35" s="418"/>
      <c r="F35" s="418"/>
      <c r="G35" s="424"/>
      <c r="H35" s="21"/>
      <c r="I35" s="20"/>
    </row>
    <row r="36" spans="1:9" ht="13.15" customHeight="1" x14ac:dyDescent="0.2">
      <c r="A36" s="19" t="s">
        <v>39</v>
      </c>
      <c r="B36" s="421"/>
      <c r="C36" s="422"/>
      <c r="D36" s="421" t="s">
        <v>58</v>
      </c>
      <c r="E36" s="384"/>
      <c r="F36" s="384"/>
      <c r="G36" s="422"/>
      <c r="H36" s="18"/>
      <c r="I36" s="17"/>
    </row>
    <row r="37" spans="1:9" ht="61.5" customHeight="1" x14ac:dyDescent="0.2">
      <c r="A37" s="19" t="s">
        <v>39</v>
      </c>
      <c r="B37" s="421"/>
      <c r="C37" s="422"/>
      <c r="D37" s="421" t="s">
        <v>1094</v>
      </c>
      <c r="E37" s="384"/>
      <c r="F37" s="384"/>
      <c r="G37" s="422"/>
      <c r="H37" s="18"/>
      <c r="I37" s="17"/>
    </row>
    <row r="38" spans="1:9" ht="28.5" customHeight="1" x14ac:dyDescent="0.2">
      <c r="A38" s="51" t="s">
        <v>39</v>
      </c>
      <c r="B38" s="436"/>
      <c r="C38" s="438"/>
      <c r="D38" s="436" t="s">
        <v>477</v>
      </c>
      <c r="E38" s="437"/>
      <c r="F38" s="437"/>
      <c r="G38" s="438"/>
      <c r="H38" s="52"/>
      <c r="I38" s="53"/>
    </row>
    <row r="39" spans="1:9" ht="142.5" customHeight="1" x14ac:dyDescent="0.2">
      <c r="A39" s="24" t="s">
        <v>17</v>
      </c>
      <c r="B39" s="413" t="s">
        <v>482</v>
      </c>
      <c r="C39" s="414"/>
      <c r="D39" s="415" t="s">
        <v>483</v>
      </c>
      <c r="E39" s="416"/>
      <c r="F39" s="416"/>
      <c r="G39" s="417"/>
      <c r="H39" s="23" t="s">
        <v>1099</v>
      </c>
      <c r="I39" s="22">
        <f>(107300  + 1475  * (0.4 * 100 + 0.6 * 100 / 2)) * 1 * 0.4 *   0.6*1.4</f>
        <v>70744.799999999988</v>
      </c>
    </row>
    <row r="40" spans="1:9" ht="13.15" customHeight="1" x14ac:dyDescent="0.2">
      <c r="A40" s="19" t="s">
        <v>39</v>
      </c>
      <c r="B40" s="423"/>
      <c r="C40" s="424"/>
      <c r="D40" s="423" t="s">
        <v>45</v>
      </c>
      <c r="E40" s="418"/>
      <c r="F40" s="418"/>
      <c r="G40" s="424"/>
      <c r="H40" s="21"/>
      <c r="I40" s="20"/>
    </row>
    <row r="41" spans="1:9" ht="13.15" customHeight="1" x14ac:dyDescent="0.2">
      <c r="A41" s="19" t="s">
        <v>39</v>
      </c>
      <c r="B41" s="421"/>
      <c r="C41" s="422"/>
      <c r="D41" s="421" t="s">
        <v>58</v>
      </c>
      <c r="E41" s="384"/>
      <c r="F41" s="384"/>
      <c r="G41" s="422"/>
      <c r="H41" s="18"/>
      <c r="I41" s="17"/>
    </row>
    <row r="42" spans="1:9" ht="103.9" customHeight="1" x14ac:dyDescent="0.2">
      <c r="A42" s="19" t="s">
        <v>39</v>
      </c>
      <c r="B42" s="421"/>
      <c r="C42" s="422"/>
      <c r="D42" s="421" t="s">
        <v>583</v>
      </c>
      <c r="E42" s="384"/>
      <c r="F42" s="384"/>
      <c r="G42" s="422"/>
      <c r="H42" s="18"/>
      <c r="I42" s="17"/>
    </row>
    <row r="43" spans="1:9" ht="30.75" customHeight="1" x14ac:dyDescent="0.2">
      <c r="A43" s="51" t="s">
        <v>39</v>
      </c>
      <c r="B43" s="436"/>
      <c r="C43" s="438"/>
      <c r="D43" s="436" t="s">
        <v>477</v>
      </c>
      <c r="E43" s="437"/>
      <c r="F43" s="437"/>
      <c r="G43" s="438"/>
      <c r="H43" s="52"/>
      <c r="I43" s="53"/>
    </row>
    <row r="44" spans="1:9" ht="131.25" customHeight="1" x14ac:dyDescent="0.2">
      <c r="A44" s="24" t="s">
        <v>19</v>
      </c>
      <c r="B44" s="413" t="s">
        <v>484</v>
      </c>
      <c r="C44" s="414"/>
      <c r="D44" s="415" t="s">
        <v>485</v>
      </c>
      <c r="E44" s="416"/>
      <c r="F44" s="416"/>
      <c r="G44" s="417"/>
      <c r="H44" s="23" t="s">
        <v>1100</v>
      </c>
      <c r="I44" s="22">
        <f>(122600  + 641  * 251) * 1 * 0.4 * 1.4</f>
        <v>158754.96</v>
      </c>
    </row>
    <row r="45" spans="1:9" ht="13.15" customHeight="1" x14ac:dyDescent="0.2">
      <c r="A45" s="19" t="s">
        <v>39</v>
      </c>
      <c r="B45" s="423"/>
      <c r="C45" s="424"/>
      <c r="D45" s="423" t="s">
        <v>45</v>
      </c>
      <c r="E45" s="418"/>
      <c r="F45" s="418"/>
      <c r="G45" s="424"/>
      <c r="H45" s="21"/>
      <c r="I45" s="20"/>
    </row>
    <row r="46" spans="1:9" ht="13.15" customHeight="1" x14ac:dyDescent="0.2">
      <c r="A46" s="19" t="s">
        <v>39</v>
      </c>
      <c r="B46" s="421"/>
      <c r="C46" s="422"/>
      <c r="D46" s="421" t="s">
        <v>58</v>
      </c>
      <c r="E46" s="384"/>
      <c r="F46" s="384"/>
      <c r="G46" s="422"/>
      <c r="H46" s="18"/>
      <c r="I46" s="17"/>
    </row>
    <row r="47" spans="1:9" ht="62.25" customHeight="1" x14ac:dyDescent="0.2">
      <c r="A47" s="19" t="s">
        <v>39</v>
      </c>
      <c r="B47" s="421"/>
      <c r="C47" s="422"/>
      <c r="D47" s="421" t="s">
        <v>1094</v>
      </c>
      <c r="E47" s="384"/>
      <c r="F47" s="384"/>
      <c r="G47" s="422"/>
      <c r="H47" s="18"/>
      <c r="I47" s="17"/>
    </row>
    <row r="48" spans="1:9" ht="34.5" customHeight="1" x14ac:dyDescent="0.2">
      <c r="A48" s="51" t="s">
        <v>39</v>
      </c>
      <c r="B48" s="436"/>
      <c r="C48" s="438"/>
      <c r="D48" s="436" t="s">
        <v>65</v>
      </c>
      <c r="E48" s="437"/>
      <c r="F48" s="437"/>
      <c r="G48" s="438"/>
      <c r="H48" s="52"/>
      <c r="I48" s="53"/>
    </row>
    <row r="49" spans="1:9" ht="126" customHeight="1" x14ac:dyDescent="0.2">
      <c r="A49" s="24" t="s">
        <v>20</v>
      </c>
      <c r="B49" s="413" t="s">
        <v>486</v>
      </c>
      <c r="C49" s="414"/>
      <c r="D49" s="415" t="s">
        <v>487</v>
      </c>
      <c r="E49" s="416"/>
      <c r="F49" s="416"/>
      <c r="G49" s="417"/>
      <c r="H49" s="23" t="s">
        <v>1101</v>
      </c>
      <c r="I49" s="22">
        <f>(151900  + 1058  * 152) * 1 * 0.4 *  1.4</f>
        <v>175120.96</v>
      </c>
    </row>
    <row r="50" spans="1:9" ht="13.15" customHeight="1" x14ac:dyDescent="0.2">
      <c r="A50" s="19" t="s">
        <v>39</v>
      </c>
      <c r="B50" s="423"/>
      <c r="C50" s="424"/>
      <c r="D50" s="423" t="s">
        <v>45</v>
      </c>
      <c r="E50" s="418"/>
      <c r="F50" s="418"/>
      <c r="G50" s="424"/>
      <c r="H50" s="21"/>
      <c r="I50" s="20"/>
    </row>
    <row r="51" spans="1:9" ht="13.15" customHeight="1" x14ac:dyDescent="0.2">
      <c r="A51" s="19" t="s">
        <v>39</v>
      </c>
      <c r="B51" s="421"/>
      <c r="C51" s="422"/>
      <c r="D51" s="421" t="s">
        <v>58</v>
      </c>
      <c r="E51" s="384"/>
      <c r="F51" s="384"/>
      <c r="G51" s="422"/>
      <c r="H51" s="18"/>
      <c r="I51" s="17"/>
    </row>
    <row r="52" spans="1:9" ht="58.5" customHeight="1" x14ac:dyDescent="0.2">
      <c r="A52" s="19" t="s">
        <v>39</v>
      </c>
      <c r="B52" s="421"/>
      <c r="C52" s="422"/>
      <c r="D52" s="421" t="s">
        <v>1094</v>
      </c>
      <c r="E52" s="384"/>
      <c r="F52" s="384"/>
      <c r="G52" s="422"/>
      <c r="H52" s="18"/>
      <c r="I52" s="17"/>
    </row>
    <row r="53" spans="1:9" ht="13.15" customHeight="1" x14ac:dyDescent="0.2">
      <c r="A53" s="51" t="s">
        <v>39</v>
      </c>
      <c r="B53" s="436"/>
      <c r="C53" s="438"/>
      <c r="D53" s="436" t="s">
        <v>65</v>
      </c>
      <c r="E53" s="437"/>
      <c r="F53" s="437"/>
      <c r="G53" s="438"/>
      <c r="H53" s="52"/>
      <c r="I53" s="53"/>
    </row>
    <row r="54" spans="1:9" ht="126.75" customHeight="1" x14ac:dyDescent="0.2">
      <c r="A54" s="24" t="s">
        <v>22</v>
      </c>
      <c r="B54" s="413" t="s">
        <v>488</v>
      </c>
      <c r="C54" s="414"/>
      <c r="D54" s="415" t="s">
        <v>489</v>
      </c>
      <c r="E54" s="416"/>
      <c r="F54" s="416"/>
      <c r="G54" s="417"/>
      <c r="H54" s="23" t="s">
        <v>1103</v>
      </c>
      <c r="I54" s="22">
        <f>(179400+ 1678 * 161) * 1 * 0.4 *  1.4</f>
        <v>251752.48</v>
      </c>
    </row>
    <row r="55" spans="1:9" ht="13.15" customHeight="1" x14ac:dyDescent="0.2">
      <c r="A55" s="19" t="s">
        <v>39</v>
      </c>
      <c r="B55" s="423"/>
      <c r="C55" s="424"/>
      <c r="D55" s="423" t="s">
        <v>45</v>
      </c>
      <c r="E55" s="418"/>
      <c r="F55" s="418"/>
      <c r="G55" s="424"/>
      <c r="H55" s="21"/>
      <c r="I55" s="20"/>
    </row>
    <row r="56" spans="1:9" ht="13.15" customHeight="1" x14ac:dyDescent="0.2">
      <c r="A56" s="19" t="s">
        <v>39</v>
      </c>
      <c r="B56" s="421"/>
      <c r="C56" s="422"/>
      <c r="D56" s="421" t="s">
        <v>58</v>
      </c>
      <c r="E56" s="384"/>
      <c r="F56" s="384"/>
      <c r="G56" s="422"/>
      <c r="H56" s="18"/>
      <c r="I56" s="17"/>
    </row>
    <row r="57" spans="1:9" ht="13.15" hidden="1" customHeight="1" x14ac:dyDescent="0.2">
      <c r="A57" s="19" t="s">
        <v>39</v>
      </c>
      <c r="B57" s="421"/>
      <c r="C57" s="422"/>
      <c r="D57" s="421" t="s">
        <v>472</v>
      </c>
      <c r="E57" s="384"/>
      <c r="F57" s="384"/>
      <c r="G57" s="422"/>
      <c r="H57" s="18"/>
      <c r="I57" s="17"/>
    </row>
    <row r="58" spans="1:9" ht="13.15" hidden="1" customHeight="1" x14ac:dyDescent="0.2">
      <c r="A58" s="19" t="s">
        <v>39</v>
      </c>
      <c r="B58" s="421"/>
      <c r="C58" s="422"/>
      <c r="D58" s="421" t="s">
        <v>473</v>
      </c>
      <c r="E58" s="384"/>
      <c r="F58" s="384"/>
      <c r="G58" s="422"/>
      <c r="H58" s="18"/>
      <c r="I58" s="17"/>
    </row>
    <row r="59" spans="1:9" ht="75" customHeight="1" x14ac:dyDescent="0.2">
      <c r="A59" s="19" t="s">
        <v>39</v>
      </c>
      <c r="B59" s="421"/>
      <c r="C59" s="422"/>
      <c r="D59" s="421" t="s">
        <v>1094</v>
      </c>
      <c r="E59" s="384"/>
      <c r="F59" s="384"/>
      <c r="G59" s="422"/>
      <c r="H59" s="18"/>
      <c r="I59" s="17"/>
    </row>
    <row r="60" spans="1:9" ht="13.15" customHeight="1" x14ac:dyDescent="0.2">
      <c r="A60" s="51" t="s">
        <v>39</v>
      </c>
      <c r="B60" s="436"/>
      <c r="C60" s="438"/>
      <c r="D60" s="436" t="s">
        <v>65</v>
      </c>
      <c r="E60" s="437"/>
      <c r="F60" s="437"/>
      <c r="G60" s="438"/>
      <c r="H60" s="52"/>
      <c r="I60" s="53"/>
    </row>
    <row r="61" spans="1:9" ht="132" customHeight="1" x14ac:dyDescent="0.2">
      <c r="A61" s="24" t="s">
        <v>24</v>
      </c>
      <c r="B61" s="413" t="s">
        <v>490</v>
      </c>
      <c r="C61" s="414"/>
      <c r="D61" s="415" t="s">
        <v>491</v>
      </c>
      <c r="E61" s="416"/>
      <c r="F61" s="416"/>
      <c r="G61" s="417"/>
      <c r="H61" s="23" t="s">
        <v>1104</v>
      </c>
      <c r="I61" s="22">
        <f>(270100  + 1769  * 109) * 1 * 0.4 *  1.4</f>
        <v>259235.76</v>
      </c>
    </row>
    <row r="62" spans="1:9" ht="13.15" customHeight="1" x14ac:dyDescent="0.2">
      <c r="A62" s="19" t="s">
        <v>39</v>
      </c>
      <c r="B62" s="423"/>
      <c r="C62" s="424"/>
      <c r="D62" s="423" t="s">
        <v>45</v>
      </c>
      <c r="E62" s="418"/>
      <c r="F62" s="418"/>
      <c r="G62" s="424"/>
      <c r="H62" s="21"/>
      <c r="I62" s="20"/>
    </row>
    <row r="63" spans="1:9" ht="13.15" customHeight="1" x14ac:dyDescent="0.2">
      <c r="A63" s="19" t="s">
        <v>39</v>
      </c>
      <c r="B63" s="421"/>
      <c r="C63" s="422"/>
      <c r="D63" s="421" t="s">
        <v>58</v>
      </c>
      <c r="E63" s="384"/>
      <c r="F63" s="384"/>
      <c r="G63" s="422"/>
      <c r="H63" s="18"/>
      <c r="I63" s="17"/>
    </row>
    <row r="64" spans="1:9" ht="60" customHeight="1" x14ac:dyDescent="0.2">
      <c r="A64" s="19" t="s">
        <v>39</v>
      </c>
      <c r="B64" s="421"/>
      <c r="C64" s="422"/>
      <c r="D64" s="421" t="s">
        <v>1094</v>
      </c>
      <c r="E64" s="384"/>
      <c r="F64" s="384"/>
      <c r="G64" s="422"/>
      <c r="H64" s="18"/>
      <c r="I64" s="17"/>
    </row>
    <row r="65" spans="1:9" ht="13.15" customHeight="1" x14ac:dyDescent="0.2">
      <c r="A65" s="51" t="s">
        <v>39</v>
      </c>
      <c r="B65" s="436"/>
      <c r="C65" s="438"/>
      <c r="D65" s="436" t="s">
        <v>65</v>
      </c>
      <c r="E65" s="437"/>
      <c r="F65" s="437"/>
      <c r="G65" s="438"/>
      <c r="H65" s="52"/>
      <c r="I65" s="53"/>
    </row>
    <row r="66" spans="1:9" ht="141.75" customHeight="1" x14ac:dyDescent="0.2">
      <c r="A66" s="24" t="s">
        <v>26</v>
      </c>
      <c r="B66" s="413" t="s">
        <v>492</v>
      </c>
      <c r="C66" s="414"/>
      <c r="D66" s="415" t="s">
        <v>493</v>
      </c>
      <c r="E66" s="416"/>
      <c r="F66" s="416"/>
      <c r="G66" s="417"/>
      <c r="H66" s="23" t="s">
        <v>1105</v>
      </c>
      <c r="I66" s="22">
        <f>(335200+ 2641  * (0.4 * 100 + 0.6 * 100 / 2)) * 1 * 0.4 *  0.56*1.4</f>
        <v>163093.95199999999</v>
      </c>
    </row>
    <row r="67" spans="1:9" ht="13.15" customHeight="1" x14ac:dyDescent="0.2">
      <c r="A67" s="19" t="s">
        <v>39</v>
      </c>
      <c r="B67" s="423"/>
      <c r="C67" s="424"/>
      <c r="D67" s="423" t="s">
        <v>45</v>
      </c>
      <c r="E67" s="418"/>
      <c r="F67" s="418"/>
      <c r="G67" s="424"/>
      <c r="H67" s="21"/>
      <c r="I67" s="20"/>
    </row>
    <row r="68" spans="1:9" ht="13.15" customHeight="1" x14ac:dyDescent="0.2">
      <c r="A68" s="19" t="s">
        <v>39</v>
      </c>
      <c r="B68" s="421"/>
      <c r="C68" s="422"/>
      <c r="D68" s="421" t="s">
        <v>58</v>
      </c>
      <c r="E68" s="384"/>
      <c r="F68" s="384"/>
      <c r="G68" s="422"/>
      <c r="H68" s="18"/>
      <c r="I68" s="17"/>
    </row>
    <row r="69" spans="1:9" ht="54.75" customHeight="1" x14ac:dyDescent="0.2">
      <c r="A69" s="19" t="s">
        <v>39</v>
      </c>
      <c r="B69" s="421"/>
      <c r="C69" s="422"/>
      <c r="D69" s="421" t="s">
        <v>1296</v>
      </c>
      <c r="E69" s="384"/>
      <c r="F69" s="384"/>
      <c r="G69" s="422"/>
      <c r="H69" s="18"/>
      <c r="I69" s="17"/>
    </row>
    <row r="70" spans="1:9" ht="64.150000000000006" customHeight="1" x14ac:dyDescent="0.2">
      <c r="A70" s="19" t="s">
        <v>39</v>
      </c>
      <c r="B70" s="421"/>
      <c r="C70" s="422"/>
      <c r="D70" s="421" t="s">
        <v>584</v>
      </c>
      <c r="E70" s="384"/>
      <c r="F70" s="384"/>
      <c r="G70" s="422"/>
      <c r="H70" s="18"/>
      <c r="I70" s="17"/>
    </row>
    <row r="71" spans="1:9" ht="13.15" customHeight="1" x14ac:dyDescent="0.2">
      <c r="A71" s="51" t="s">
        <v>39</v>
      </c>
      <c r="B71" s="436"/>
      <c r="C71" s="438"/>
      <c r="D71" s="436" t="s">
        <v>65</v>
      </c>
      <c r="E71" s="437"/>
      <c r="F71" s="437"/>
      <c r="G71" s="438"/>
      <c r="H71" s="52"/>
      <c r="I71" s="53"/>
    </row>
    <row r="72" spans="1:9" ht="121.5" customHeight="1" x14ac:dyDescent="0.2">
      <c r="A72" s="24" t="s">
        <v>27</v>
      </c>
      <c r="B72" s="413" t="s">
        <v>67</v>
      </c>
      <c r="C72" s="414"/>
      <c r="D72" s="415" t="s">
        <v>494</v>
      </c>
      <c r="E72" s="416"/>
      <c r="F72" s="416"/>
      <c r="G72" s="417"/>
      <c r="H72" s="23" t="s">
        <v>1106</v>
      </c>
      <c r="I72" s="22">
        <f>33300 * 23 * 0.4 * 1.4</f>
        <v>428904</v>
      </c>
    </row>
    <row r="73" spans="1:9" ht="13.15" customHeight="1" x14ac:dyDescent="0.2">
      <c r="A73" s="19" t="s">
        <v>39</v>
      </c>
      <c r="B73" s="423"/>
      <c r="C73" s="424"/>
      <c r="D73" s="423" t="s">
        <v>45</v>
      </c>
      <c r="E73" s="418"/>
      <c r="F73" s="418"/>
      <c r="G73" s="424"/>
      <c r="H73" s="21"/>
      <c r="I73" s="20"/>
    </row>
    <row r="74" spans="1:9" ht="13.15" customHeight="1" x14ac:dyDescent="0.2">
      <c r="A74" s="19" t="s">
        <v>39</v>
      </c>
      <c r="B74" s="421"/>
      <c r="C74" s="422"/>
      <c r="D74" s="421" t="s">
        <v>58</v>
      </c>
      <c r="E74" s="384"/>
      <c r="F74" s="384"/>
      <c r="G74" s="422"/>
      <c r="H74" s="18"/>
      <c r="I74" s="17"/>
    </row>
    <row r="75" spans="1:9" ht="54.75" customHeight="1" x14ac:dyDescent="0.2">
      <c r="A75" s="19" t="s">
        <v>39</v>
      </c>
      <c r="B75" s="421"/>
      <c r="C75" s="422"/>
      <c r="D75" s="421" t="s">
        <v>1094</v>
      </c>
      <c r="E75" s="384"/>
      <c r="F75" s="384"/>
      <c r="G75" s="422"/>
      <c r="H75" s="18"/>
      <c r="I75" s="17"/>
    </row>
    <row r="76" spans="1:9" ht="24" customHeight="1" x14ac:dyDescent="0.2">
      <c r="A76" s="51" t="s">
        <v>39</v>
      </c>
      <c r="B76" s="436"/>
      <c r="C76" s="438"/>
      <c r="D76" s="436" t="s">
        <v>65</v>
      </c>
      <c r="E76" s="437"/>
      <c r="F76" s="437"/>
      <c r="G76" s="438"/>
      <c r="H76" s="52"/>
      <c r="I76" s="53"/>
    </row>
    <row r="77" spans="1:9" ht="121.5" customHeight="1" x14ac:dyDescent="0.2">
      <c r="A77" s="24" t="s">
        <v>28</v>
      </c>
      <c r="B77" s="413" t="s">
        <v>495</v>
      </c>
      <c r="C77" s="414"/>
      <c r="D77" s="415" t="s">
        <v>496</v>
      </c>
      <c r="E77" s="416"/>
      <c r="F77" s="416"/>
      <c r="G77" s="417"/>
      <c r="H77" s="23" t="s">
        <v>1107</v>
      </c>
      <c r="I77" s="22">
        <f>27700  * 1 * 0.4 *  1.4</f>
        <v>15511.999999999998</v>
      </c>
    </row>
    <row r="78" spans="1:9" ht="28.9" customHeight="1" x14ac:dyDescent="0.2">
      <c r="A78" s="19" t="s">
        <v>39</v>
      </c>
      <c r="B78" s="423"/>
      <c r="C78" s="424"/>
      <c r="D78" s="423" t="s">
        <v>45</v>
      </c>
      <c r="E78" s="418"/>
      <c r="F78" s="418"/>
      <c r="G78" s="424"/>
      <c r="H78" s="21"/>
      <c r="I78" s="20"/>
    </row>
    <row r="79" spans="1:9" ht="13.15" customHeight="1" x14ac:dyDescent="0.2">
      <c r="A79" s="19" t="s">
        <v>39</v>
      </c>
      <c r="B79" s="421"/>
      <c r="C79" s="422"/>
      <c r="D79" s="421" t="s">
        <v>58</v>
      </c>
      <c r="E79" s="384"/>
      <c r="F79" s="384"/>
      <c r="G79" s="422"/>
      <c r="H79" s="18"/>
      <c r="I79" s="17"/>
    </row>
    <row r="80" spans="1:9" ht="62.25" customHeight="1" x14ac:dyDescent="0.2">
      <c r="A80" s="19" t="s">
        <v>39</v>
      </c>
      <c r="B80" s="421"/>
      <c r="C80" s="422"/>
      <c r="D80" s="421" t="s">
        <v>1094</v>
      </c>
      <c r="E80" s="384"/>
      <c r="F80" s="384"/>
      <c r="G80" s="422"/>
      <c r="H80" s="18"/>
      <c r="I80" s="17"/>
    </row>
    <row r="81" spans="1:9" ht="42.6" customHeight="1" x14ac:dyDescent="0.2">
      <c r="A81" s="51" t="s">
        <v>39</v>
      </c>
      <c r="B81" s="436"/>
      <c r="C81" s="438"/>
      <c r="D81" s="436" t="s">
        <v>65</v>
      </c>
      <c r="E81" s="437"/>
      <c r="F81" s="437"/>
      <c r="G81" s="438"/>
      <c r="H81" s="52"/>
      <c r="I81" s="53"/>
    </row>
    <row r="82" spans="1:9" ht="13.15" customHeight="1" x14ac:dyDescent="0.2">
      <c r="A82" s="11" t="s">
        <v>30</v>
      </c>
      <c r="B82" s="395" t="s">
        <v>43</v>
      </c>
      <c r="C82" s="396"/>
      <c r="D82" s="395"/>
      <c r="E82" s="397"/>
      <c r="F82" s="397"/>
      <c r="G82" s="396"/>
      <c r="H82" s="10"/>
      <c r="I82" s="9">
        <f>I18+I23+I29+I34+I39+I44+I49+I54+I61+I66+I72+I77</f>
        <v>1825097.2319999998</v>
      </c>
    </row>
    <row r="83" spans="1:9" ht="66" customHeight="1" x14ac:dyDescent="0.2">
      <c r="A83" s="11" t="s">
        <v>32</v>
      </c>
      <c r="B83" s="392" t="s">
        <v>1076</v>
      </c>
      <c r="C83" s="393"/>
      <c r="D83" s="392" t="s">
        <v>1064</v>
      </c>
      <c r="E83" s="394"/>
      <c r="F83" s="394"/>
      <c r="G83" s="393"/>
      <c r="H83" s="13" t="s">
        <v>1079</v>
      </c>
      <c r="I83" s="12">
        <f>I82*1.4</f>
        <v>2555136.1247999994</v>
      </c>
    </row>
    <row r="84" spans="1:9" ht="13.15" customHeight="1" x14ac:dyDescent="0.2">
      <c r="A84" s="11" t="s">
        <v>34</v>
      </c>
      <c r="B84" s="395" t="s">
        <v>42</v>
      </c>
      <c r="C84" s="396"/>
      <c r="D84" s="395"/>
      <c r="E84" s="397"/>
      <c r="F84" s="397"/>
      <c r="G84" s="396"/>
      <c r="H84" s="10"/>
      <c r="I84" s="9">
        <f>I83</f>
        <v>2555136.1247999994</v>
      </c>
    </row>
    <row r="85" spans="1:9" ht="13.15" customHeight="1" x14ac:dyDescent="0.2">
      <c r="A85" s="5"/>
      <c r="B85" s="5"/>
      <c r="C85" s="5"/>
      <c r="D85" s="5"/>
      <c r="E85" s="5"/>
      <c r="F85" s="5"/>
      <c r="G85" s="5"/>
      <c r="H85" s="5"/>
      <c r="I85" s="5"/>
    </row>
    <row r="86" spans="1:9" ht="12.75" customHeight="1" x14ac:dyDescent="0.2"/>
    <row r="87" spans="1:9" s="8" customFormat="1" ht="25.15" hidden="1" customHeight="1" x14ac:dyDescent="0.2">
      <c r="A87" s="384" t="s">
        <v>41</v>
      </c>
      <c r="B87" s="384"/>
      <c r="C87" s="384"/>
      <c r="D87" s="384" t="s">
        <v>231</v>
      </c>
      <c r="E87" s="384"/>
      <c r="F87" s="384"/>
      <c r="G87" s="384"/>
      <c r="H87" s="384"/>
      <c r="I87" s="384"/>
    </row>
    <row r="88" spans="1:9" ht="12.75" customHeight="1" x14ac:dyDescent="0.2">
      <c r="D88" s="7"/>
    </row>
    <row r="89" spans="1:9" x14ac:dyDescent="0.2">
      <c r="A89" s="391" t="s">
        <v>0</v>
      </c>
      <c r="B89" s="391"/>
      <c r="C89" s="391"/>
      <c r="D89" s="391"/>
      <c r="E89" s="391"/>
      <c r="F89" s="391"/>
      <c r="G89" s="391"/>
      <c r="H89" s="391"/>
      <c r="I89" s="391"/>
    </row>
    <row r="90" spans="1:9" ht="12.75" customHeight="1" x14ac:dyDescent="0.2">
      <c r="A90" s="391"/>
      <c r="B90" s="391"/>
      <c r="C90" s="391"/>
      <c r="D90" s="391"/>
      <c r="E90" s="391"/>
      <c r="F90" s="391"/>
      <c r="G90" s="391"/>
      <c r="H90" s="391"/>
      <c r="I90" s="391"/>
    </row>
    <row r="91" spans="1:9" x14ac:dyDescent="0.2">
      <c r="D91" s="389" t="s">
        <v>2</v>
      </c>
      <c r="E91" s="390"/>
      <c r="F91" s="390"/>
      <c r="G91" s="390"/>
      <c r="H91" s="390"/>
      <c r="I91" s="390"/>
    </row>
    <row r="92" spans="1:9" ht="12.75" customHeight="1" x14ac:dyDescent="0.2"/>
    <row r="93" spans="1:9" x14ac:dyDescent="0.2">
      <c r="A93" s="391" t="s">
        <v>1</v>
      </c>
      <c r="B93" s="391"/>
      <c r="C93" s="391"/>
      <c r="D93" s="391"/>
      <c r="E93" s="391"/>
      <c r="F93" s="391"/>
      <c r="G93" s="391"/>
      <c r="H93" s="391"/>
      <c r="I93" s="391"/>
    </row>
    <row r="94" spans="1:9" ht="12.75" customHeight="1" x14ac:dyDescent="0.2">
      <c r="A94" s="391"/>
      <c r="B94" s="391"/>
      <c r="C94" s="391"/>
      <c r="D94" s="391"/>
      <c r="E94" s="391"/>
      <c r="F94" s="391"/>
      <c r="G94" s="391"/>
      <c r="H94" s="391"/>
      <c r="I94" s="391"/>
    </row>
    <row r="95" spans="1:9" x14ac:dyDescent="0.2">
      <c r="D95" s="389" t="s">
        <v>2</v>
      </c>
      <c r="E95" s="390"/>
      <c r="F95" s="390"/>
      <c r="G95" s="390"/>
      <c r="H95" s="390"/>
      <c r="I95" s="390"/>
    </row>
    <row r="96" spans="1:9" ht="12.75" customHeight="1" x14ac:dyDescent="0.2"/>
    <row r="97" spans="1:9" x14ac:dyDescent="0.2">
      <c r="A97" s="391" t="s">
        <v>5</v>
      </c>
      <c r="B97" s="391"/>
      <c r="C97" s="391"/>
      <c r="D97" s="391"/>
      <c r="E97" s="391"/>
      <c r="F97" s="391"/>
      <c r="G97" s="6" t="s">
        <v>7</v>
      </c>
      <c r="H97" s="391"/>
      <c r="I97" s="391"/>
    </row>
    <row r="98" spans="1:9" x14ac:dyDescent="0.2">
      <c r="D98" s="389" t="s">
        <v>40</v>
      </c>
      <c r="E98" s="390"/>
      <c r="F98" s="390"/>
      <c r="H98" s="389" t="s">
        <v>2</v>
      </c>
      <c r="I98" s="390"/>
    </row>
    <row r="99" spans="1:9" ht="12.75" customHeight="1" x14ac:dyDescent="0.2"/>
    <row r="100" spans="1:9" x14ac:dyDescent="0.2">
      <c r="A100" s="391" t="s">
        <v>3</v>
      </c>
      <c r="B100" s="391"/>
      <c r="C100" s="391"/>
      <c r="D100" s="391"/>
      <c r="E100" s="391"/>
      <c r="F100" s="391"/>
      <c r="G100" s="391"/>
      <c r="H100" s="391"/>
      <c r="I100" s="391"/>
    </row>
    <row r="101" spans="1:9" x14ac:dyDescent="0.2">
      <c r="D101" s="389" t="s">
        <v>6</v>
      </c>
      <c r="E101" s="390"/>
      <c r="F101" s="390"/>
      <c r="G101" s="390"/>
      <c r="H101" s="390"/>
      <c r="I101" s="390"/>
    </row>
    <row r="102" spans="1:9" ht="12.75" customHeight="1" x14ac:dyDescent="0.2"/>
  </sheetData>
  <mergeCells count="168">
    <mergeCell ref="A87:C87"/>
    <mergeCell ref="D87:I87"/>
    <mergeCell ref="A89:C90"/>
    <mergeCell ref="D89:I90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D12:I12"/>
    <mergeCell ref="A12:C12"/>
    <mergeCell ref="B77:C77"/>
    <mergeCell ref="D77:G77"/>
    <mergeCell ref="B78:C78"/>
    <mergeCell ref="D78:G78"/>
    <mergeCell ref="B75:C75"/>
    <mergeCell ref="D75:G75"/>
    <mergeCell ref="B72:C72"/>
    <mergeCell ref="D72:G72"/>
    <mergeCell ref="B73:C73"/>
    <mergeCell ref="D101:I101"/>
    <mergeCell ref="D98:F98"/>
    <mergeCell ref="H97:I97"/>
    <mergeCell ref="H98:I98"/>
    <mergeCell ref="A100:C100"/>
    <mergeCell ref="D100:I100"/>
    <mergeCell ref="D91:I91"/>
    <mergeCell ref="A93:C94"/>
    <mergeCell ref="D93:I94"/>
    <mergeCell ref="D95:I95"/>
    <mergeCell ref="A97:C97"/>
    <mergeCell ref="D97:F97"/>
    <mergeCell ref="D73:G73"/>
    <mergeCell ref="B74:C74"/>
    <mergeCell ref="D74:G74"/>
    <mergeCell ref="B76:C76"/>
    <mergeCell ref="D76:G76"/>
    <mergeCell ref="B84:C84"/>
    <mergeCell ref="D84:G84"/>
    <mergeCell ref="B80:C80"/>
    <mergeCell ref="D80:G80"/>
    <mergeCell ref="B81:C81"/>
    <mergeCell ref="D81:G81"/>
    <mergeCell ref="B82:C82"/>
    <mergeCell ref="D82:G82"/>
    <mergeCell ref="B79:C79"/>
    <mergeCell ref="D79:G79"/>
    <mergeCell ref="B83:C83"/>
    <mergeCell ref="D83:G83"/>
    <mergeCell ref="B70:C70"/>
    <mergeCell ref="D70:G70"/>
    <mergeCell ref="B71:C71"/>
    <mergeCell ref="D71:G71"/>
    <mergeCell ref="B68:C68"/>
    <mergeCell ref="D68:G68"/>
    <mergeCell ref="B65:C65"/>
    <mergeCell ref="D65:G65"/>
    <mergeCell ref="B66:C66"/>
    <mergeCell ref="D66:G66"/>
    <mergeCell ref="B67:C67"/>
    <mergeCell ref="D67:G67"/>
    <mergeCell ref="B69:C69"/>
    <mergeCell ref="D69:G69"/>
    <mergeCell ref="B64:C64"/>
    <mergeCell ref="D64:G64"/>
    <mergeCell ref="D61:G61"/>
    <mergeCell ref="B62:C62"/>
    <mergeCell ref="D62:G62"/>
    <mergeCell ref="B63:C63"/>
    <mergeCell ref="D63:G63"/>
    <mergeCell ref="B58:C58"/>
    <mergeCell ref="D58:G58"/>
    <mergeCell ref="B59:C59"/>
    <mergeCell ref="D59:G59"/>
    <mergeCell ref="B60:C60"/>
    <mergeCell ref="D60:G60"/>
    <mergeCell ref="B61:C61"/>
    <mergeCell ref="B42:C42"/>
    <mergeCell ref="B36:C36"/>
    <mergeCell ref="D36:G36"/>
    <mergeCell ref="B51:C51"/>
    <mergeCell ref="D51:G51"/>
    <mergeCell ref="B48:C48"/>
    <mergeCell ref="D48:G48"/>
    <mergeCell ref="B49:C49"/>
    <mergeCell ref="D49:G49"/>
    <mergeCell ref="B50:C50"/>
    <mergeCell ref="D50:G50"/>
    <mergeCell ref="B47:C47"/>
    <mergeCell ref="D47:G47"/>
    <mergeCell ref="B40:C40"/>
    <mergeCell ref="D40:G40"/>
    <mergeCell ref="B44:C44"/>
    <mergeCell ref="D44:G44"/>
    <mergeCell ref="B45:C45"/>
    <mergeCell ref="D45:G45"/>
    <mergeCell ref="B46:C46"/>
    <mergeCell ref="D46:G46"/>
    <mergeCell ref="D42:G42"/>
    <mergeCell ref="B43:C43"/>
    <mergeCell ref="D43:G43"/>
    <mergeCell ref="D41:G41"/>
    <mergeCell ref="B39:C39"/>
    <mergeCell ref="D39:G39"/>
    <mergeCell ref="D35:G35"/>
    <mergeCell ref="B28:C28"/>
    <mergeCell ref="D28:G28"/>
    <mergeCell ref="B29:C29"/>
    <mergeCell ref="D29:G29"/>
    <mergeCell ref="B30:C30"/>
    <mergeCell ref="D30:G30"/>
    <mergeCell ref="B38:C38"/>
    <mergeCell ref="D38:G38"/>
    <mergeCell ref="B37:C37"/>
    <mergeCell ref="D37:G37"/>
    <mergeCell ref="B41:C41"/>
    <mergeCell ref="B31:C31"/>
    <mergeCell ref="D31:G31"/>
    <mergeCell ref="B32:C32"/>
    <mergeCell ref="D32:G32"/>
    <mergeCell ref="B33:C33"/>
    <mergeCell ref="D33:G33"/>
    <mergeCell ref="B34:C34"/>
    <mergeCell ref="D34:G34"/>
    <mergeCell ref="B56:C56"/>
    <mergeCell ref="D56:G56"/>
    <mergeCell ref="B57:C57"/>
    <mergeCell ref="D57:G57"/>
    <mergeCell ref="B52:C52"/>
    <mergeCell ref="D52:G52"/>
    <mergeCell ref="B53:C53"/>
    <mergeCell ref="D53:G53"/>
    <mergeCell ref="B54:C54"/>
    <mergeCell ref="D54:G54"/>
    <mergeCell ref="B55:C55"/>
    <mergeCell ref="D55:G55"/>
    <mergeCell ref="B25:C25"/>
    <mergeCell ref="D25:G25"/>
    <mergeCell ref="B26:C26"/>
    <mergeCell ref="D26:G26"/>
    <mergeCell ref="B35:C35"/>
    <mergeCell ref="B17:C17"/>
    <mergeCell ref="D17:G17"/>
    <mergeCell ref="B16:C16"/>
    <mergeCell ref="D16:G16"/>
    <mergeCell ref="B27:C27"/>
    <mergeCell ref="D27:G27"/>
    <mergeCell ref="A14:I14"/>
    <mergeCell ref="A15:I15"/>
    <mergeCell ref="A23:A24"/>
    <mergeCell ref="B23:C24"/>
    <mergeCell ref="D23:G24"/>
    <mergeCell ref="H23:H24"/>
    <mergeCell ref="B21:C21"/>
    <mergeCell ref="D21:G21"/>
    <mergeCell ref="I23:I24"/>
    <mergeCell ref="B18:C18"/>
    <mergeCell ref="D18:G18"/>
    <mergeCell ref="B19:C19"/>
    <mergeCell ref="D19:G19"/>
    <mergeCell ref="B20:C20"/>
    <mergeCell ref="D20:G20"/>
    <mergeCell ref="B22:C22"/>
    <mergeCell ref="D22:G22"/>
  </mergeCells>
  <pageMargins left="0.39370078740157477" right="0.39370078740157477" top="0.74803149606299213" bottom="0.74803149606299213" header="0.31496062992125984" footer="0.31496062992125984"/>
  <pageSetup paperSize="9" scale="87" orientation="portrait" useFirstPageNumber="1" horizontalDpi="300" verticalDpi="300" r:id="rId1"/>
  <headerFooter alignWithMargins="0">
    <oddFooter>&amp;CСтраница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5"/>
  <dimension ref="A1:K59"/>
  <sheetViews>
    <sheetView view="pageBreakPreview" zoomScale="60" zoomScaleNormal="100" workbookViewId="0">
      <selection activeCell="M16" sqref="M16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91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90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33.75" customHeight="1" x14ac:dyDescent="0.2">
      <c r="A8" s="384" t="s">
        <v>21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0" ht="31.5" customHeight="1" x14ac:dyDescent="0.2">
      <c r="A18" s="11" t="s">
        <v>10</v>
      </c>
      <c r="B18" s="395" t="s">
        <v>78</v>
      </c>
      <c r="C18" s="396"/>
      <c r="D18" s="395" t="s">
        <v>89</v>
      </c>
      <c r="E18" s="397"/>
      <c r="F18" s="397"/>
      <c r="G18" s="396"/>
      <c r="H18" s="10"/>
      <c r="I18" s="35"/>
    </row>
    <row r="19" spans="1:10" ht="97.35" customHeight="1" x14ac:dyDescent="0.2">
      <c r="A19" s="24" t="s">
        <v>88</v>
      </c>
      <c r="B19" s="413" t="s">
        <v>87</v>
      </c>
      <c r="C19" s="414"/>
      <c r="D19" s="415" t="s">
        <v>540</v>
      </c>
      <c r="E19" s="416"/>
      <c r="F19" s="416"/>
      <c r="G19" s="417"/>
      <c r="H19" s="23" t="s">
        <v>1108</v>
      </c>
      <c r="I19" s="22">
        <f>(0 + 6400 * 21) * 1 * 0.4 * 1.29 * 1.4</f>
        <v>97090.560000000012</v>
      </c>
      <c r="J19" s="78"/>
    </row>
    <row r="20" spans="1:10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10" ht="26.45" customHeight="1" x14ac:dyDescent="0.2">
      <c r="A21" s="19" t="s">
        <v>39</v>
      </c>
      <c r="B21" s="421"/>
      <c r="C21" s="422"/>
      <c r="D21" s="421" t="s">
        <v>58</v>
      </c>
      <c r="E21" s="384"/>
      <c r="F21" s="384"/>
      <c r="G21" s="422"/>
      <c r="H21" s="18"/>
      <c r="I21" s="17"/>
    </row>
    <row r="22" spans="1:10" ht="52.9" customHeight="1" x14ac:dyDescent="0.2">
      <c r="A22" s="19" t="s">
        <v>39</v>
      </c>
      <c r="B22" s="421"/>
      <c r="C22" s="422"/>
      <c r="D22" s="421" t="s">
        <v>1080</v>
      </c>
      <c r="E22" s="384"/>
      <c r="F22" s="384"/>
      <c r="G22" s="422"/>
      <c r="H22" s="18"/>
      <c r="I22" s="17"/>
    </row>
    <row r="23" spans="1:10" ht="183" customHeight="1" x14ac:dyDescent="0.2">
      <c r="A23" s="19" t="s">
        <v>39</v>
      </c>
      <c r="B23" s="421"/>
      <c r="C23" s="422"/>
      <c r="D23" s="421" t="s">
        <v>1094</v>
      </c>
      <c r="E23" s="384"/>
      <c r="F23" s="384"/>
      <c r="G23" s="422"/>
      <c r="H23" s="18"/>
      <c r="I23" s="17"/>
    </row>
    <row r="24" spans="1:10" ht="132" hidden="1" customHeight="1" x14ac:dyDescent="0.2">
      <c r="A24" s="16" t="s">
        <v>39</v>
      </c>
      <c r="B24" s="427"/>
      <c r="C24" s="428"/>
      <c r="D24" s="427" t="s">
        <v>86</v>
      </c>
      <c r="E24" s="429"/>
      <c r="F24" s="429"/>
      <c r="G24" s="428"/>
      <c r="H24" s="15"/>
      <c r="I24" s="14"/>
    </row>
    <row r="25" spans="1:10" ht="97.35" customHeight="1" x14ac:dyDescent="0.2">
      <c r="A25" s="24" t="s">
        <v>85</v>
      </c>
      <c r="B25" s="413" t="s">
        <v>59</v>
      </c>
      <c r="C25" s="414"/>
      <c r="D25" s="415" t="s">
        <v>84</v>
      </c>
      <c r="E25" s="416"/>
      <c r="F25" s="416"/>
      <c r="G25" s="417"/>
      <c r="H25" s="23" t="s">
        <v>1109</v>
      </c>
      <c r="I25" s="22">
        <f>(53100 + 186  * 1780) * 1 * 0.4 * 1.4  * 1.4</f>
        <v>301197.11999999994</v>
      </c>
    </row>
    <row r="26" spans="1:10" ht="16.149999999999999" customHeight="1" x14ac:dyDescent="0.2">
      <c r="A26" s="19" t="s">
        <v>39</v>
      </c>
      <c r="B26" s="423"/>
      <c r="C26" s="424"/>
      <c r="D26" s="423" t="s">
        <v>45</v>
      </c>
      <c r="E26" s="418"/>
      <c r="F26" s="418"/>
      <c r="G26" s="424"/>
      <c r="H26" s="21"/>
      <c r="I26" s="20"/>
    </row>
    <row r="27" spans="1:10" ht="26.45" customHeight="1" x14ac:dyDescent="0.2">
      <c r="A27" s="19" t="s">
        <v>39</v>
      </c>
      <c r="B27" s="421"/>
      <c r="C27" s="422"/>
      <c r="D27" s="421" t="s">
        <v>58</v>
      </c>
      <c r="E27" s="384"/>
      <c r="F27" s="384"/>
      <c r="G27" s="422"/>
      <c r="H27" s="18"/>
      <c r="I27" s="17"/>
    </row>
    <row r="28" spans="1:10" ht="52.9" customHeight="1" x14ac:dyDescent="0.2">
      <c r="A28" s="19" t="s">
        <v>39</v>
      </c>
      <c r="B28" s="421"/>
      <c r="C28" s="422"/>
      <c r="D28" s="421" t="s">
        <v>1082</v>
      </c>
      <c r="E28" s="384"/>
      <c r="F28" s="384"/>
      <c r="G28" s="422"/>
      <c r="H28" s="18"/>
      <c r="I28" s="17"/>
    </row>
    <row r="29" spans="1:10" ht="184.9" hidden="1" customHeight="1" x14ac:dyDescent="0.2">
      <c r="A29" s="19" t="s">
        <v>39</v>
      </c>
      <c r="B29" s="421"/>
      <c r="C29" s="422"/>
      <c r="D29" s="421" t="s">
        <v>57</v>
      </c>
      <c r="E29" s="384"/>
      <c r="F29" s="384"/>
      <c r="G29" s="422"/>
      <c r="H29" s="18"/>
      <c r="I29" s="17"/>
    </row>
    <row r="30" spans="1:10" ht="195" customHeight="1" x14ac:dyDescent="0.2">
      <c r="A30" s="16" t="s">
        <v>39</v>
      </c>
      <c r="B30" s="427"/>
      <c r="C30" s="428"/>
      <c r="D30" s="427" t="s">
        <v>1089</v>
      </c>
      <c r="E30" s="429"/>
      <c r="F30" s="429"/>
      <c r="G30" s="428"/>
      <c r="H30" s="15"/>
      <c r="I30" s="14"/>
    </row>
    <row r="31" spans="1:10" ht="26.45" customHeight="1" x14ac:dyDescent="0.2">
      <c r="A31" s="11" t="s">
        <v>83</v>
      </c>
      <c r="B31" s="395" t="s">
        <v>82</v>
      </c>
      <c r="C31" s="396"/>
      <c r="D31" s="395"/>
      <c r="E31" s="397"/>
      <c r="F31" s="397"/>
      <c r="G31" s="396"/>
      <c r="H31" s="10"/>
      <c r="I31" s="9">
        <f>I19+I25</f>
        <v>398287.67999999993</v>
      </c>
    </row>
    <row r="32" spans="1:10" ht="26.45" customHeight="1" x14ac:dyDescent="0.2">
      <c r="A32" s="11" t="s">
        <v>81</v>
      </c>
      <c r="B32" s="395" t="s">
        <v>80</v>
      </c>
      <c r="C32" s="396"/>
      <c r="D32" s="395"/>
      <c r="E32" s="397"/>
      <c r="F32" s="397"/>
      <c r="G32" s="396"/>
      <c r="H32" s="10" t="s">
        <v>79</v>
      </c>
      <c r="I32" s="9">
        <f>I31</f>
        <v>398287.67999999993</v>
      </c>
    </row>
    <row r="33" spans="1:11" ht="26.45" customHeight="1" x14ac:dyDescent="0.2">
      <c r="A33" s="11" t="s">
        <v>11</v>
      </c>
      <c r="B33" s="395" t="s">
        <v>78</v>
      </c>
      <c r="C33" s="396"/>
      <c r="D33" s="395" t="s">
        <v>77</v>
      </c>
      <c r="E33" s="397"/>
      <c r="F33" s="397"/>
      <c r="G33" s="396"/>
      <c r="H33" s="10"/>
      <c r="I33" s="35"/>
    </row>
    <row r="34" spans="1:11" ht="123.75" customHeight="1" x14ac:dyDescent="0.2">
      <c r="A34" s="24" t="s">
        <v>76</v>
      </c>
      <c r="B34" s="413" t="s">
        <v>541</v>
      </c>
      <c r="C34" s="414"/>
      <c r="D34" s="415" t="s">
        <v>542</v>
      </c>
      <c r="E34" s="416"/>
      <c r="F34" s="416"/>
      <c r="G34" s="417"/>
      <c r="H34" s="23" t="s">
        <v>1110</v>
      </c>
      <c r="I34" s="22">
        <f>(110100  + 7105  * 42) * 1 * 0.4 * 1.4 * 1.4</f>
        <v>320271.83999999997</v>
      </c>
      <c r="K34" s="78"/>
    </row>
    <row r="35" spans="1:11" ht="16.149999999999999" customHeight="1" x14ac:dyDescent="0.2">
      <c r="A35" s="19" t="s">
        <v>39</v>
      </c>
      <c r="B35" s="423"/>
      <c r="C35" s="424"/>
      <c r="D35" s="423" t="s">
        <v>45</v>
      </c>
      <c r="E35" s="418"/>
      <c r="F35" s="418"/>
      <c r="G35" s="424"/>
      <c r="H35" s="21"/>
      <c r="I35" s="20"/>
    </row>
    <row r="36" spans="1:11" ht="26.45" customHeight="1" x14ac:dyDescent="0.2">
      <c r="A36" s="19" t="s">
        <v>39</v>
      </c>
      <c r="B36" s="421"/>
      <c r="C36" s="422"/>
      <c r="D36" s="421" t="s">
        <v>58</v>
      </c>
      <c r="E36" s="384"/>
      <c r="F36" s="384"/>
      <c r="G36" s="422"/>
      <c r="H36" s="18"/>
      <c r="I36" s="17"/>
    </row>
    <row r="37" spans="1:11" ht="52.9" customHeight="1" x14ac:dyDescent="0.2">
      <c r="A37" s="19" t="s">
        <v>39</v>
      </c>
      <c r="B37" s="421"/>
      <c r="C37" s="422"/>
      <c r="D37" s="421" t="s">
        <v>1082</v>
      </c>
      <c r="E37" s="384"/>
      <c r="F37" s="384"/>
      <c r="G37" s="422"/>
      <c r="H37" s="18"/>
      <c r="I37" s="17"/>
    </row>
    <row r="38" spans="1:11" ht="184.9" hidden="1" customHeight="1" x14ac:dyDescent="0.2">
      <c r="A38" s="19" t="s">
        <v>39</v>
      </c>
      <c r="B38" s="421"/>
      <c r="C38" s="422"/>
      <c r="D38" s="421" t="s">
        <v>57</v>
      </c>
      <c r="E38" s="384"/>
      <c r="F38" s="384"/>
      <c r="G38" s="422"/>
      <c r="H38" s="18"/>
      <c r="I38" s="17"/>
    </row>
    <row r="39" spans="1:11" ht="185.45" customHeight="1" x14ac:dyDescent="0.2">
      <c r="A39" s="16" t="s">
        <v>39</v>
      </c>
      <c r="B39" s="427"/>
      <c r="C39" s="428"/>
      <c r="D39" s="427" t="s">
        <v>1089</v>
      </c>
      <c r="E39" s="429"/>
      <c r="F39" s="429"/>
      <c r="G39" s="428"/>
      <c r="H39" s="15"/>
      <c r="I39" s="14"/>
    </row>
    <row r="40" spans="1:11" ht="26.45" customHeight="1" x14ac:dyDescent="0.2">
      <c r="A40" s="11" t="s">
        <v>75</v>
      </c>
      <c r="B40" s="395" t="s">
        <v>74</v>
      </c>
      <c r="C40" s="396"/>
      <c r="D40" s="395"/>
      <c r="E40" s="397"/>
      <c r="F40" s="397"/>
      <c r="G40" s="396"/>
      <c r="H40" s="10"/>
      <c r="I40" s="9">
        <f>I34</f>
        <v>320271.83999999997</v>
      </c>
    </row>
    <row r="41" spans="1:11" ht="26.45" customHeight="1" x14ac:dyDescent="0.2">
      <c r="A41" s="11" t="s">
        <v>73</v>
      </c>
      <c r="B41" s="395" t="s">
        <v>72</v>
      </c>
      <c r="C41" s="396"/>
      <c r="D41" s="395"/>
      <c r="E41" s="397"/>
      <c r="F41" s="397"/>
      <c r="G41" s="396"/>
      <c r="H41" s="10" t="s">
        <v>71</v>
      </c>
      <c r="I41" s="9">
        <f>I34</f>
        <v>320271.83999999997</v>
      </c>
    </row>
    <row r="42" spans="1:11" ht="13.15" customHeight="1" x14ac:dyDescent="0.2">
      <c r="A42" s="11" t="s">
        <v>13</v>
      </c>
      <c r="B42" s="395" t="s">
        <v>43</v>
      </c>
      <c r="C42" s="396"/>
      <c r="D42" s="395"/>
      <c r="E42" s="397"/>
      <c r="F42" s="397"/>
      <c r="G42" s="396"/>
      <c r="H42" s="10"/>
      <c r="I42" s="9">
        <f>I41+I32</f>
        <v>718559.5199999999</v>
      </c>
    </row>
    <row r="43" spans="1:11" ht="13.15" customHeight="1" x14ac:dyDescent="0.2">
      <c r="A43" s="11" t="s">
        <v>15</v>
      </c>
      <c r="B43" s="395" t="s">
        <v>42</v>
      </c>
      <c r="C43" s="396"/>
      <c r="D43" s="395"/>
      <c r="E43" s="397"/>
      <c r="F43" s="397"/>
      <c r="G43" s="396"/>
      <c r="H43" s="10" t="s">
        <v>70</v>
      </c>
      <c r="I43" s="9">
        <f>I42</f>
        <v>718559.5199999999</v>
      </c>
    </row>
    <row r="44" spans="1:11" ht="12.75" customHeight="1" x14ac:dyDescent="0.2"/>
    <row r="45" spans="1:11" ht="12.75" customHeight="1" x14ac:dyDescent="0.2">
      <c r="D45" s="7"/>
    </row>
    <row r="46" spans="1:11" x14ac:dyDescent="0.2">
      <c r="A46" s="391" t="s">
        <v>0</v>
      </c>
      <c r="B46" s="391"/>
      <c r="C46" s="391"/>
      <c r="D46" s="391"/>
      <c r="E46" s="391"/>
      <c r="F46" s="391"/>
      <c r="G46" s="391"/>
      <c r="H46" s="391"/>
      <c r="I46" s="391"/>
    </row>
    <row r="47" spans="1:11" ht="12.75" customHeight="1" x14ac:dyDescent="0.2">
      <c r="A47" s="391"/>
      <c r="B47" s="391"/>
      <c r="C47" s="391"/>
      <c r="D47" s="391"/>
      <c r="E47" s="391"/>
      <c r="F47" s="391"/>
      <c r="G47" s="391"/>
      <c r="H47" s="391"/>
      <c r="I47" s="391"/>
    </row>
    <row r="48" spans="1:11" x14ac:dyDescent="0.2">
      <c r="D48" s="389" t="s">
        <v>2</v>
      </c>
      <c r="E48" s="390"/>
      <c r="F48" s="390"/>
      <c r="G48" s="390"/>
      <c r="H48" s="390"/>
      <c r="I48" s="390"/>
    </row>
    <row r="49" spans="1:9" ht="12.75" customHeight="1" x14ac:dyDescent="0.2"/>
    <row r="50" spans="1:9" x14ac:dyDescent="0.2">
      <c r="A50" s="391" t="s">
        <v>1</v>
      </c>
      <c r="B50" s="391"/>
      <c r="C50" s="391"/>
      <c r="D50" s="391"/>
      <c r="E50" s="391"/>
      <c r="F50" s="391"/>
      <c r="G50" s="391"/>
      <c r="H50" s="391"/>
      <c r="I50" s="391"/>
    </row>
    <row r="51" spans="1:9" ht="12.75" customHeight="1" x14ac:dyDescent="0.2">
      <c r="A51" s="391"/>
      <c r="B51" s="391"/>
      <c r="C51" s="391"/>
      <c r="D51" s="391"/>
      <c r="E51" s="391"/>
      <c r="F51" s="391"/>
      <c r="G51" s="391"/>
      <c r="H51" s="391"/>
      <c r="I51" s="391"/>
    </row>
    <row r="52" spans="1:9" x14ac:dyDescent="0.2">
      <c r="D52" s="389" t="s">
        <v>2</v>
      </c>
      <c r="E52" s="390"/>
      <c r="F52" s="390"/>
      <c r="G52" s="390"/>
      <c r="H52" s="390"/>
      <c r="I52" s="390"/>
    </row>
    <row r="53" spans="1:9" ht="12.75" customHeight="1" x14ac:dyDescent="0.2"/>
    <row r="54" spans="1:9" x14ac:dyDescent="0.2">
      <c r="A54" s="391" t="s">
        <v>5</v>
      </c>
      <c r="B54" s="391"/>
      <c r="C54" s="391"/>
      <c r="D54" s="391"/>
      <c r="E54" s="391"/>
      <c r="F54" s="391"/>
      <c r="G54" s="6" t="s">
        <v>7</v>
      </c>
      <c r="H54" s="391"/>
      <c r="I54" s="391"/>
    </row>
    <row r="55" spans="1:9" x14ac:dyDescent="0.2">
      <c r="D55" s="389" t="s">
        <v>40</v>
      </c>
      <c r="E55" s="390"/>
      <c r="F55" s="390"/>
      <c r="H55" s="389" t="s">
        <v>2</v>
      </c>
      <c r="I55" s="390"/>
    </row>
    <row r="56" spans="1:9" ht="12.75" customHeight="1" x14ac:dyDescent="0.2"/>
    <row r="57" spans="1:9" x14ac:dyDescent="0.2">
      <c r="A57" s="391" t="s">
        <v>3</v>
      </c>
      <c r="B57" s="391"/>
      <c r="C57" s="391"/>
      <c r="D57" s="391"/>
      <c r="E57" s="391"/>
      <c r="F57" s="391"/>
      <c r="G57" s="391"/>
      <c r="H57" s="391"/>
      <c r="I57" s="391"/>
    </row>
    <row r="58" spans="1:9" x14ac:dyDescent="0.2">
      <c r="D58" s="389" t="s">
        <v>6</v>
      </c>
      <c r="E58" s="390"/>
      <c r="F58" s="390"/>
      <c r="G58" s="390"/>
      <c r="H58" s="390"/>
      <c r="I58" s="390"/>
    </row>
    <row r="59" spans="1:9" ht="12.75" customHeight="1" x14ac:dyDescent="0.2"/>
  </sheetData>
  <mergeCells count="82">
    <mergeCell ref="D58:I58"/>
    <mergeCell ref="A54:C54"/>
    <mergeCell ref="D54:F54"/>
    <mergeCell ref="D55:F55"/>
    <mergeCell ref="H54:I54"/>
    <mergeCell ref="H55:I55"/>
    <mergeCell ref="A57:C57"/>
    <mergeCell ref="D57:I57"/>
    <mergeCell ref="D52:I52"/>
    <mergeCell ref="B42:C42"/>
    <mergeCell ref="D42:G42"/>
    <mergeCell ref="B43:C43"/>
    <mergeCell ref="D43:G43"/>
    <mergeCell ref="A46:C47"/>
    <mergeCell ref="D46:I47"/>
    <mergeCell ref="D48:I48"/>
    <mergeCell ref="A50:C51"/>
    <mergeCell ref="D50:I51"/>
    <mergeCell ref="B39:C39"/>
    <mergeCell ref="D39:G39"/>
    <mergeCell ref="B40:C40"/>
    <mergeCell ref="D40:G40"/>
    <mergeCell ref="B41:C41"/>
    <mergeCell ref="D41:G41"/>
    <mergeCell ref="B36:C36"/>
    <mergeCell ref="D36:G36"/>
    <mergeCell ref="B37:C37"/>
    <mergeCell ref="D37:G37"/>
    <mergeCell ref="B38:C38"/>
    <mergeCell ref="D38:G38"/>
    <mergeCell ref="B33:C33"/>
    <mergeCell ref="D33:G33"/>
    <mergeCell ref="B34:C34"/>
    <mergeCell ref="D34:G34"/>
    <mergeCell ref="B35:C35"/>
    <mergeCell ref="D35:G35"/>
    <mergeCell ref="B30:C30"/>
    <mergeCell ref="D30:G30"/>
    <mergeCell ref="B31:C31"/>
    <mergeCell ref="D31:G31"/>
    <mergeCell ref="B32:C32"/>
    <mergeCell ref="D32:G32"/>
    <mergeCell ref="B27:C27"/>
    <mergeCell ref="D27:G27"/>
    <mergeCell ref="B28:C28"/>
    <mergeCell ref="D28:G28"/>
    <mergeCell ref="B29:C29"/>
    <mergeCell ref="D29:G29"/>
    <mergeCell ref="B24:C24"/>
    <mergeCell ref="D24:G24"/>
    <mergeCell ref="B25:C25"/>
    <mergeCell ref="D25:G25"/>
    <mergeCell ref="B26:C26"/>
    <mergeCell ref="D26:G26"/>
    <mergeCell ref="B21:C21"/>
    <mergeCell ref="D21:G21"/>
    <mergeCell ref="B22:C22"/>
    <mergeCell ref="D22:G22"/>
    <mergeCell ref="B23:C23"/>
    <mergeCell ref="D23:G23"/>
    <mergeCell ref="B18:C18"/>
    <mergeCell ref="D18:G18"/>
    <mergeCell ref="B19:C19"/>
    <mergeCell ref="D19:G19"/>
    <mergeCell ref="B20:C20"/>
    <mergeCell ref="D20:G20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D12:I12"/>
    <mergeCell ref="A12:C12"/>
    <mergeCell ref="A14:I14"/>
    <mergeCell ref="B17:C17"/>
    <mergeCell ref="D17:G17"/>
    <mergeCell ref="B16:C16"/>
    <mergeCell ref="D16:G1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1"/>
  <dimension ref="A1:N85"/>
  <sheetViews>
    <sheetView view="pageBreakPreview" topLeftCell="A10" zoomScale="60" zoomScaleNormal="100" workbookViewId="0">
      <selection activeCell="R19" sqref="R19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26.85546875" style="6" customWidth="1"/>
    <col min="4" max="4" width="4.42578125" style="6" customWidth="1"/>
    <col min="5" max="6" width="9.28515625" style="6" customWidth="1"/>
    <col min="7" max="7" width="18.42578125" style="6" customWidth="1"/>
    <col min="8" max="8" width="19.7109375" style="6" customWidth="1"/>
    <col min="9" max="9" width="14.7109375" style="6" customWidth="1"/>
    <col min="10" max="10" width="19.7109375" style="5" customWidth="1"/>
    <col min="11" max="12" width="11.5703125" style="5"/>
    <col min="13" max="13" width="14.140625" style="5" customWidth="1"/>
    <col min="14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497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ht="13.15" customHeight="1" x14ac:dyDescent="0.2">
      <c r="A3" s="382" t="s">
        <v>209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6"/>
      <c r="D6" s="384" t="s">
        <v>62</v>
      </c>
      <c r="E6" s="384"/>
      <c r="F6" s="384"/>
      <c r="G6" s="384"/>
      <c r="H6" s="384"/>
      <c r="I6" s="384"/>
    </row>
    <row r="7" spans="1:10" ht="12.75" customHeight="1" x14ac:dyDescent="0.2">
      <c r="A7" s="5"/>
      <c r="B7" s="5"/>
      <c r="C7" s="5"/>
      <c r="D7" s="34"/>
      <c r="E7" s="34"/>
      <c r="F7" s="34"/>
      <c r="G7" s="34"/>
      <c r="H7" s="5"/>
      <c r="I7" s="5"/>
      <c r="J7" s="6"/>
    </row>
    <row r="8" spans="1:10" ht="42" customHeight="1" x14ac:dyDescent="0.2">
      <c r="A8" s="384" t="s">
        <v>498</v>
      </c>
      <c r="B8" s="384"/>
      <c r="C8" s="384"/>
      <c r="D8" s="388" t="s">
        <v>23</v>
      </c>
      <c r="E8" s="388"/>
      <c r="F8" s="388"/>
      <c r="G8" s="388"/>
      <c r="H8" s="388"/>
      <c r="I8" s="388"/>
      <c r="J8" s="29"/>
    </row>
    <row r="9" spans="1:10" ht="12.75" customHeight="1" x14ac:dyDescent="0.2">
      <c r="A9" s="29"/>
      <c r="B9" s="29"/>
      <c r="C9" s="29"/>
      <c r="D9" s="5"/>
      <c r="E9" s="5"/>
      <c r="F9" s="5"/>
      <c r="G9" s="5"/>
      <c r="H9" s="5"/>
      <c r="I9" s="5"/>
      <c r="J9" s="6"/>
    </row>
    <row r="10" spans="1:10" ht="12.75" customHeight="1" x14ac:dyDescent="0.2">
      <c r="A10" s="384" t="s">
        <v>499</v>
      </c>
      <c r="B10" s="384"/>
      <c r="C10" s="384"/>
      <c r="D10" s="384" t="s">
        <v>9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6"/>
    </row>
    <row r="12" spans="1:10" ht="12.75" customHeight="1" x14ac:dyDescent="0.2">
      <c r="A12" s="384" t="s">
        <v>500</v>
      </c>
      <c r="B12" s="384"/>
      <c r="C12" s="384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39"/>
      <c r="E13" s="39"/>
      <c r="F13" s="39"/>
      <c r="G13" s="39"/>
      <c r="H13" s="29"/>
      <c r="I13" s="29"/>
      <c r="J13" s="6"/>
    </row>
    <row r="14" spans="1:10" ht="12.75" customHeight="1" x14ac:dyDescent="0.2">
      <c r="A14" s="384" t="s">
        <v>501</v>
      </c>
      <c r="B14" s="384"/>
      <c r="C14" s="384"/>
      <c r="D14" s="384"/>
      <c r="E14" s="384"/>
      <c r="F14" s="384"/>
      <c r="G14" s="384"/>
      <c r="H14" s="384"/>
      <c r="I14" s="384"/>
      <c r="J14" s="30"/>
    </row>
    <row r="15" spans="1:10" ht="12.75" customHeight="1" x14ac:dyDescent="0.2">
      <c r="A15" s="387" t="s">
        <v>1084</v>
      </c>
      <c r="B15" s="387"/>
      <c r="C15" s="387"/>
      <c r="D15" s="387"/>
      <c r="E15" s="387"/>
      <c r="F15" s="387"/>
      <c r="G15" s="387"/>
      <c r="H15" s="387"/>
      <c r="I15" s="387"/>
      <c r="J15" s="6"/>
    </row>
    <row r="16" spans="1:10" ht="100.5" customHeight="1" x14ac:dyDescent="0.2">
      <c r="A16" s="27" t="s">
        <v>49</v>
      </c>
      <c r="B16" s="407" t="s">
        <v>467</v>
      </c>
      <c r="C16" s="408"/>
      <c r="D16" s="407" t="s">
        <v>468</v>
      </c>
      <c r="E16" s="409"/>
      <c r="F16" s="409"/>
      <c r="G16" s="408"/>
      <c r="H16" s="75" t="s">
        <v>469</v>
      </c>
      <c r="I16" s="27" t="s">
        <v>280</v>
      </c>
    </row>
    <row r="17" spans="1:14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4" ht="26.45" customHeight="1" x14ac:dyDescent="0.2">
      <c r="A18" s="11" t="s">
        <v>10</v>
      </c>
      <c r="B18" s="395" t="s">
        <v>78</v>
      </c>
      <c r="C18" s="396"/>
      <c r="D18" s="395" t="s">
        <v>208</v>
      </c>
      <c r="E18" s="397"/>
      <c r="F18" s="397"/>
      <c r="G18" s="396"/>
      <c r="H18" s="10"/>
      <c r="I18" s="35"/>
    </row>
    <row r="19" spans="1:14" ht="123.75" customHeight="1" x14ac:dyDescent="0.2">
      <c r="A19" s="24" t="s">
        <v>88</v>
      </c>
      <c r="B19" s="413" t="s">
        <v>502</v>
      </c>
      <c r="C19" s="414"/>
      <c r="D19" s="415" t="s">
        <v>503</v>
      </c>
      <c r="E19" s="416"/>
      <c r="F19" s="416"/>
      <c r="G19" s="417"/>
      <c r="H19" s="23" t="s">
        <v>1298</v>
      </c>
      <c r="I19" s="22">
        <f>(178740 + 3150  * (0.4 * 500 + 0.6 * 500 / 2)) * 1 * 0.44 * 0.7*1.4</f>
        <v>552470.68799999997</v>
      </c>
    </row>
    <row r="20" spans="1:14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14" ht="26.45" customHeight="1" x14ac:dyDescent="0.2">
      <c r="A21" s="19" t="s">
        <v>39</v>
      </c>
      <c r="B21" s="421"/>
      <c r="C21" s="422"/>
      <c r="D21" s="421" t="s">
        <v>504</v>
      </c>
      <c r="E21" s="384"/>
      <c r="F21" s="384"/>
      <c r="G21" s="422"/>
      <c r="H21" s="18"/>
      <c r="I21" s="17"/>
    </row>
    <row r="22" spans="1:14" ht="105" hidden="1" customHeight="1" x14ac:dyDescent="0.2">
      <c r="A22" s="19" t="s">
        <v>39</v>
      </c>
      <c r="B22" s="421"/>
      <c r="C22" s="422"/>
      <c r="D22" s="421" t="s">
        <v>86</v>
      </c>
      <c r="E22" s="384"/>
      <c r="F22" s="384"/>
      <c r="G22" s="422"/>
      <c r="H22" s="18"/>
      <c r="I22" s="17"/>
    </row>
    <row r="23" spans="1:14" ht="129" customHeight="1" x14ac:dyDescent="0.2">
      <c r="A23" s="19" t="s">
        <v>39</v>
      </c>
      <c r="B23" s="421"/>
      <c r="C23" s="422"/>
      <c r="D23" s="421" t="s">
        <v>587</v>
      </c>
      <c r="E23" s="384"/>
      <c r="F23" s="384"/>
      <c r="G23" s="422"/>
      <c r="H23" s="18"/>
      <c r="I23" s="17"/>
      <c r="K23" s="78"/>
      <c r="L23" s="78"/>
      <c r="M23" s="78"/>
      <c r="N23" s="78"/>
    </row>
    <row r="24" spans="1:14" ht="26.45" hidden="1" customHeight="1" x14ac:dyDescent="0.2">
      <c r="A24" s="19" t="s">
        <v>39</v>
      </c>
      <c r="B24" s="423"/>
      <c r="C24" s="424"/>
      <c r="D24" s="423" t="s">
        <v>99</v>
      </c>
      <c r="E24" s="418"/>
      <c r="F24" s="418"/>
      <c r="G24" s="424"/>
      <c r="H24" s="21"/>
      <c r="I24" s="20"/>
      <c r="K24" s="78"/>
      <c r="L24" s="78"/>
      <c r="M24" s="78"/>
      <c r="N24" s="78"/>
    </row>
    <row r="25" spans="1:14" ht="26.45" hidden="1" customHeight="1" x14ac:dyDescent="0.2">
      <c r="A25" s="19" t="s">
        <v>39</v>
      </c>
      <c r="B25" s="421"/>
      <c r="C25" s="422"/>
      <c r="D25" s="421" t="s">
        <v>505</v>
      </c>
      <c r="E25" s="384"/>
      <c r="F25" s="384"/>
      <c r="G25" s="422"/>
      <c r="H25" s="18"/>
      <c r="I25" s="17"/>
    </row>
    <row r="26" spans="1:14" ht="15.75" hidden="1" customHeight="1" x14ac:dyDescent="0.2">
      <c r="A26" s="19" t="s">
        <v>39</v>
      </c>
      <c r="B26" s="421"/>
      <c r="C26" s="422"/>
      <c r="D26" s="421" t="s">
        <v>506</v>
      </c>
      <c r="E26" s="384"/>
      <c r="F26" s="384"/>
      <c r="G26" s="422"/>
      <c r="H26" s="18"/>
      <c r="I26" s="17"/>
    </row>
    <row r="27" spans="1:14" ht="26.45" hidden="1" customHeight="1" x14ac:dyDescent="0.2">
      <c r="A27" s="19" t="s">
        <v>39</v>
      </c>
      <c r="B27" s="421"/>
      <c r="C27" s="422"/>
      <c r="D27" s="421" t="s">
        <v>507</v>
      </c>
      <c r="E27" s="384"/>
      <c r="F27" s="384"/>
      <c r="G27" s="422"/>
      <c r="H27" s="18"/>
      <c r="I27" s="17"/>
    </row>
    <row r="28" spans="1:14" ht="39.6" hidden="1" customHeight="1" x14ac:dyDescent="0.2">
      <c r="A28" s="19" t="s">
        <v>39</v>
      </c>
      <c r="B28" s="421"/>
      <c r="C28" s="422"/>
      <c r="D28" s="421" t="s">
        <v>508</v>
      </c>
      <c r="E28" s="384"/>
      <c r="F28" s="384"/>
      <c r="G28" s="422"/>
      <c r="H28" s="18"/>
      <c r="I28" s="17"/>
    </row>
    <row r="29" spans="1:14" ht="39.6" hidden="1" customHeight="1" x14ac:dyDescent="0.2">
      <c r="A29" s="19" t="s">
        <v>39</v>
      </c>
      <c r="B29" s="421"/>
      <c r="C29" s="422"/>
      <c r="D29" s="421" t="s">
        <v>509</v>
      </c>
      <c r="E29" s="384"/>
      <c r="F29" s="384"/>
      <c r="G29" s="422"/>
      <c r="H29" s="18"/>
      <c r="I29" s="17"/>
    </row>
    <row r="30" spans="1:14" ht="26.45" hidden="1" customHeight="1" x14ac:dyDescent="0.2">
      <c r="A30" s="19" t="s">
        <v>39</v>
      </c>
      <c r="B30" s="421"/>
      <c r="C30" s="422"/>
      <c r="D30" s="421" t="s">
        <v>510</v>
      </c>
      <c r="E30" s="384"/>
      <c r="F30" s="384"/>
      <c r="G30" s="422"/>
      <c r="H30" s="18"/>
      <c r="I30" s="17"/>
    </row>
    <row r="31" spans="1:14" ht="21" hidden="1" customHeight="1" x14ac:dyDescent="0.2">
      <c r="A31" s="19" t="s">
        <v>39</v>
      </c>
      <c r="B31" s="421"/>
      <c r="C31" s="422"/>
      <c r="D31" s="421" t="s">
        <v>511</v>
      </c>
      <c r="E31" s="384"/>
      <c r="F31" s="384"/>
      <c r="G31" s="422"/>
      <c r="H31" s="18"/>
      <c r="I31" s="17"/>
    </row>
    <row r="32" spans="1:14" ht="16.149999999999999" hidden="1" customHeight="1" x14ac:dyDescent="0.2">
      <c r="A32" s="19" t="s">
        <v>39</v>
      </c>
      <c r="B32" s="421"/>
      <c r="C32" s="422"/>
      <c r="D32" s="421" t="s">
        <v>512</v>
      </c>
      <c r="E32" s="384"/>
      <c r="F32" s="384"/>
      <c r="G32" s="422"/>
      <c r="H32" s="18"/>
      <c r="I32" s="17"/>
    </row>
    <row r="33" spans="1:9" ht="26.45" hidden="1" customHeight="1" x14ac:dyDescent="0.2">
      <c r="A33" s="19" t="s">
        <v>39</v>
      </c>
      <c r="B33" s="421"/>
      <c r="C33" s="422"/>
      <c r="D33" s="421" t="s">
        <v>513</v>
      </c>
      <c r="E33" s="384"/>
      <c r="F33" s="384"/>
      <c r="G33" s="422"/>
      <c r="H33" s="18"/>
      <c r="I33" s="17"/>
    </row>
    <row r="34" spans="1:9" ht="33.75" hidden="1" customHeight="1" x14ac:dyDescent="0.2">
      <c r="A34" s="19" t="s">
        <v>39</v>
      </c>
      <c r="B34" s="421"/>
      <c r="C34" s="422"/>
      <c r="D34" s="421" t="s">
        <v>514</v>
      </c>
      <c r="E34" s="384"/>
      <c r="F34" s="384"/>
      <c r="G34" s="422"/>
      <c r="H34" s="18"/>
      <c r="I34" s="17"/>
    </row>
    <row r="35" spans="1:9" ht="25.5" hidden="1" customHeight="1" x14ac:dyDescent="0.2">
      <c r="A35" s="19" t="s">
        <v>39</v>
      </c>
      <c r="B35" s="421"/>
      <c r="C35" s="422"/>
      <c r="D35" s="421" t="s">
        <v>515</v>
      </c>
      <c r="E35" s="384"/>
      <c r="F35" s="384"/>
      <c r="G35" s="422"/>
      <c r="H35" s="18"/>
      <c r="I35" s="17"/>
    </row>
    <row r="36" spans="1:9" ht="16.149999999999999" hidden="1" customHeight="1" x14ac:dyDescent="0.2">
      <c r="A36" s="19" t="s">
        <v>39</v>
      </c>
      <c r="B36" s="421"/>
      <c r="C36" s="422"/>
      <c r="D36" s="421" t="s">
        <v>516</v>
      </c>
      <c r="E36" s="384"/>
      <c r="F36" s="384"/>
      <c r="G36" s="422"/>
      <c r="H36" s="18"/>
      <c r="I36" s="17"/>
    </row>
    <row r="37" spans="1:9" ht="26.45" hidden="1" customHeight="1" x14ac:dyDescent="0.2">
      <c r="A37" s="19" t="s">
        <v>39</v>
      </c>
      <c r="B37" s="421"/>
      <c r="C37" s="422"/>
      <c r="D37" s="421" t="s">
        <v>517</v>
      </c>
      <c r="E37" s="384"/>
      <c r="F37" s="384"/>
      <c r="G37" s="422"/>
      <c r="H37" s="18"/>
      <c r="I37" s="17"/>
    </row>
    <row r="38" spans="1:9" ht="26.45" hidden="1" customHeight="1" x14ac:dyDescent="0.2">
      <c r="A38" s="19" t="s">
        <v>39</v>
      </c>
      <c r="B38" s="421"/>
      <c r="C38" s="422"/>
      <c r="D38" s="421" t="s">
        <v>518</v>
      </c>
      <c r="E38" s="384"/>
      <c r="F38" s="384"/>
      <c r="G38" s="422"/>
      <c r="H38" s="18"/>
      <c r="I38" s="17"/>
    </row>
    <row r="39" spans="1:9" ht="26.25" hidden="1" customHeight="1" x14ac:dyDescent="0.2">
      <c r="A39" s="19" t="s">
        <v>39</v>
      </c>
      <c r="B39" s="421"/>
      <c r="C39" s="422"/>
      <c r="D39" s="421" t="s">
        <v>519</v>
      </c>
      <c r="E39" s="384"/>
      <c r="F39" s="384"/>
      <c r="G39" s="422"/>
      <c r="H39" s="18"/>
      <c r="I39" s="17"/>
    </row>
    <row r="40" spans="1:9" ht="16.5" hidden="1" customHeight="1" x14ac:dyDescent="0.2">
      <c r="A40" s="51" t="s">
        <v>39</v>
      </c>
      <c r="B40" s="436"/>
      <c r="C40" s="438"/>
      <c r="D40" s="436" t="s">
        <v>520</v>
      </c>
      <c r="E40" s="437"/>
      <c r="F40" s="437"/>
      <c r="G40" s="438"/>
      <c r="H40" s="52"/>
      <c r="I40" s="53"/>
    </row>
    <row r="41" spans="1:9" ht="71.45" customHeight="1" x14ac:dyDescent="0.2">
      <c r="A41" s="24" t="s">
        <v>85</v>
      </c>
      <c r="B41" s="413" t="s">
        <v>451</v>
      </c>
      <c r="C41" s="414"/>
      <c r="D41" s="415" t="s">
        <v>521</v>
      </c>
      <c r="E41" s="416"/>
      <c r="F41" s="416"/>
      <c r="G41" s="417"/>
      <c r="H41" s="23" t="s">
        <v>1300</v>
      </c>
      <c r="I41" s="22">
        <f>(36610  + 4570  * 10) * 1 * 0.5*1.4</f>
        <v>57616.999999999993</v>
      </c>
    </row>
    <row r="42" spans="1:9" ht="54" customHeight="1" x14ac:dyDescent="0.2">
      <c r="A42" s="19" t="s">
        <v>39</v>
      </c>
      <c r="B42" s="423"/>
      <c r="C42" s="424"/>
      <c r="D42" s="423" t="s">
        <v>586</v>
      </c>
      <c r="E42" s="418"/>
      <c r="F42" s="418"/>
      <c r="G42" s="424"/>
      <c r="H42" s="21"/>
      <c r="I42" s="20"/>
    </row>
    <row r="43" spans="1:9" ht="20.25" customHeight="1" x14ac:dyDescent="0.2">
      <c r="A43" s="19" t="s">
        <v>39</v>
      </c>
      <c r="B43" s="421"/>
      <c r="C43" s="422"/>
      <c r="D43" s="421" t="s">
        <v>1299</v>
      </c>
      <c r="E43" s="384"/>
      <c r="F43" s="384"/>
      <c r="G43" s="422"/>
      <c r="H43" s="18"/>
      <c r="I43" s="17"/>
    </row>
    <row r="44" spans="1:9" ht="108" hidden="1" customHeight="1" x14ac:dyDescent="0.2">
      <c r="A44" s="19" t="s">
        <v>39</v>
      </c>
      <c r="B44" s="421"/>
      <c r="C44" s="422"/>
      <c r="D44" s="421" t="s">
        <v>192</v>
      </c>
      <c r="E44" s="384"/>
      <c r="F44" s="384"/>
      <c r="G44" s="422"/>
      <c r="H44" s="18"/>
      <c r="I44" s="17"/>
    </row>
    <row r="45" spans="1:9" ht="16.149999999999999" hidden="1" customHeight="1" x14ac:dyDescent="0.2">
      <c r="A45" s="19" t="s">
        <v>39</v>
      </c>
      <c r="B45" s="423"/>
      <c r="C45" s="424"/>
      <c r="D45" s="423" t="s">
        <v>99</v>
      </c>
      <c r="E45" s="418"/>
      <c r="F45" s="418"/>
      <c r="G45" s="424"/>
      <c r="H45" s="21"/>
      <c r="I45" s="20"/>
    </row>
    <row r="46" spans="1:9" ht="26.45" hidden="1" customHeight="1" x14ac:dyDescent="0.2">
      <c r="A46" s="19" t="s">
        <v>39</v>
      </c>
      <c r="B46" s="421"/>
      <c r="C46" s="422"/>
      <c r="D46" s="421" t="s">
        <v>522</v>
      </c>
      <c r="E46" s="384"/>
      <c r="F46" s="384"/>
      <c r="G46" s="422"/>
      <c r="H46" s="18"/>
      <c r="I46" s="17"/>
    </row>
    <row r="47" spans="1:9" ht="29.25" hidden="1" customHeight="1" x14ac:dyDescent="0.2">
      <c r="A47" s="19" t="s">
        <v>39</v>
      </c>
      <c r="B47" s="421"/>
      <c r="C47" s="422"/>
      <c r="D47" s="421" t="s">
        <v>523</v>
      </c>
      <c r="E47" s="384"/>
      <c r="F47" s="384"/>
      <c r="G47" s="422"/>
      <c r="H47" s="18"/>
      <c r="I47" s="17"/>
    </row>
    <row r="48" spans="1:9" ht="13.5" hidden="1" customHeight="1" x14ac:dyDescent="0.2">
      <c r="A48" s="19" t="s">
        <v>39</v>
      </c>
      <c r="B48" s="421"/>
      <c r="C48" s="422"/>
      <c r="D48" s="421" t="s">
        <v>524</v>
      </c>
      <c r="E48" s="384"/>
      <c r="F48" s="384"/>
      <c r="G48" s="422"/>
      <c r="H48" s="18"/>
      <c r="I48" s="17"/>
    </row>
    <row r="49" spans="1:9" ht="16.149999999999999" hidden="1" customHeight="1" x14ac:dyDescent="0.2">
      <c r="A49" s="19" t="s">
        <v>39</v>
      </c>
      <c r="B49" s="421"/>
      <c r="C49" s="422"/>
      <c r="D49" s="421" t="s">
        <v>525</v>
      </c>
      <c r="E49" s="384"/>
      <c r="F49" s="384"/>
      <c r="G49" s="422"/>
      <c r="H49" s="18"/>
      <c r="I49" s="17"/>
    </row>
    <row r="50" spans="1:9" ht="26.45" hidden="1" customHeight="1" x14ac:dyDescent="0.2">
      <c r="A50" s="19" t="s">
        <v>39</v>
      </c>
      <c r="B50" s="421"/>
      <c r="C50" s="422"/>
      <c r="D50" s="421" t="s">
        <v>526</v>
      </c>
      <c r="E50" s="384"/>
      <c r="F50" s="384"/>
      <c r="G50" s="422"/>
      <c r="H50" s="18"/>
      <c r="I50" s="17"/>
    </row>
    <row r="51" spans="1:9" ht="26.45" hidden="1" customHeight="1" x14ac:dyDescent="0.2">
      <c r="A51" s="19" t="s">
        <v>39</v>
      </c>
      <c r="B51" s="421"/>
      <c r="C51" s="422"/>
      <c r="D51" s="421" t="s">
        <v>527</v>
      </c>
      <c r="E51" s="384"/>
      <c r="F51" s="384"/>
      <c r="G51" s="422"/>
      <c r="H51" s="18"/>
      <c r="I51" s="17"/>
    </row>
    <row r="52" spans="1:9" ht="15.75" hidden="1" customHeight="1" x14ac:dyDescent="0.2">
      <c r="A52" s="19" t="s">
        <v>39</v>
      </c>
      <c r="B52" s="421"/>
      <c r="C52" s="422"/>
      <c r="D52" s="421" t="s">
        <v>528</v>
      </c>
      <c r="E52" s="384"/>
      <c r="F52" s="384"/>
      <c r="G52" s="422"/>
      <c r="H52" s="18"/>
      <c r="I52" s="17"/>
    </row>
    <row r="53" spans="1:9" ht="19.5" hidden="1" customHeight="1" x14ac:dyDescent="0.2">
      <c r="A53" s="19" t="s">
        <v>39</v>
      </c>
      <c r="B53" s="421"/>
      <c r="C53" s="422"/>
      <c r="D53" s="421" t="s">
        <v>529</v>
      </c>
      <c r="E53" s="384"/>
      <c r="F53" s="384"/>
      <c r="G53" s="422"/>
      <c r="H53" s="18"/>
      <c r="I53" s="17"/>
    </row>
    <row r="54" spans="1:9" ht="39.6" hidden="1" customHeight="1" x14ac:dyDescent="0.2">
      <c r="A54" s="19" t="s">
        <v>39</v>
      </c>
      <c r="B54" s="421"/>
      <c r="C54" s="422"/>
      <c r="D54" s="421" t="s">
        <v>530</v>
      </c>
      <c r="E54" s="384"/>
      <c r="F54" s="384"/>
      <c r="G54" s="422"/>
      <c r="H54" s="18"/>
      <c r="I54" s="17"/>
    </row>
    <row r="55" spans="1:9" ht="26.45" hidden="1" customHeight="1" x14ac:dyDescent="0.2">
      <c r="A55" s="19" t="s">
        <v>39</v>
      </c>
      <c r="B55" s="421"/>
      <c r="C55" s="422"/>
      <c r="D55" s="421" t="s">
        <v>531</v>
      </c>
      <c r="E55" s="384"/>
      <c r="F55" s="384"/>
      <c r="G55" s="422"/>
      <c r="H55" s="18"/>
      <c r="I55" s="17"/>
    </row>
    <row r="56" spans="1:9" ht="15" hidden="1" customHeight="1" x14ac:dyDescent="0.2">
      <c r="A56" s="19" t="s">
        <v>39</v>
      </c>
      <c r="B56" s="421"/>
      <c r="C56" s="422"/>
      <c r="D56" s="421" t="s">
        <v>532</v>
      </c>
      <c r="E56" s="384"/>
      <c r="F56" s="384"/>
      <c r="G56" s="422"/>
      <c r="H56" s="18"/>
      <c r="I56" s="17"/>
    </row>
    <row r="57" spans="1:9" ht="26.45" hidden="1" customHeight="1" x14ac:dyDescent="0.2">
      <c r="A57" s="19" t="s">
        <v>39</v>
      </c>
      <c r="B57" s="421"/>
      <c r="C57" s="422"/>
      <c r="D57" s="421" t="s">
        <v>533</v>
      </c>
      <c r="E57" s="384"/>
      <c r="F57" s="384"/>
      <c r="G57" s="422"/>
      <c r="H57" s="18"/>
      <c r="I57" s="17"/>
    </row>
    <row r="58" spans="1:9" ht="26.45" hidden="1" customHeight="1" x14ac:dyDescent="0.2">
      <c r="A58" s="19" t="s">
        <v>39</v>
      </c>
      <c r="B58" s="421"/>
      <c r="C58" s="422"/>
      <c r="D58" s="421" t="s">
        <v>534</v>
      </c>
      <c r="E58" s="384"/>
      <c r="F58" s="384"/>
      <c r="G58" s="422"/>
      <c r="H58" s="18"/>
      <c r="I58" s="17"/>
    </row>
    <row r="59" spans="1:9" ht="26.45" hidden="1" customHeight="1" x14ac:dyDescent="0.2">
      <c r="A59" s="19" t="s">
        <v>39</v>
      </c>
      <c r="B59" s="421"/>
      <c r="C59" s="422"/>
      <c r="D59" s="421" t="s">
        <v>535</v>
      </c>
      <c r="E59" s="384"/>
      <c r="F59" s="384"/>
      <c r="G59" s="422"/>
      <c r="H59" s="18"/>
      <c r="I59" s="17"/>
    </row>
    <row r="60" spans="1:9" ht="26.45" hidden="1" customHeight="1" x14ac:dyDescent="0.2">
      <c r="A60" s="19" t="s">
        <v>39</v>
      </c>
      <c r="B60" s="421"/>
      <c r="C60" s="422"/>
      <c r="D60" s="421" t="s">
        <v>536</v>
      </c>
      <c r="E60" s="384"/>
      <c r="F60" s="384"/>
      <c r="G60" s="422"/>
      <c r="H60" s="18"/>
      <c r="I60" s="17"/>
    </row>
    <row r="61" spans="1:9" ht="26.45" hidden="1" customHeight="1" x14ac:dyDescent="0.2">
      <c r="A61" s="19" t="s">
        <v>39</v>
      </c>
      <c r="B61" s="421"/>
      <c r="C61" s="422"/>
      <c r="D61" s="421" t="s">
        <v>537</v>
      </c>
      <c r="E61" s="384"/>
      <c r="F61" s="384"/>
      <c r="G61" s="422"/>
      <c r="H61" s="18"/>
      <c r="I61" s="17"/>
    </row>
    <row r="62" spans="1:9" ht="12.75" hidden="1" customHeight="1" x14ac:dyDescent="0.2">
      <c r="A62" s="51" t="s">
        <v>39</v>
      </c>
      <c r="B62" s="436"/>
      <c r="C62" s="438"/>
      <c r="D62" s="436" t="s">
        <v>538</v>
      </c>
      <c r="E62" s="437"/>
      <c r="F62" s="437"/>
      <c r="G62" s="438"/>
      <c r="H62" s="52"/>
      <c r="I62" s="53"/>
    </row>
    <row r="63" spans="1:9" ht="26.45" customHeight="1" x14ac:dyDescent="0.2">
      <c r="A63" s="11" t="s">
        <v>83</v>
      </c>
      <c r="B63" s="395" t="s">
        <v>207</v>
      </c>
      <c r="C63" s="396"/>
      <c r="D63" s="395"/>
      <c r="E63" s="397"/>
      <c r="F63" s="397"/>
      <c r="G63" s="396"/>
      <c r="H63" s="10"/>
      <c r="I63" s="9">
        <f>I19+I41</f>
        <v>610087.68799999997</v>
      </c>
    </row>
    <row r="64" spans="1:9" ht="26.45" customHeight="1" x14ac:dyDescent="0.2">
      <c r="A64" s="11" t="s">
        <v>81</v>
      </c>
      <c r="B64" s="395" t="s">
        <v>206</v>
      </c>
      <c r="C64" s="396"/>
      <c r="D64" s="395"/>
      <c r="E64" s="397"/>
      <c r="F64" s="397"/>
      <c r="G64" s="396"/>
      <c r="H64" s="10" t="s">
        <v>79</v>
      </c>
      <c r="I64" s="9">
        <f>I63</f>
        <v>610087.68799999997</v>
      </c>
    </row>
    <row r="65" spans="1:9" ht="26.45" customHeight="1" x14ac:dyDescent="0.2">
      <c r="A65" s="11" t="s">
        <v>11</v>
      </c>
      <c r="B65" s="395" t="s">
        <v>43</v>
      </c>
      <c r="C65" s="396"/>
      <c r="D65" s="395"/>
      <c r="E65" s="397"/>
      <c r="F65" s="397"/>
      <c r="G65" s="396"/>
      <c r="H65" s="10"/>
      <c r="I65" s="9">
        <f>I64</f>
        <v>610087.68799999997</v>
      </c>
    </row>
    <row r="66" spans="1:9" ht="39.6" customHeight="1" x14ac:dyDescent="0.2">
      <c r="A66" s="11" t="s">
        <v>13</v>
      </c>
      <c r="B66" s="392" t="s">
        <v>1075</v>
      </c>
      <c r="C66" s="393"/>
      <c r="D66" s="392" t="s">
        <v>1064</v>
      </c>
      <c r="E66" s="394"/>
      <c r="F66" s="394"/>
      <c r="G66" s="393"/>
      <c r="H66" s="13" t="s">
        <v>1065</v>
      </c>
      <c r="I66" s="12">
        <f>I65*5.94</f>
        <v>3623920.8667199998</v>
      </c>
    </row>
    <row r="67" spans="1:9" ht="26.45" customHeight="1" x14ac:dyDescent="0.2">
      <c r="A67" s="11" t="s">
        <v>15</v>
      </c>
      <c r="B67" s="395" t="s">
        <v>42</v>
      </c>
      <c r="C67" s="396"/>
      <c r="D67" s="395"/>
      <c r="E67" s="397"/>
      <c r="F67" s="397"/>
      <c r="G67" s="396"/>
      <c r="H67" s="10" t="s">
        <v>70</v>
      </c>
      <c r="I67" s="9">
        <f>I66</f>
        <v>3623920.8667199998</v>
      </c>
    </row>
    <row r="68" spans="1:9" ht="13.15" customHeight="1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9" ht="12.75" customHeight="1" x14ac:dyDescent="0.2"/>
    <row r="70" spans="1:9" s="8" customFormat="1" ht="25.15" hidden="1" customHeight="1" x14ac:dyDescent="0.2">
      <c r="A70" s="384" t="s">
        <v>41</v>
      </c>
      <c r="B70" s="384"/>
      <c r="C70" s="384"/>
      <c r="D70" s="384" t="s">
        <v>230</v>
      </c>
      <c r="E70" s="384"/>
      <c r="F70" s="384"/>
      <c r="G70" s="384"/>
      <c r="H70" s="384"/>
      <c r="I70" s="384"/>
    </row>
    <row r="71" spans="1:9" ht="12.75" customHeight="1" x14ac:dyDescent="0.2">
      <c r="D71" s="7"/>
    </row>
    <row r="72" spans="1:9" x14ac:dyDescent="0.2">
      <c r="A72" s="391" t="s">
        <v>0</v>
      </c>
      <c r="B72" s="391"/>
      <c r="C72" s="391"/>
      <c r="D72" s="391"/>
      <c r="E72" s="391"/>
      <c r="F72" s="391"/>
      <c r="G72" s="391"/>
      <c r="H72" s="391"/>
      <c r="I72" s="391"/>
    </row>
    <row r="73" spans="1:9" ht="12.75" customHeight="1" x14ac:dyDescent="0.2">
      <c r="A73" s="391"/>
      <c r="B73" s="391"/>
      <c r="C73" s="391"/>
      <c r="D73" s="391"/>
      <c r="E73" s="391"/>
      <c r="F73" s="391"/>
      <c r="G73" s="391"/>
      <c r="H73" s="391"/>
      <c r="I73" s="391"/>
    </row>
    <row r="74" spans="1:9" x14ac:dyDescent="0.2">
      <c r="D74" s="389" t="s">
        <v>2</v>
      </c>
      <c r="E74" s="390"/>
      <c r="F74" s="390"/>
      <c r="G74" s="390"/>
      <c r="H74" s="390"/>
      <c r="I74" s="390"/>
    </row>
    <row r="75" spans="1:9" ht="12.75" customHeight="1" x14ac:dyDescent="0.2"/>
    <row r="76" spans="1:9" x14ac:dyDescent="0.2">
      <c r="A76" s="391" t="s">
        <v>1</v>
      </c>
      <c r="B76" s="391"/>
      <c r="C76" s="391"/>
      <c r="D76" s="391"/>
      <c r="E76" s="391"/>
      <c r="F76" s="391"/>
      <c r="G76" s="391"/>
      <c r="H76" s="391"/>
      <c r="I76" s="391"/>
    </row>
    <row r="77" spans="1:9" ht="12.75" customHeight="1" x14ac:dyDescent="0.2">
      <c r="A77" s="391"/>
      <c r="B77" s="391"/>
      <c r="C77" s="391"/>
      <c r="D77" s="391"/>
      <c r="E77" s="391"/>
      <c r="F77" s="391"/>
      <c r="G77" s="391"/>
      <c r="H77" s="391"/>
      <c r="I77" s="391"/>
    </row>
    <row r="78" spans="1:9" x14ac:dyDescent="0.2">
      <c r="D78" s="389" t="s">
        <v>2</v>
      </c>
      <c r="E78" s="390"/>
      <c r="F78" s="390"/>
      <c r="G78" s="390"/>
      <c r="H78" s="390"/>
      <c r="I78" s="390"/>
    </row>
    <row r="79" spans="1:9" ht="12.75" customHeight="1" x14ac:dyDescent="0.2"/>
    <row r="80" spans="1:9" x14ac:dyDescent="0.2">
      <c r="A80" s="391" t="s">
        <v>5</v>
      </c>
      <c r="B80" s="391"/>
      <c r="C80" s="391"/>
      <c r="D80" s="391"/>
      <c r="E80" s="391"/>
      <c r="F80" s="391"/>
      <c r="G80" s="6" t="s">
        <v>7</v>
      </c>
      <c r="H80" s="391"/>
      <c r="I80" s="391"/>
    </row>
    <row r="81" spans="1:9" x14ac:dyDescent="0.2">
      <c r="D81" s="389" t="s">
        <v>40</v>
      </c>
      <c r="E81" s="390"/>
      <c r="F81" s="390"/>
      <c r="H81" s="389" t="s">
        <v>2</v>
      </c>
      <c r="I81" s="390"/>
    </row>
    <row r="82" spans="1:9" ht="12.75" customHeight="1" x14ac:dyDescent="0.2"/>
    <row r="83" spans="1:9" x14ac:dyDescent="0.2">
      <c r="A83" s="391" t="s">
        <v>3</v>
      </c>
      <c r="B83" s="391"/>
      <c r="C83" s="391"/>
      <c r="D83" s="391"/>
      <c r="E83" s="391"/>
      <c r="F83" s="391"/>
      <c r="G83" s="391"/>
      <c r="H83" s="391"/>
      <c r="I83" s="391"/>
    </row>
    <row r="84" spans="1:9" x14ac:dyDescent="0.2">
      <c r="D84" s="389" t="s">
        <v>6</v>
      </c>
      <c r="E84" s="390"/>
      <c r="F84" s="390"/>
      <c r="G84" s="390"/>
      <c r="H84" s="390"/>
      <c r="I84" s="390"/>
    </row>
    <row r="85" spans="1:9" ht="12.75" customHeight="1" x14ac:dyDescent="0.2"/>
  </sheetData>
  <mergeCells count="134">
    <mergeCell ref="D1:I1"/>
    <mergeCell ref="A3:I3"/>
    <mergeCell ref="A4:I4"/>
    <mergeCell ref="D8:I8"/>
    <mergeCell ref="A8:C8"/>
    <mergeCell ref="A1:C1"/>
    <mergeCell ref="A6:C6"/>
    <mergeCell ref="D6:I6"/>
    <mergeCell ref="D12:I12"/>
    <mergeCell ref="B17:C17"/>
    <mergeCell ref="D17:G17"/>
    <mergeCell ref="A12:C12"/>
    <mergeCell ref="B16:C16"/>
    <mergeCell ref="D16:G16"/>
    <mergeCell ref="A14:I14"/>
    <mergeCell ref="A15:I15"/>
    <mergeCell ref="A10:C10"/>
    <mergeCell ref="D10:I10"/>
    <mergeCell ref="B56:C56"/>
    <mergeCell ref="D56:G56"/>
    <mergeCell ref="B57:C57"/>
    <mergeCell ref="D57:G57"/>
    <mergeCell ref="B58:C58"/>
    <mergeCell ref="D58:G58"/>
    <mergeCell ref="D18:G18"/>
    <mergeCell ref="B19:C19"/>
    <mergeCell ref="D19:G19"/>
    <mergeCell ref="B20:C20"/>
    <mergeCell ref="D20:G20"/>
    <mergeCell ref="B50:C50"/>
    <mergeCell ref="D50:G50"/>
    <mergeCell ref="B51:C51"/>
    <mergeCell ref="D51:G51"/>
    <mergeCell ref="B52:C52"/>
    <mergeCell ref="D52:G52"/>
    <mergeCell ref="B47:C47"/>
    <mergeCell ref="D47:G47"/>
    <mergeCell ref="B48:C48"/>
    <mergeCell ref="D48:G48"/>
    <mergeCell ref="B49:C49"/>
    <mergeCell ref="D49:G49"/>
    <mergeCell ref="B44:C44"/>
    <mergeCell ref="D84:I84"/>
    <mergeCell ref="A80:C80"/>
    <mergeCell ref="D80:F80"/>
    <mergeCell ref="D81:F81"/>
    <mergeCell ref="H80:I80"/>
    <mergeCell ref="H81:I81"/>
    <mergeCell ref="A83:C83"/>
    <mergeCell ref="D83:I83"/>
    <mergeCell ref="A72:C73"/>
    <mergeCell ref="D72:I73"/>
    <mergeCell ref="D74:I74"/>
    <mergeCell ref="A76:C77"/>
    <mergeCell ref="D76:I77"/>
    <mergeCell ref="D78:I78"/>
    <mergeCell ref="A70:C70"/>
    <mergeCell ref="D70:I70"/>
    <mergeCell ref="B65:C65"/>
    <mergeCell ref="D65:G65"/>
    <mergeCell ref="B66:C66"/>
    <mergeCell ref="D66:G66"/>
    <mergeCell ref="B67:C67"/>
    <mergeCell ref="D67:G67"/>
    <mergeCell ref="B53:C53"/>
    <mergeCell ref="D53:G53"/>
    <mergeCell ref="B54:C54"/>
    <mergeCell ref="D54:G54"/>
    <mergeCell ref="B55:C55"/>
    <mergeCell ref="D55:G55"/>
    <mergeCell ref="B63:C63"/>
    <mergeCell ref="D63:G63"/>
    <mergeCell ref="B64:C64"/>
    <mergeCell ref="D64:G64"/>
    <mergeCell ref="B59:C59"/>
    <mergeCell ref="D59:G59"/>
    <mergeCell ref="B60:C60"/>
    <mergeCell ref="D60:G60"/>
    <mergeCell ref="B61:C61"/>
    <mergeCell ref="D61:G61"/>
    <mergeCell ref="D44:G44"/>
    <mergeCell ref="B45:C45"/>
    <mergeCell ref="D45:G45"/>
    <mergeCell ref="B46:C46"/>
    <mergeCell ref="D46:G46"/>
    <mergeCell ref="B41:C41"/>
    <mergeCell ref="D41:G41"/>
    <mergeCell ref="B42:C42"/>
    <mergeCell ref="D42:G42"/>
    <mergeCell ref="B43:C43"/>
    <mergeCell ref="D43:G43"/>
    <mergeCell ref="B39:C39"/>
    <mergeCell ref="D39:G39"/>
    <mergeCell ref="B40:C40"/>
    <mergeCell ref="D40:G40"/>
    <mergeCell ref="B35:C35"/>
    <mergeCell ref="D35:G35"/>
    <mergeCell ref="B36:C36"/>
    <mergeCell ref="D36:G36"/>
    <mergeCell ref="B37:C37"/>
    <mergeCell ref="D37:G37"/>
    <mergeCell ref="D34:G34"/>
    <mergeCell ref="B29:C29"/>
    <mergeCell ref="D29:G29"/>
    <mergeCell ref="B30:C30"/>
    <mergeCell ref="D30:G30"/>
    <mergeCell ref="B31:C31"/>
    <mergeCell ref="D31:G31"/>
    <mergeCell ref="B38:C38"/>
    <mergeCell ref="D38:G38"/>
    <mergeCell ref="B21:C21"/>
    <mergeCell ref="D21:G21"/>
    <mergeCell ref="B22:C22"/>
    <mergeCell ref="D22:G22"/>
    <mergeCell ref="B18:C18"/>
    <mergeCell ref="B62:C62"/>
    <mergeCell ref="D62:G62"/>
    <mergeCell ref="B26:C26"/>
    <mergeCell ref="D26:G26"/>
    <mergeCell ref="B27:C27"/>
    <mergeCell ref="D27:G27"/>
    <mergeCell ref="B28:C28"/>
    <mergeCell ref="D28:G28"/>
    <mergeCell ref="B23:C23"/>
    <mergeCell ref="D23:G23"/>
    <mergeCell ref="B24:C24"/>
    <mergeCell ref="D24:G24"/>
    <mergeCell ref="B25:C25"/>
    <mergeCell ref="D25:G25"/>
    <mergeCell ref="B32:C32"/>
    <mergeCell ref="D32:G32"/>
    <mergeCell ref="B33:C33"/>
    <mergeCell ref="D33:G33"/>
    <mergeCell ref="B34:C34"/>
  </mergeCells>
  <pageMargins left="0.39370078740157477" right="0.39370078740157477" top="0.74803149606299213" bottom="0.74803149606299213" header="0.31496062992125984" footer="0.31496062992125984"/>
  <pageSetup paperSize="9" scale="83" orientation="portrait" useFirstPageNumber="1" horizontalDpi="300" verticalDpi="300" r:id="rId1"/>
  <headerFooter alignWithMargins="0">
    <oddFooter>&amp;CСтраница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3"/>
  <dimension ref="A1:J47"/>
  <sheetViews>
    <sheetView view="pageBreakPreview" zoomScale="60" zoomScaleNormal="100" workbookViewId="0">
      <selection activeCell="Q24" sqref="Q24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63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25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3.15" customHeight="1" x14ac:dyDescent="0.2">
      <c r="A18" s="456" t="s">
        <v>61</v>
      </c>
      <c r="B18" s="457"/>
      <c r="C18" s="457"/>
      <c r="D18" s="457"/>
      <c r="E18" s="457"/>
      <c r="F18" s="457"/>
      <c r="G18" s="457"/>
      <c r="H18" s="457"/>
      <c r="I18" s="458"/>
    </row>
    <row r="19" spans="1:9" ht="97.35" customHeight="1" x14ac:dyDescent="0.2">
      <c r="A19" s="24" t="s">
        <v>10</v>
      </c>
      <c r="B19" s="413" t="s">
        <v>59</v>
      </c>
      <c r="C19" s="414"/>
      <c r="D19" s="415" t="s">
        <v>267</v>
      </c>
      <c r="E19" s="416"/>
      <c r="F19" s="416"/>
      <c r="G19" s="417"/>
      <c r="H19" s="23" t="s">
        <v>1111</v>
      </c>
      <c r="I19" s="22">
        <f>(53100 + 186* 1236) * 1 * 0.4 *  1.4</f>
        <v>158477.76000000001</v>
      </c>
    </row>
    <row r="20" spans="1:9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9" ht="26.45" customHeight="1" x14ac:dyDescent="0.2">
      <c r="A21" s="19" t="s">
        <v>39</v>
      </c>
      <c r="B21" s="421"/>
      <c r="C21" s="422"/>
      <c r="D21" s="421" t="s">
        <v>58</v>
      </c>
      <c r="E21" s="384"/>
      <c r="F21" s="384"/>
      <c r="G21" s="422"/>
      <c r="H21" s="18"/>
      <c r="I21" s="17"/>
    </row>
    <row r="22" spans="1:9" ht="70.5" customHeight="1" x14ac:dyDescent="0.2">
      <c r="A22" s="16" t="s">
        <v>39</v>
      </c>
      <c r="B22" s="427"/>
      <c r="C22" s="428"/>
      <c r="D22" s="427" t="s">
        <v>1296</v>
      </c>
      <c r="E22" s="429"/>
      <c r="F22" s="429"/>
      <c r="G22" s="428"/>
      <c r="H22" s="15"/>
      <c r="I22" s="14"/>
    </row>
    <row r="23" spans="1:9" ht="13.15" customHeight="1" x14ac:dyDescent="0.2">
      <c r="A23" s="453" t="s">
        <v>60</v>
      </c>
      <c r="B23" s="454"/>
      <c r="C23" s="454"/>
      <c r="D23" s="454"/>
      <c r="E23" s="454"/>
      <c r="F23" s="454"/>
      <c r="G23" s="454"/>
      <c r="H23" s="454"/>
      <c r="I23" s="455"/>
    </row>
    <row r="24" spans="1:9" ht="97.35" customHeight="1" x14ac:dyDescent="0.2">
      <c r="A24" s="24" t="s">
        <v>11</v>
      </c>
      <c r="B24" s="413" t="s">
        <v>59</v>
      </c>
      <c r="C24" s="414"/>
      <c r="D24" s="415" t="s">
        <v>268</v>
      </c>
      <c r="E24" s="416"/>
      <c r="F24" s="416"/>
      <c r="G24" s="417"/>
      <c r="H24" s="23" t="s">
        <v>1112</v>
      </c>
      <c r="I24" s="22">
        <f>(53100 + 186  * 1784) * 1 * 0.4 *  1.4</f>
        <v>215557.44</v>
      </c>
    </row>
    <row r="25" spans="1:9" ht="16.149999999999999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26.45" customHeight="1" x14ac:dyDescent="0.2">
      <c r="A26" s="19" t="s">
        <v>39</v>
      </c>
      <c r="B26" s="421"/>
      <c r="C26" s="422"/>
      <c r="D26" s="421" t="s">
        <v>58</v>
      </c>
      <c r="E26" s="384"/>
      <c r="F26" s="384"/>
      <c r="G26" s="422"/>
      <c r="H26" s="18"/>
      <c r="I26" s="17"/>
    </row>
    <row r="27" spans="1:9" ht="70.5" customHeight="1" x14ac:dyDescent="0.2">
      <c r="A27" s="16" t="s">
        <v>39</v>
      </c>
      <c r="B27" s="427"/>
      <c r="C27" s="428"/>
      <c r="D27" s="427" t="s">
        <v>1296</v>
      </c>
      <c r="E27" s="429"/>
      <c r="F27" s="429"/>
      <c r="G27" s="428"/>
      <c r="H27" s="15"/>
      <c r="I27" s="14"/>
    </row>
    <row r="28" spans="1:9" ht="13.15" customHeight="1" x14ac:dyDescent="0.2">
      <c r="A28" s="11" t="s">
        <v>13</v>
      </c>
      <c r="B28" s="395" t="s">
        <v>43</v>
      </c>
      <c r="C28" s="396"/>
      <c r="D28" s="395"/>
      <c r="E28" s="397"/>
      <c r="F28" s="397"/>
      <c r="G28" s="396"/>
      <c r="H28" s="10"/>
      <c r="I28" s="9">
        <f>I19+I24</f>
        <v>374035.20000000001</v>
      </c>
    </row>
    <row r="29" spans="1:9" ht="39.6" customHeight="1" x14ac:dyDescent="0.2">
      <c r="A29" s="11" t="s">
        <v>15</v>
      </c>
      <c r="B29" s="392" t="s">
        <v>1076</v>
      </c>
      <c r="C29" s="393"/>
      <c r="D29" s="392" t="s">
        <v>1064</v>
      </c>
      <c r="E29" s="394"/>
      <c r="F29" s="394"/>
      <c r="G29" s="393"/>
      <c r="H29" s="13" t="s">
        <v>1077</v>
      </c>
      <c r="I29" s="12">
        <f>I28*1.4</f>
        <v>523649.27999999997</v>
      </c>
    </row>
    <row r="30" spans="1:9" ht="13.15" customHeight="1" x14ac:dyDescent="0.2">
      <c r="A30" s="11" t="s">
        <v>17</v>
      </c>
      <c r="B30" s="395" t="s">
        <v>42</v>
      </c>
      <c r="C30" s="396"/>
      <c r="D30" s="395"/>
      <c r="E30" s="397"/>
      <c r="F30" s="397"/>
      <c r="G30" s="396"/>
      <c r="H30" s="10" t="s">
        <v>56</v>
      </c>
      <c r="I30" s="9">
        <f>I29</f>
        <v>523649.27999999997</v>
      </c>
    </row>
    <row r="31" spans="1:9" ht="12.75" customHeight="1" x14ac:dyDescent="0.2"/>
    <row r="32" spans="1:9" s="8" customFormat="1" ht="25.15" hidden="1" customHeight="1" x14ac:dyDescent="0.2">
      <c r="A32" s="384" t="s">
        <v>41</v>
      </c>
      <c r="B32" s="384"/>
      <c r="C32" s="384"/>
      <c r="D32" s="384" t="s">
        <v>229</v>
      </c>
      <c r="E32" s="384"/>
      <c r="F32" s="384"/>
      <c r="G32" s="384"/>
      <c r="H32" s="384"/>
      <c r="I32" s="384"/>
    </row>
    <row r="33" spans="1:9" ht="12.75" customHeight="1" x14ac:dyDescent="0.2">
      <c r="D33" s="7"/>
    </row>
    <row r="34" spans="1:9" ht="11.45" customHeight="1" x14ac:dyDescent="0.2">
      <c r="A34" s="391" t="s">
        <v>0</v>
      </c>
      <c r="B34" s="391"/>
      <c r="C34" s="391"/>
      <c r="D34" s="391"/>
      <c r="E34" s="391"/>
      <c r="F34" s="391"/>
      <c r="G34" s="391"/>
      <c r="H34" s="391"/>
      <c r="I34" s="391"/>
    </row>
    <row r="35" spans="1:9" ht="12.75" customHeight="1" x14ac:dyDescent="0.2">
      <c r="A35" s="391"/>
      <c r="B35" s="391"/>
      <c r="C35" s="391"/>
      <c r="D35" s="391"/>
      <c r="E35" s="391"/>
      <c r="F35" s="391"/>
      <c r="G35" s="391"/>
      <c r="H35" s="391"/>
      <c r="I35" s="391"/>
    </row>
    <row r="36" spans="1:9" x14ac:dyDescent="0.2">
      <c r="D36" s="389" t="s">
        <v>2</v>
      </c>
      <c r="E36" s="390"/>
      <c r="F36" s="390"/>
      <c r="G36" s="390"/>
      <c r="H36" s="390"/>
      <c r="I36" s="390"/>
    </row>
    <row r="37" spans="1:9" ht="12.75" customHeight="1" x14ac:dyDescent="0.2"/>
    <row r="38" spans="1:9" x14ac:dyDescent="0.2">
      <c r="A38" s="391" t="s">
        <v>1</v>
      </c>
      <c r="B38" s="391"/>
      <c r="C38" s="391"/>
      <c r="D38" s="391"/>
      <c r="E38" s="391"/>
      <c r="F38" s="391"/>
      <c r="G38" s="391"/>
      <c r="H38" s="391"/>
      <c r="I38" s="391"/>
    </row>
    <row r="39" spans="1:9" ht="12.75" customHeight="1" x14ac:dyDescent="0.2">
      <c r="A39" s="391"/>
      <c r="B39" s="391"/>
      <c r="C39" s="391"/>
      <c r="D39" s="391"/>
      <c r="E39" s="391"/>
      <c r="F39" s="391"/>
      <c r="G39" s="391"/>
      <c r="H39" s="391"/>
      <c r="I39" s="391"/>
    </row>
    <row r="40" spans="1:9" x14ac:dyDescent="0.2">
      <c r="D40" s="389" t="s">
        <v>2</v>
      </c>
      <c r="E40" s="390"/>
      <c r="F40" s="390"/>
      <c r="G40" s="390"/>
      <c r="H40" s="390"/>
      <c r="I40" s="390"/>
    </row>
    <row r="41" spans="1:9" ht="12.75" customHeight="1" x14ac:dyDescent="0.2"/>
    <row r="42" spans="1:9" x14ac:dyDescent="0.2">
      <c r="A42" s="391" t="s">
        <v>5</v>
      </c>
      <c r="B42" s="391"/>
      <c r="C42" s="391"/>
      <c r="D42" s="391"/>
      <c r="E42" s="391"/>
      <c r="F42" s="391"/>
      <c r="G42" s="6" t="s">
        <v>7</v>
      </c>
      <c r="H42" s="391"/>
      <c r="I42" s="391"/>
    </row>
    <row r="43" spans="1:9" x14ac:dyDescent="0.2">
      <c r="D43" s="389" t="s">
        <v>40</v>
      </c>
      <c r="E43" s="390"/>
      <c r="F43" s="390"/>
      <c r="H43" s="389" t="s">
        <v>2</v>
      </c>
      <c r="I43" s="390"/>
    </row>
    <row r="44" spans="1:9" ht="12.75" customHeight="1" x14ac:dyDescent="0.2"/>
    <row r="45" spans="1:9" x14ac:dyDescent="0.2">
      <c r="A45" s="391" t="s">
        <v>3</v>
      </c>
      <c r="B45" s="391"/>
      <c r="C45" s="391"/>
      <c r="D45" s="391"/>
      <c r="E45" s="391"/>
      <c r="F45" s="391"/>
      <c r="G45" s="391"/>
      <c r="H45" s="391"/>
      <c r="I45" s="391"/>
    </row>
    <row r="46" spans="1:9" x14ac:dyDescent="0.2">
      <c r="D46" s="389" t="s">
        <v>6</v>
      </c>
      <c r="E46" s="390"/>
      <c r="F46" s="390"/>
      <c r="G46" s="390"/>
      <c r="H46" s="390"/>
      <c r="I46" s="390"/>
    </row>
    <row r="47" spans="1:9" ht="12.75" customHeight="1" x14ac:dyDescent="0.2"/>
  </sheetData>
  <mergeCells count="56">
    <mergeCell ref="D46:I46"/>
    <mergeCell ref="D36:I36"/>
    <mergeCell ref="A38:C39"/>
    <mergeCell ref="D38:I39"/>
    <mergeCell ref="D40:I40"/>
    <mergeCell ref="A42:C42"/>
    <mergeCell ref="D42:F42"/>
    <mergeCell ref="D43:F43"/>
    <mergeCell ref="H42:I42"/>
    <mergeCell ref="H43:I43"/>
    <mergeCell ref="A45:C45"/>
    <mergeCell ref="D45:I45"/>
    <mergeCell ref="B30:C30"/>
    <mergeCell ref="D30:G30"/>
    <mergeCell ref="A32:C32"/>
    <mergeCell ref="D32:I32"/>
    <mergeCell ref="A34:C35"/>
    <mergeCell ref="D34:I35"/>
    <mergeCell ref="B27:C27"/>
    <mergeCell ref="D27:G27"/>
    <mergeCell ref="B28:C28"/>
    <mergeCell ref="D28:G28"/>
    <mergeCell ref="B29:C29"/>
    <mergeCell ref="D29:G29"/>
    <mergeCell ref="B25:C25"/>
    <mergeCell ref="D25:G25"/>
    <mergeCell ref="B26:C26"/>
    <mergeCell ref="D26:G26"/>
    <mergeCell ref="B24:C24"/>
    <mergeCell ref="D24:G24"/>
    <mergeCell ref="A18:I18"/>
    <mergeCell ref="B19:C19"/>
    <mergeCell ref="D19:G19"/>
    <mergeCell ref="B20:C20"/>
    <mergeCell ref="D20:G20"/>
    <mergeCell ref="B21:C21"/>
    <mergeCell ref="D21:G21"/>
    <mergeCell ref="B22:C22"/>
    <mergeCell ref="D22:G22"/>
    <mergeCell ref="A23:I23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D12:I12"/>
    <mergeCell ref="A12:C12"/>
    <mergeCell ref="A14:I14"/>
    <mergeCell ref="B17:C17"/>
    <mergeCell ref="D17:G17"/>
    <mergeCell ref="B16:C16"/>
    <mergeCell ref="D16:G1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9B80-BCE7-41FF-A224-0DC389D99E44}">
  <sheetPr>
    <tabColor rgb="FF92D050"/>
  </sheetPr>
  <dimension ref="A1:L133"/>
  <sheetViews>
    <sheetView view="pageBreakPreview" zoomScale="60" zoomScaleNormal="100" workbookViewId="0">
      <selection activeCell="E92" sqref="E92"/>
    </sheetView>
  </sheetViews>
  <sheetFormatPr defaultColWidth="14.42578125" defaultRowHeight="12.75" x14ac:dyDescent="0.2"/>
  <cols>
    <col min="1" max="1" width="4.28515625" style="182" customWidth="1"/>
    <col min="2" max="2" width="26.7109375" style="182" customWidth="1"/>
    <col min="3" max="3" width="7.140625" style="182" customWidth="1"/>
    <col min="4" max="4" width="7.28515625" style="182" customWidth="1"/>
    <col min="5" max="5" width="27.7109375" style="182" customWidth="1"/>
    <col min="6" max="6" width="15.5703125" style="182" customWidth="1"/>
    <col min="7" max="7" width="12.42578125" style="194" customWidth="1"/>
    <col min="8" max="10" width="11.5703125" style="182" customWidth="1"/>
    <col min="11" max="11" width="24.42578125" style="182" customWidth="1"/>
    <col min="12" max="12" width="11.5703125" style="182" customWidth="1"/>
    <col min="13" max="256" width="14.42578125" style="182"/>
    <col min="257" max="257" width="4.28515625" style="182" customWidth="1"/>
    <col min="258" max="258" width="26.7109375" style="182" customWidth="1"/>
    <col min="259" max="259" width="7.140625" style="182" customWidth="1"/>
    <col min="260" max="260" width="7.28515625" style="182" customWidth="1"/>
    <col min="261" max="261" width="27.7109375" style="182" customWidth="1"/>
    <col min="262" max="262" width="15.5703125" style="182" customWidth="1"/>
    <col min="263" max="263" width="12.42578125" style="182" customWidth="1"/>
    <col min="264" max="266" width="11.5703125" style="182" customWidth="1"/>
    <col min="267" max="267" width="24.42578125" style="182" customWidth="1"/>
    <col min="268" max="268" width="11.5703125" style="182" customWidth="1"/>
    <col min="269" max="512" width="14.42578125" style="182"/>
    <col min="513" max="513" width="4.28515625" style="182" customWidth="1"/>
    <col min="514" max="514" width="26.7109375" style="182" customWidth="1"/>
    <col min="515" max="515" width="7.140625" style="182" customWidth="1"/>
    <col min="516" max="516" width="7.28515625" style="182" customWidth="1"/>
    <col min="517" max="517" width="27.7109375" style="182" customWidth="1"/>
    <col min="518" max="518" width="15.5703125" style="182" customWidth="1"/>
    <col min="519" max="519" width="12.42578125" style="182" customWidth="1"/>
    <col min="520" max="522" width="11.5703125" style="182" customWidth="1"/>
    <col min="523" max="523" width="24.42578125" style="182" customWidth="1"/>
    <col min="524" max="524" width="11.5703125" style="182" customWidth="1"/>
    <col min="525" max="768" width="14.42578125" style="182"/>
    <col min="769" max="769" width="4.28515625" style="182" customWidth="1"/>
    <col min="770" max="770" width="26.7109375" style="182" customWidth="1"/>
    <col min="771" max="771" width="7.140625" style="182" customWidth="1"/>
    <col min="772" max="772" width="7.28515625" style="182" customWidth="1"/>
    <col min="773" max="773" width="27.7109375" style="182" customWidth="1"/>
    <col min="774" max="774" width="15.5703125" style="182" customWidth="1"/>
    <col min="775" max="775" width="12.42578125" style="182" customWidth="1"/>
    <col min="776" max="778" width="11.5703125" style="182" customWidth="1"/>
    <col min="779" max="779" width="24.42578125" style="182" customWidth="1"/>
    <col min="780" max="780" width="11.5703125" style="182" customWidth="1"/>
    <col min="781" max="1024" width="14.42578125" style="182"/>
    <col min="1025" max="1025" width="4.28515625" style="182" customWidth="1"/>
    <col min="1026" max="1026" width="26.7109375" style="182" customWidth="1"/>
    <col min="1027" max="1027" width="7.140625" style="182" customWidth="1"/>
    <col min="1028" max="1028" width="7.28515625" style="182" customWidth="1"/>
    <col min="1029" max="1029" width="27.7109375" style="182" customWidth="1"/>
    <col min="1030" max="1030" width="15.5703125" style="182" customWidth="1"/>
    <col min="1031" max="1031" width="12.42578125" style="182" customWidth="1"/>
    <col min="1032" max="1034" width="11.5703125" style="182" customWidth="1"/>
    <col min="1035" max="1035" width="24.42578125" style="182" customWidth="1"/>
    <col min="1036" max="1036" width="11.5703125" style="182" customWidth="1"/>
    <col min="1037" max="1280" width="14.42578125" style="182"/>
    <col min="1281" max="1281" width="4.28515625" style="182" customWidth="1"/>
    <col min="1282" max="1282" width="26.7109375" style="182" customWidth="1"/>
    <col min="1283" max="1283" width="7.140625" style="182" customWidth="1"/>
    <col min="1284" max="1284" width="7.28515625" style="182" customWidth="1"/>
    <col min="1285" max="1285" width="27.7109375" style="182" customWidth="1"/>
    <col min="1286" max="1286" width="15.5703125" style="182" customWidth="1"/>
    <col min="1287" max="1287" width="12.42578125" style="182" customWidth="1"/>
    <col min="1288" max="1290" width="11.5703125" style="182" customWidth="1"/>
    <col min="1291" max="1291" width="24.42578125" style="182" customWidth="1"/>
    <col min="1292" max="1292" width="11.5703125" style="182" customWidth="1"/>
    <col min="1293" max="1536" width="14.42578125" style="182"/>
    <col min="1537" max="1537" width="4.28515625" style="182" customWidth="1"/>
    <col min="1538" max="1538" width="26.7109375" style="182" customWidth="1"/>
    <col min="1539" max="1539" width="7.140625" style="182" customWidth="1"/>
    <col min="1540" max="1540" width="7.28515625" style="182" customWidth="1"/>
    <col min="1541" max="1541" width="27.7109375" style="182" customWidth="1"/>
    <col min="1542" max="1542" width="15.5703125" style="182" customWidth="1"/>
    <col min="1543" max="1543" width="12.42578125" style="182" customWidth="1"/>
    <col min="1544" max="1546" width="11.5703125" style="182" customWidth="1"/>
    <col min="1547" max="1547" width="24.42578125" style="182" customWidth="1"/>
    <col min="1548" max="1548" width="11.5703125" style="182" customWidth="1"/>
    <col min="1549" max="1792" width="14.42578125" style="182"/>
    <col min="1793" max="1793" width="4.28515625" style="182" customWidth="1"/>
    <col min="1794" max="1794" width="26.7109375" style="182" customWidth="1"/>
    <col min="1795" max="1795" width="7.140625" style="182" customWidth="1"/>
    <col min="1796" max="1796" width="7.28515625" style="182" customWidth="1"/>
    <col min="1797" max="1797" width="27.7109375" style="182" customWidth="1"/>
    <col min="1798" max="1798" width="15.5703125" style="182" customWidth="1"/>
    <col min="1799" max="1799" width="12.42578125" style="182" customWidth="1"/>
    <col min="1800" max="1802" width="11.5703125" style="182" customWidth="1"/>
    <col min="1803" max="1803" width="24.42578125" style="182" customWidth="1"/>
    <col min="1804" max="1804" width="11.5703125" style="182" customWidth="1"/>
    <col min="1805" max="2048" width="14.42578125" style="182"/>
    <col min="2049" max="2049" width="4.28515625" style="182" customWidth="1"/>
    <col min="2050" max="2050" width="26.7109375" style="182" customWidth="1"/>
    <col min="2051" max="2051" width="7.140625" style="182" customWidth="1"/>
    <col min="2052" max="2052" width="7.28515625" style="182" customWidth="1"/>
    <col min="2053" max="2053" width="27.7109375" style="182" customWidth="1"/>
    <col min="2054" max="2054" width="15.5703125" style="182" customWidth="1"/>
    <col min="2055" max="2055" width="12.42578125" style="182" customWidth="1"/>
    <col min="2056" max="2058" width="11.5703125" style="182" customWidth="1"/>
    <col min="2059" max="2059" width="24.42578125" style="182" customWidth="1"/>
    <col min="2060" max="2060" width="11.5703125" style="182" customWidth="1"/>
    <col min="2061" max="2304" width="14.42578125" style="182"/>
    <col min="2305" max="2305" width="4.28515625" style="182" customWidth="1"/>
    <col min="2306" max="2306" width="26.7109375" style="182" customWidth="1"/>
    <col min="2307" max="2307" width="7.140625" style="182" customWidth="1"/>
    <col min="2308" max="2308" width="7.28515625" style="182" customWidth="1"/>
    <col min="2309" max="2309" width="27.7109375" style="182" customWidth="1"/>
    <col min="2310" max="2310" width="15.5703125" style="182" customWidth="1"/>
    <col min="2311" max="2311" width="12.42578125" style="182" customWidth="1"/>
    <col min="2312" max="2314" width="11.5703125" style="182" customWidth="1"/>
    <col min="2315" max="2315" width="24.42578125" style="182" customWidth="1"/>
    <col min="2316" max="2316" width="11.5703125" style="182" customWidth="1"/>
    <col min="2317" max="2560" width="14.42578125" style="182"/>
    <col min="2561" max="2561" width="4.28515625" style="182" customWidth="1"/>
    <col min="2562" max="2562" width="26.7109375" style="182" customWidth="1"/>
    <col min="2563" max="2563" width="7.140625" style="182" customWidth="1"/>
    <col min="2564" max="2564" width="7.28515625" style="182" customWidth="1"/>
    <col min="2565" max="2565" width="27.7109375" style="182" customWidth="1"/>
    <col min="2566" max="2566" width="15.5703125" style="182" customWidth="1"/>
    <col min="2567" max="2567" width="12.42578125" style="182" customWidth="1"/>
    <col min="2568" max="2570" width="11.5703125" style="182" customWidth="1"/>
    <col min="2571" max="2571" width="24.42578125" style="182" customWidth="1"/>
    <col min="2572" max="2572" width="11.5703125" style="182" customWidth="1"/>
    <col min="2573" max="2816" width="14.42578125" style="182"/>
    <col min="2817" max="2817" width="4.28515625" style="182" customWidth="1"/>
    <col min="2818" max="2818" width="26.7109375" style="182" customWidth="1"/>
    <col min="2819" max="2819" width="7.140625" style="182" customWidth="1"/>
    <col min="2820" max="2820" width="7.28515625" style="182" customWidth="1"/>
    <col min="2821" max="2821" width="27.7109375" style="182" customWidth="1"/>
    <col min="2822" max="2822" width="15.5703125" style="182" customWidth="1"/>
    <col min="2823" max="2823" width="12.42578125" style="182" customWidth="1"/>
    <col min="2824" max="2826" width="11.5703125" style="182" customWidth="1"/>
    <col min="2827" max="2827" width="24.42578125" style="182" customWidth="1"/>
    <col min="2828" max="2828" width="11.5703125" style="182" customWidth="1"/>
    <col min="2829" max="3072" width="14.42578125" style="182"/>
    <col min="3073" max="3073" width="4.28515625" style="182" customWidth="1"/>
    <col min="3074" max="3074" width="26.7109375" style="182" customWidth="1"/>
    <col min="3075" max="3075" width="7.140625" style="182" customWidth="1"/>
    <col min="3076" max="3076" width="7.28515625" style="182" customWidth="1"/>
    <col min="3077" max="3077" width="27.7109375" style="182" customWidth="1"/>
    <col min="3078" max="3078" width="15.5703125" style="182" customWidth="1"/>
    <col min="3079" max="3079" width="12.42578125" style="182" customWidth="1"/>
    <col min="3080" max="3082" width="11.5703125" style="182" customWidth="1"/>
    <col min="3083" max="3083" width="24.42578125" style="182" customWidth="1"/>
    <col min="3084" max="3084" width="11.5703125" style="182" customWidth="1"/>
    <col min="3085" max="3328" width="14.42578125" style="182"/>
    <col min="3329" max="3329" width="4.28515625" style="182" customWidth="1"/>
    <col min="3330" max="3330" width="26.7109375" style="182" customWidth="1"/>
    <col min="3331" max="3331" width="7.140625" style="182" customWidth="1"/>
    <col min="3332" max="3332" width="7.28515625" style="182" customWidth="1"/>
    <col min="3333" max="3333" width="27.7109375" style="182" customWidth="1"/>
    <col min="3334" max="3334" width="15.5703125" style="182" customWidth="1"/>
    <col min="3335" max="3335" width="12.42578125" style="182" customWidth="1"/>
    <col min="3336" max="3338" width="11.5703125" style="182" customWidth="1"/>
    <col min="3339" max="3339" width="24.42578125" style="182" customWidth="1"/>
    <col min="3340" max="3340" width="11.5703125" style="182" customWidth="1"/>
    <col min="3341" max="3584" width="14.42578125" style="182"/>
    <col min="3585" max="3585" width="4.28515625" style="182" customWidth="1"/>
    <col min="3586" max="3586" width="26.7109375" style="182" customWidth="1"/>
    <col min="3587" max="3587" width="7.140625" style="182" customWidth="1"/>
    <col min="3588" max="3588" width="7.28515625" style="182" customWidth="1"/>
    <col min="3589" max="3589" width="27.7109375" style="182" customWidth="1"/>
    <col min="3590" max="3590" width="15.5703125" style="182" customWidth="1"/>
    <col min="3591" max="3591" width="12.42578125" style="182" customWidth="1"/>
    <col min="3592" max="3594" width="11.5703125" style="182" customWidth="1"/>
    <col min="3595" max="3595" width="24.42578125" style="182" customWidth="1"/>
    <col min="3596" max="3596" width="11.5703125" style="182" customWidth="1"/>
    <col min="3597" max="3840" width="14.42578125" style="182"/>
    <col min="3841" max="3841" width="4.28515625" style="182" customWidth="1"/>
    <col min="3842" max="3842" width="26.7109375" style="182" customWidth="1"/>
    <col min="3843" max="3843" width="7.140625" style="182" customWidth="1"/>
    <col min="3844" max="3844" width="7.28515625" style="182" customWidth="1"/>
    <col min="3845" max="3845" width="27.7109375" style="182" customWidth="1"/>
    <col min="3846" max="3846" width="15.5703125" style="182" customWidth="1"/>
    <col min="3847" max="3847" width="12.42578125" style="182" customWidth="1"/>
    <col min="3848" max="3850" width="11.5703125" style="182" customWidth="1"/>
    <col min="3851" max="3851" width="24.42578125" style="182" customWidth="1"/>
    <col min="3852" max="3852" width="11.5703125" style="182" customWidth="1"/>
    <col min="3853" max="4096" width="14.42578125" style="182"/>
    <col min="4097" max="4097" width="4.28515625" style="182" customWidth="1"/>
    <col min="4098" max="4098" width="26.7109375" style="182" customWidth="1"/>
    <col min="4099" max="4099" width="7.140625" style="182" customWidth="1"/>
    <col min="4100" max="4100" width="7.28515625" style="182" customWidth="1"/>
    <col min="4101" max="4101" width="27.7109375" style="182" customWidth="1"/>
    <col min="4102" max="4102" width="15.5703125" style="182" customWidth="1"/>
    <col min="4103" max="4103" width="12.42578125" style="182" customWidth="1"/>
    <col min="4104" max="4106" width="11.5703125" style="182" customWidth="1"/>
    <col min="4107" max="4107" width="24.42578125" style="182" customWidth="1"/>
    <col min="4108" max="4108" width="11.5703125" style="182" customWidth="1"/>
    <col min="4109" max="4352" width="14.42578125" style="182"/>
    <col min="4353" max="4353" width="4.28515625" style="182" customWidth="1"/>
    <col min="4354" max="4354" width="26.7109375" style="182" customWidth="1"/>
    <col min="4355" max="4355" width="7.140625" style="182" customWidth="1"/>
    <col min="4356" max="4356" width="7.28515625" style="182" customWidth="1"/>
    <col min="4357" max="4357" width="27.7109375" style="182" customWidth="1"/>
    <col min="4358" max="4358" width="15.5703125" style="182" customWidth="1"/>
    <col min="4359" max="4359" width="12.42578125" style="182" customWidth="1"/>
    <col min="4360" max="4362" width="11.5703125" style="182" customWidth="1"/>
    <col min="4363" max="4363" width="24.42578125" style="182" customWidth="1"/>
    <col min="4364" max="4364" width="11.5703125" style="182" customWidth="1"/>
    <col min="4365" max="4608" width="14.42578125" style="182"/>
    <col min="4609" max="4609" width="4.28515625" style="182" customWidth="1"/>
    <col min="4610" max="4610" width="26.7109375" style="182" customWidth="1"/>
    <col min="4611" max="4611" width="7.140625" style="182" customWidth="1"/>
    <col min="4612" max="4612" width="7.28515625" style="182" customWidth="1"/>
    <col min="4613" max="4613" width="27.7109375" style="182" customWidth="1"/>
    <col min="4614" max="4614" width="15.5703125" style="182" customWidth="1"/>
    <col min="4615" max="4615" width="12.42578125" style="182" customWidth="1"/>
    <col min="4616" max="4618" width="11.5703125" style="182" customWidth="1"/>
    <col min="4619" max="4619" width="24.42578125" style="182" customWidth="1"/>
    <col min="4620" max="4620" width="11.5703125" style="182" customWidth="1"/>
    <col min="4621" max="4864" width="14.42578125" style="182"/>
    <col min="4865" max="4865" width="4.28515625" style="182" customWidth="1"/>
    <col min="4866" max="4866" width="26.7109375" style="182" customWidth="1"/>
    <col min="4867" max="4867" width="7.140625" style="182" customWidth="1"/>
    <col min="4868" max="4868" width="7.28515625" style="182" customWidth="1"/>
    <col min="4869" max="4869" width="27.7109375" style="182" customWidth="1"/>
    <col min="4870" max="4870" width="15.5703125" style="182" customWidth="1"/>
    <col min="4871" max="4871" width="12.42578125" style="182" customWidth="1"/>
    <col min="4872" max="4874" width="11.5703125" style="182" customWidth="1"/>
    <col min="4875" max="4875" width="24.42578125" style="182" customWidth="1"/>
    <col min="4876" max="4876" width="11.5703125" style="182" customWidth="1"/>
    <col min="4877" max="5120" width="14.42578125" style="182"/>
    <col min="5121" max="5121" width="4.28515625" style="182" customWidth="1"/>
    <col min="5122" max="5122" width="26.7109375" style="182" customWidth="1"/>
    <col min="5123" max="5123" width="7.140625" style="182" customWidth="1"/>
    <col min="5124" max="5124" width="7.28515625" style="182" customWidth="1"/>
    <col min="5125" max="5125" width="27.7109375" style="182" customWidth="1"/>
    <col min="5126" max="5126" width="15.5703125" style="182" customWidth="1"/>
    <col min="5127" max="5127" width="12.42578125" style="182" customWidth="1"/>
    <col min="5128" max="5130" width="11.5703125" style="182" customWidth="1"/>
    <col min="5131" max="5131" width="24.42578125" style="182" customWidth="1"/>
    <col min="5132" max="5132" width="11.5703125" style="182" customWidth="1"/>
    <col min="5133" max="5376" width="14.42578125" style="182"/>
    <col min="5377" max="5377" width="4.28515625" style="182" customWidth="1"/>
    <col min="5378" max="5378" width="26.7109375" style="182" customWidth="1"/>
    <col min="5379" max="5379" width="7.140625" style="182" customWidth="1"/>
    <col min="5380" max="5380" width="7.28515625" style="182" customWidth="1"/>
    <col min="5381" max="5381" width="27.7109375" style="182" customWidth="1"/>
    <col min="5382" max="5382" width="15.5703125" style="182" customWidth="1"/>
    <col min="5383" max="5383" width="12.42578125" style="182" customWidth="1"/>
    <col min="5384" max="5386" width="11.5703125" style="182" customWidth="1"/>
    <col min="5387" max="5387" width="24.42578125" style="182" customWidth="1"/>
    <col min="5388" max="5388" width="11.5703125" style="182" customWidth="1"/>
    <col min="5389" max="5632" width="14.42578125" style="182"/>
    <col min="5633" max="5633" width="4.28515625" style="182" customWidth="1"/>
    <col min="5634" max="5634" width="26.7109375" style="182" customWidth="1"/>
    <col min="5635" max="5635" width="7.140625" style="182" customWidth="1"/>
    <col min="5636" max="5636" width="7.28515625" style="182" customWidth="1"/>
    <col min="5637" max="5637" width="27.7109375" style="182" customWidth="1"/>
    <col min="5638" max="5638" width="15.5703125" style="182" customWidth="1"/>
    <col min="5639" max="5639" width="12.42578125" style="182" customWidth="1"/>
    <col min="5640" max="5642" width="11.5703125" style="182" customWidth="1"/>
    <col min="5643" max="5643" width="24.42578125" style="182" customWidth="1"/>
    <col min="5644" max="5644" width="11.5703125" style="182" customWidth="1"/>
    <col min="5645" max="5888" width="14.42578125" style="182"/>
    <col min="5889" max="5889" width="4.28515625" style="182" customWidth="1"/>
    <col min="5890" max="5890" width="26.7109375" style="182" customWidth="1"/>
    <col min="5891" max="5891" width="7.140625" style="182" customWidth="1"/>
    <col min="5892" max="5892" width="7.28515625" style="182" customWidth="1"/>
    <col min="5893" max="5893" width="27.7109375" style="182" customWidth="1"/>
    <col min="5894" max="5894" width="15.5703125" style="182" customWidth="1"/>
    <col min="5895" max="5895" width="12.42578125" style="182" customWidth="1"/>
    <col min="5896" max="5898" width="11.5703125" style="182" customWidth="1"/>
    <col min="5899" max="5899" width="24.42578125" style="182" customWidth="1"/>
    <col min="5900" max="5900" width="11.5703125" style="182" customWidth="1"/>
    <col min="5901" max="6144" width="14.42578125" style="182"/>
    <col min="6145" max="6145" width="4.28515625" style="182" customWidth="1"/>
    <col min="6146" max="6146" width="26.7109375" style="182" customWidth="1"/>
    <col min="6147" max="6147" width="7.140625" style="182" customWidth="1"/>
    <col min="6148" max="6148" width="7.28515625" style="182" customWidth="1"/>
    <col min="6149" max="6149" width="27.7109375" style="182" customWidth="1"/>
    <col min="6150" max="6150" width="15.5703125" style="182" customWidth="1"/>
    <col min="6151" max="6151" width="12.42578125" style="182" customWidth="1"/>
    <col min="6152" max="6154" width="11.5703125" style="182" customWidth="1"/>
    <col min="6155" max="6155" width="24.42578125" style="182" customWidth="1"/>
    <col min="6156" max="6156" width="11.5703125" style="182" customWidth="1"/>
    <col min="6157" max="6400" width="14.42578125" style="182"/>
    <col min="6401" max="6401" width="4.28515625" style="182" customWidth="1"/>
    <col min="6402" max="6402" width="26.7109375" style="182" customWidth="1"/>
    <col min="6403" max="6403" width="7.140625" style="182" customWidth="1"/>
    <col min="6404" max="6404" width="7.28515625" style="182" customWidth="1"/>
    <col min="6405" max="6405" width="27.7109375" style="182" customWidth="1"/>
    <col min="6406" max="6406" width="15.5703125" style="182" customWidth="1"/>
    <col min="6407" max="6407" width="12.42578125" style="182" customWidth="1"/>
    <col min="6408" max="6410" width="11.5703125" style="182" customWidth="1"/>
    <col min="6411" max="6411" width="24.42578125" style="182" customWidth="1"/>
    <col min="6412" max="6412" width="11.5703125" style="182" customWidth="1"/>
    <col min="6413" max="6656" width="14.42578125" style="182"/>
    <col min="6657" max="6657" width="4.28515625" style="182" customWidth="1"/>
    <col min="6658" max="6658" width="26.7109375" style="182" customWidth="1"/>
    <col min="6659" max="6659" width="7.140625" style="182" customWidth="1"/>
    <col min="6660" max="6660" width="7.28515625" style="182" customWidth="1"/>
    <col min="6661" max="6661" width="27.7109375" style="182" customWidth="1"/>
    <col min="6662" max="6662" width="15.5703125" style="182" customWidth="1"/>
    <col min="6663" max="6663" width="12.42578125" style="182" customWidth="1"/>
    <col min="6664" max="6666" width="11.5703125" style="182" customWidth="1"/>
    <col min="6667" max="6667" width="24.42578125" style="182" customWidth="1"/>
    <col min="6668" max="6668" width="11.5703125" style="182" customWidth="1"/>
    <col min="6669" max="6912" width="14.42578125" style="182"/>
    <col min="6913" max="6913" width="4.28515625" style="182" customWidth="1"/>
    <col min="6914" max="6914" width="26.7109375" style="182" customWidth="1"/>
    <col min="6915" max="6915" width="7.140625" style="182" customWidth="1"/>
    <col min="6916" max="6916" width="7.28515625" style="182" customWidth="1"/>
    <col min="6917" max="6917" width="27.7109375" style="182" customWidth="1"/>
    <col min="6918" max="6918" width="15.5703125" style="182" customWidth="1"/>
    <col min="6919" max="6919" width="12.42578125" style="182" customWidth="1"/>
    <col min="6920" max="6922" width="11.5703125" style="182" customWidth="1"/>
    <col min="6923" max="6923" width="24.42578125" style="182" customWidth="1"/>
    <col min="6924" max="6924" width="11.5703125" style="182" customWidth="1"/>
    <col min="6925" max="7168" width="14.42578125" style="182"/>
    <col min="7169" max="7169" width="4.28515625" style="182" customWidth="1"/>
    <col min="7170" max="7170" width="26.7109375" style="182" customWidth="1"/>
    <col min="7171" max="7171" width="7.140625" style="182" customWidth="1"/>
    <col min="7172" max="7172" width="7.28515625" style="182" customWidth="1"/>
    <col min="7173" max="7173" width="27.7109375" style="182" customWidth="1"/>
    <col min="7174" max="7174" width="15.5703125" style="182" customWidth="1"/>
    <col min="7175" max="7175" width="12.42578125" style="182" customWidth="1"/>
    <col min="7176" max="7178" width="11.5703125" style="182" customWidth="1"/>
    <col min="7179" max="7179" width="24.42578125" style="182" customWidth="1"/>
    <col min="7180" max="7180" width="11.5703125" style="182" customWidth="1"/>
    <col min="7181" max="7424" width="14.42578125" style="182"/>
    <col min="7425" max="7425" width="4.28515625" style="182" customWidth="1"/>
    <col min="7426" max="7426" width="26.7109375" style="182" customWidth="1"/>
    <col min="7427" max="7427" width="7.140625" style="182" customWidth="1"/>
    <col min="7428" max="7428" width="7.28515625" style="182" customWidth="1"/>
    <col min="7429" max="7429" width="27.7109375" style="182" customWidth="1"/>
    <col min="7430" max="7430" width="15.5703125" style="182" customWidth="1"/>
    <col min="7431" max="7431" width="12.42578125" style="182" customWidth="1"/>
    <col min="7432" max="7434" width="11.5703125" style="182" customWidth="1"/>
    <col min="7435" max="7435" width="24.42578125" style="182" customWidth="1"/>
    <col min="7436" max="7436" width="11.5703125" style="182" customWidth="1"/>
    <col min="7437" max="7680" width="14.42578125" style="182"/>
    <col min="7681" max="7681" width="4.28515625" style="182" customWidth="1"/>
    <col min="7682" max="7682" width="26.7109375" style="182" customWidth="1"/>
    <col min="7683" max="7683" width="7.140625" style="182" customWidth="1"/>
    <col min="7684" max="7684" width="7.28515625" style="182" customWidth="1"/>
    <col min="7685" max="7685" width="27.7109375" style="182" customWidth="1"/>
    <col min="7686" max="7686" width="15.5703125" style="182" customWidth="1"/>
    <col min="7687" max="7687" width="12.42578125" style="182" customWidth="1"/>
    <col min="7688" max="7690" width="11.5703125" style="182" customWidth="1"/>
    <col min="7691" max="7691" width="24.42578125" style="182" customWidth="1"/>
    <col min="7692" max="7692" width="11.5703125" style="182" customWidth="1"/>
    <col min="7693" max="7936" width="14.42578125" style="182"/>
    <col min="7937" max="7937" width="4.28515625" style="182" customWidth="1"/>
    <col min="7938" max="7938" width="26.7109375" style="182" customWidth="1"/>
    <col min="7939" max="7939" width="7.140625" style="182" customWidth="1"/>
    <col min="7940" max="7940" width="7.28515625" style="182" customWidth="1"/>
    <col min="7941" max="7941" width="27.7109375" style="182" customWidth="1"/>
    <col min="7942" max="7942" width="15.5703125" style="182" customWidth="1"/>
    <col min="7943" max="7943" width="12.42578125" style="182" customWidth="1"/>
    <col min="7944" max="7946" width="11.5703125" style="182" customWidth="1"/>
    <col min="7947" max="7947" width="24.42578125" style="182" customWidth="1"/>
    <col min="7948" max="7948" width="11.5703125" style="182" customWidth="1"/>
    <col min="7949" max="8192" width="14.42578125" style="182"/>
    <col min="8193" max="8193" width="4.28515625" style="182" customWidth="1"/>
    <col min="8194" max="8194" width="26.7109375" style="182" customWidth="1"/>
    <col min="8195" max="8195" width="7.140625" style="182" customWidth="1"/>
    <col min="8196" max="8196" width="7.28515625" style="182" customWidth="1"/>
    <col min="8197" max="8197" width="27.7109375" style="182" customWidth="1"/>
    <col min="8198" max="8198" width="15.5703125" style="182" customWidth="1"/>
    <col min="8199" max="8199" width="12.42578125" style="182" customWidth="1"/>
    <col min="8200" max="8202" width="11.5703125" style="182" customWidth="1"/>
    <col min="8203" max="8203" width="24.42578125" style="182" customWidth="1"/>
    <col min="8204" max="8204" width="11.5703125" style="182" customWidth="1"/>
    <col min="8205" max="8448" width="14.42578125" style="182"/>
    <col min="8449" max="8449" width="4.28515625" style="182" customWidth="1"/>
    <col min="8450" max="8450" width="26.7109375" style="182" customWidth="1"/>
    <col min="8451" max="8451" width="7.140625" style="182" customWidth="1"/>
    <col min="8452" max="8452" width="7.28515625" style="182" customWidth="1"/>
    <col min="8453" max="8453" width="27.7109375" style="182" customWidth="1"/>
    <col min="8454" max="8454" width="15.5703125" style="182" customWidth="1"/>
    <col min="8455" max="8455" width="12.42578125" style="182" customWidth="1"/>
    <col min="8456" max="8458" width="11.5703125" style="182" customWidth="1"/>
    <col min="8459" max="8459" width="24.42578125" style="182" customWidth="1"/>
    <col min="8460" max="8460" width="11.5703125" style="182" customWidth="1"/>
    <col min="8461" max="8704" width="14.42578125" style="182"/>
    <col min="8705" max="8705" width="4.28515625" style="182" customWidth="1"/>
    <col min="8706" max="8706" width="26.7109375" style="182" customWidth="1"/>
    <col min="8707" max="8707" width="7.140625" style="182" customWidth="1"/>
    <col min="8708" max="8708" width="7.28515625" style="182" customWidth="1"/>
    <col min="8709" max="8709" width="27.7109375" style="182" customWidth="1"/>
    <col min="8710" max="8710" width="15.5703125" style="182" customWidth="1"/>
    <col min="8711" max="8711" width="12.42578125" style="182" customWidth="1"/>
    <col min="8712" max="8714" width="11.5703125" style="182" customWidth="1"/>
    <col min="8715" max="8715" width="24.42578125" style="182" customWidth="1"/>
    <col min="8716" max="8716" width="11.5703125" style="182" customWidth="1"/>
    <col min="8717" max="8960" width="14.42578125" style="182"/>
    <col min="8961" max="8961" width="4.28515625" style="182" customWidth="1"/>
    <col min="8962" max="8962" width="26.7109375" style="182" customWidth="1"/>
    <col min="8963" max="8963" width="7.140625" style="182" customWidth="1"/>
    <col min="8964" max="8964" width="7.28515625" style="182" customWidth="1"/>
    <col min="8965" max="8965" width="27.7109375" style="182" customWidth="1"/>
    <col min="8966" max="8966" width="15.5703125" style="182" customWidth="1"/>
    <col min="8967" max="8967" width="12.42578125" style="182" customWidth="1"/>
    <col min="8968" max="8970" width="11.5703125" style="182" customWidth="1"/>
    <col min="8971" max="8971" width="24.42578125" style="182" customWidth="1"/>
    <col min="8972" max="8972" width="11.5703125" style="182" customWidth="1"/>
    <col min="8973" max="9216" width="14.42578125" style="182"/>
    <col min="9217" max="9217" width="4.28515625" style="182" customWidth="1"/>
    <col min="9218" max="9218" width="26.7109375" style="182" customWidth="1"/>
    <col min="9219" max="9219" width="7.140625" style="182" customWidth="1"/>
    <col min="9220" max="9220" width="7.28515625" style="182" customWidth="1"/>
    <col min="9221" max="9221" width="27.7109375" style="182" customWidth="1"/>
    <col min="9222" max="9222" width="15.5703125" style="182" customWidth="1"/>
    <col min="9223" max="9223" width="12.42578125" style="182" customWidth="1"/>
    <col min="9224" max="9226" width="11.5703125" style="182" customWidth="1"/>
    <col min="9227" max="9227" width="24.42578125" style="182" customWidth="1"/>
    <col min="9228" max="9228" width="11.5703125" style="182" customWidth="1"/>
    <col min="9229" max="9472" width="14.42578125" style="182"/>
    <col min="9473" max="9473" width="4.28515625" style="182" customWidth="1"/>
    <col min="9474" max="9474" width="26.7109375" style="182" customWidth="1"/>
    <col min="9475" max="9475" width="7.140625" style="182" customWidth="1"/>
    <col min="9476" max="9476" width="7.28515625" style="182" customWidth="1"/>
    <col min="9477" max="9477" width="27.7109375" style="182" customWidth="1"/>
    <col min="9478" max="9478" width="15.5703125" style="182" customWidth="1"/>
    <col min="9479" max="9479" width="12.42578125" style="182" customWidth="1"/>
    <col min="9480" max="9482" width="11.5703125" style="182" customWidth="1"/>
    <col min="9483" max="9483" width="24.42578125" style="182" customWidth="1"/>
    <col min="9484" max="9484" width="11.5703125" style="182" customWidth="1"/>
    <col min="9485" max="9728" width="14.42578125" style="182"/>
    <col min="9729" max="9729" width="4.28515625" style="182" customWidth="1"/>
    <col min="9730" max="9730" width="26.7109375" style="182" customWidth="1"/>
    <col min="9731" max="9731" width="7.140625" style="182" customWidth="1"/>
    <col min="9732" max="9732" width="7.28515625" style="182" customWidth="1"/>
    <col min="9733" max="9733" width="27.7109375" style="182" customWidth="1"/>
    <col min="9734" max="9734" width="15.5703125" style="182" customWidth="1"/>
    <col min="9735" max="9735" width="12.42578125" style="182" customWidth="1"/>
    <col min="9736" max="9738" width="11.5703125" style="182" customWidth="1"/>
    <col min="9739" max="9739" width="24.42578125" style="182" customWidth="1"/>
    <col min="9740" max="9740" width="11.5703125" style="182" customWidth="1"/>
    <col min="9741" max="9984" width="14.42578125" style="182"/>
    <col min="9985" max="9985" width="4.28515625" style="182" customWidth="1"/>
    <col min="9986" max="9986" width="26.7109375" style="182" customWidth="1"/>
    <col min="9987" max="9987" width="7.140625" style="182" customWidth="1"/>
    <col min="9988" max="9988" width="7.28515625" style="182" customWidth="1"/>
    <col min="9989" max="9989" width="27.7109375" style="182" customWidth="1"/>
    <col min="9990" max="9990" width="15.5703125" style="182" customWidth="1"/>
    <col min="9991" max="9991" width="12.42578125" style="182" customWidth="1"/>
    <col min="9992" max="9994" width="11.5703125" style="182" customWidth="1"/>
    <col min="9995" max="9995" width="24.42578125" style="182" customWidth="1"/>
    <col min="9996" max="9996" width="11.5703125" style="182" customWidth="1"/>
    <col min="9997" max="10240" width="14.42578125" style="182"/>
    <col min="10241" max="10241" width="4.28515625" style="182" customWidth="1"/>
    <col min="10242" max="10242" width="26.7109375" style="182" customWidth="1"/>
    <col min="10243" max="10243" width="7.140625" style="182" customWidth="1"/>
    <col min="10244" max="10244" width="7.28515625" style="182" customWidth="1"/>
    <col min="10245" max="10245" width="27.7109375" style="182" customWidth="1"/>
    <col min="10246" max="10246" width="15.5703125" style="182" customWidth="1"/>
    <col min="10247" max="10247" width="12.42578125" style="182" customWidth="1"/>
    <col min="10248" max="10250" width="11.5703125" style="182" customWidth="1"/>
    <col min="10251" max="10251" width="24.42578125" style="182" customWidth="1"/>
    <col min="10252" max="10252" width="11.5703125" style="182" customWidth="1"/>
    <col min="10253" max="10496" width="14.42578125" style="182"/>
    <col min="10497" max="10497" width="4.28515625" style="182" customWidth="1"/>
    <col min="10498" max="10498" width="26.7109375" style="182" customWidth="1"/>
    <col min="10499" max="10499" width="7.140625" style="182" customWidth="1"/>
    <col min="10500" max="10500" width="7.28515625" style="182" customWidth="1"/>
    <col min="10501" max="10501" width="27.7109375" style="182" customWidth="1"/>
    <col min="10502" max="10502" width="15.5703125" style="182" customWidth="1"/>
    <col min="10503" max="10503" width="12.42578125" style="182" customWidth="1"/>
    <col min="10504" max="10506" width="11.5703125" style="182" customWidth="1"/>
    <col min="10507" max="10507" width="24.42578125" style="182" customWidth="1"/>
    <col min="10508" max="10508" width="11.5703125" style="182" customWidth="1"/>
    <col min="10509" max="10752" width="14.42578125" style="182"/>
    <col min="10753" max="10753" width="4.28515625" style="182" customWidth="1"/>
    <col min="10754" max="10754" width="26.7109375" style="182" customWidth="1"/>
    <col min="10755" max="10755" width="7.140625" style="182" customWidth="1"/>
    <col min="10756" max="10756" width="7.28515625" style="182" customWidth="1"/>
    <col min="10757" max="10757" width="27.7109375" style="182" customWidth="1"/>
    <col min="10758" max="10758" width="15.5703125" style="182" customWidth="1"/>
    <col min="10759" max="10759" width="12.42578125" style="182" customWidth="1"/>
    <col min="10760" max="10762" width="11.5703125" style="182" customWidth="1"/>
    <col min="10763" max="10763" width="24.42578125" style="182" customWidth="1"/>
    <col min="10764" max="10764" width="11.5703125" style="182" customWidth="1"/>
    <col min="10765" max="11008" width="14.42578125" style="182"/>
    <col min="11009" max="11009" width="4.28515625" style="182" customWidth="1"/>
    <col min="11010" max="11010" width="26.7109375" style="182" customWidth="1"/>
    <col min="11011" max="11011" width="7.140625" style="182" customWidth="1"/>
    <col min="11012" max="11012" width="7.28515625" style="182" customWidth="1"/>
    <col min="11013" max="11013" width="27.7109375" style="182" customWidth="1"/>
    <col min="11014" max="11014" width="15.5703125" style="182" customWidth="1"/>
    <col min="11015" max="11015" width="12.42578125" style="182" customWidth="1"/>
    <col min="11016" max="11018" width="11.5703125" style="182" customWidth="1"/>
    <col min="11019" max="11019" width="24.42578125" style="182" customWidth="1"/>
    <col min="11020" max="11020" width="11.5703125" style="182" customWidth="1"/>
    <col min="11021" max="11264" width="14.42578125" style="182"/>
    <col min="11265" max="11265" width="4.28515625" style="182" customWidth="1"/>
    <col min="11266" max="11266" width="26.7109375" style="182" customWidth="1"/>
    <col min="11267" max="11267" width="7.140625" style="182" customWidth="1"/>
    <col min="11268" max="11268" width="7.28515625" style="182" customWidth="1"/>
    <col min="11269" max="11269" width="27.7109375" style="182" customWidth="1"/>
    <col min="11270" max="11270" width="15.5703125" style="182" customWidth="1"/>
    <col min="11271" max="11271" width="12.42578125" style="182" customWidth="1"/>
    <col min="11272" max="11274" width="11.5703125" style="182" customWidth="1"/>
    <col min="11275" max="11275" width="24.42578125" style="182" customWidth="1"/>
    <col min="11276" max="11276" width="11.5703125" style="182" customWidth="1"/>
    <col min="11277" max="11520" width="14.42578125" style="182"/>
    <col min="11521" max="11521" width="4.28515625" style="182" customWidth="1"/>
    <col min="11522" max="11522" width="26.7109375" style="182" customWidth="1"/>
    <col min="11523" max="11523" width="7.140625" style="182" customWidth="1"/>
    <col min="11524" max="11524" width="7.28515625" style="182" customWidth="1"/>
    <col min="11525" max="11525" width="27.7109375" style="182" customWidth="1"/>
    <col min="11526" max="11526" width="15.5703125" style="182" customWidth="1"/>
    <col min="11527" max="11527" width="12.42578125" style="182" customWidth="1"/>
    <col min="11528" max="11530" width="11.5703125" style="182" customWidth="1"/>
    <col min="11531" max="11531" width="24.42578125" style="182" customWidth="1"/>
    <col min="11532" max="11532" width="11.5703125" style="182" customWidth="1"/>
    <col min="11533" max="11776" width="14.42578125" style="182"/>
    <col min="11777" max="11777" width="4.28515625" style="182" customWidth="1"/>
    <col min="11778" max="11778" width="26.7109375" style="182" customWidth="1"/>
    <col min="11779" max="11779" width="7.140625" style="182" customWidth="1"/>
    <col min="11780" max="11780" width="7.28515625" style="182" customWidth="1"/>
    <col min="11781" max="11781" width="27.7109375" style="182" customWidth="1"/>
    <col min="11782" max="11782" width="15.5703125" style="182" customWidth="1"/>
    <col min="11783" max="11783" width="12.42578125" style="182" customWidth="1"/>
    <col min="11784" max="11786" width="11.5703125" style="182" customWidth="1"/>
    <col min="11787" max="11787" width="24.42578125" style="182" customWidth="1"/>
    <col min="11788" max="11788" width="11.5703125" style="182" customWidth="1"/>
    <col min="11789" max="12032" width="14.42578125" style="182"/>
    <col min="12033" max="12033" width="4.28515625" style="182" customWidth="1"/>
    <col min="12034" max="12034" width="26.7109375" style="182" customWidth="1"/>
    <col min="12035" max="12035" width="7.140625" style="182" customWidth="1"/>
    <col min="12036" max="12036" width="7.28515625" style="182" customWidth="1"/>
    <col min="12037" max="12037" width="27.7109375" style="182" customWidth="1"/>
    <col min="12038" max="12038" width="15.5703125" style="182" customWidth="1"/>
    <col min="12039" max="12039" width="12.42578125" style="182" customWidth="1"/>
    <col min="12040" max="12042" width="11.5703125" style="182" customWidth="1"/>
    <col min="12043" max="12043" width="24.42578125" style="182" customWidth="1"/>
    <col min="12044" max="12044" width="11.5703125" style="182" customWidth="1"/>
    <col min="12045" max="12288" width="14.42578125" style="182"/>
    <col min="12289" max="12289" width="4.28515625" style="182" customWidth="1"/>
    <col min="12290" max="12290" width="26.7109375" style="182" customWidth="1"/>
    <col min="12291" max="12291" width="7.140625" style="182" customWidth="1"/>
    <col min="12292" max="12292" width="7.28515625" style="182" customWidth="1"/>
    <col min="12293" max="12293" width="27.7109375" style="182" customWidth="1"/>
    <col min="12294" max="12294" width="15.5703125" style="182" customWidth="1"/>
    <col min="12295" max="12295" width="12.42578125" style="182" customWidth="1"/>
    <col min="12296" max="12298" width="11.5703125" style="182" customWidth="1"/>
    <col min="12299" max="12299" width="24.42578125" style="182" customWidth="1"/>
    <col min="12300" max="12300" width="11.5703125" style="182" customWidth="1"/>
    <col min="12301" max="12544" width="14.42578125" style="182"/>
    <col min="12545" max="12545" width="4.28515625" style="182" customWidth="1"/>
    <col min="12546" max="12546" width="26.7109375" style="182" customWidth="1"/>
    <col min="12547" max="12547" width="7.140625" style="182" customWidth="1"/>
    <col min="12548" max="12548" width="7.28515625" style="182" customWidth="1"/>
    <col min="12549" max="12549" width="27.7109375" style="182" customWidth="1"/>
    <col min="12550" max="12550" width="15.5703125" style="182" customWidth="1"/>
    <col min="12551" max="12551" width="12.42578125" style="182" customWidth="1"/>
    <col min="12552" max="12554" width="11.5703125" style="182" customWidth="1"/>
    <col min="12555" max="12555" width="24.42578125" style="182" customWidth="1"/>
    <col min="12556" max="12556" width="11.5703125" style="182" customWidth="1"/>
    <col min="12557" max="12800" width="14.42578125" style="182"/>
    <col min="12801" max="12801" width="4.28515625" style="182" customWidth="1"/>
    <col min="12802" max="12802" width="26.7109375" style="182" customWidth="1"/>
    <col min="12803" max="12803" width="7.140625" style="182" customWidth="1"/>
    <col min="12804" max="12804" width="7.28515625" style="182" customWidth="1"/>
    <col min="12805" max="12805" width="27.7109375" style="182" customWidth="1"/>
    <col min="12806" max="12806" width="15.5703125" style="182" customWidth="1"/>
    <col min="12807" max="12807" width="12.42578125" style="182" customWidth="1"/>
    <col min="12808" max="12810" width="11.5703125" style="182" customWidth="1"/>
    <col min="12811" max="12811" width="24.42578125" style="182" customWidth="1"/>
    <col min="12812" max="12812" width="11.5703125" style="182" customWidth="1"/>
    <col min="12813" max="13056" width="14.42578125" style="182"/>
    <col min="13057" max="13057" width="4.28515625" style="182" customWidth="1"/>
    <col min="13058" max="13058" width="26.7109375" style="182" customWidth="1"/>
    <col min="13059" max="13059" width="7.140625" style="182" customWidth="1"/>
    <col min="13060" max="13060" width="7.28515625" style="182" customWidth="1"/>
    <col min="13061" max="13061" width="27.7109375" style="182" customWidth="1"/>
    <col min="13062" max="13062" width="15.5703125" style="182" customWidth="1"/>
    <col min="13063" max="13063" width="12.42578125" style="182" customWidth="1"/>
    <col min="13064" max="13066" width="11.5703125" style="182" customWidth="1"/>
    <col min="13067" max="13067" width="24.42578125" style="182" customWidth="1"/>
    <col min="13068" max="13068" width="11.5703125" style="182" customWidth="1"/>
    <col min="13069" max="13312" width="14.42578125" style="182"/>
    <col min="13313" max="13313" width="4.28515625" style="182" customWidth="1"/>
    <col min="13314" max="13314" width="26.7109375" style="182" customWidth="1"/>
    <col min="13315" max="13315" width="7.140625" style="182" customWidth="1"/>
    <col min="13316" max="13316" width="7.28515625" style="182" customWidth="1"/>
    <col min="13317" max="13317" width="27.7109375" style="182" customWidth="1"/>
    <col min="13318" max="13318" width="15.5703125" style="182" customWidth="1"/>
    <col min="13319" max="13319" width="12.42578125" style="182" customWidth="1"/>
    <col min="13320" max="13322" width="11.5703125" style="182" customWidth="1"/>
    <col min="13323" max="13323" width="24.42578125" style="182" customWidth="1"/>
    <col min="13324" max="13324" width="11.5703125" style="182" customWidth="1"/>
    <col min="13325" max="13568" width="14.42578125" style="182"/>
    <col min="13569" max="13569" width="4.28515625" style="182" customWidth="1"/>
    <col min="13570" max="13570" width="26.7109375" style="182" customWidth="1"/>
    <col min="13571" max="13571" width="7.140625" style="182" customWidth="1"/>
    <col min="13572" max="13572" width="7.28515625" style="182" customWidth="1"/>
    <col min="13573" max="13573" width="27.7109375" style="182" customWidth="1"/>
    <col min="13574" max="13574" width="15.5703125" style="182" customWidth="1"/>
    <col min="13575" max="13575" width="12.42578125" style="182" customWidth="1"/>
    <col min="13576" max="13578" width="11.5703125" style="182" customWidth="1"/>
    <col min="13579" max="13579" width="24.42578125" style="182" customWidth="1"/>
    <col min="13580" max="13580" width="11.5703125" style="182" customWidth="1"/>
    <col min="13581" max="13824" width="14.42578125" style="182"/>
    <col min="13825" max="13825" width="4.28515625" style="182" customWidth="1"/>
    <col min="13826" max="13826" width="26.7109375" style="182" customWidth="1"/>
    <col min="13827" max="13827" width="7.140625" style="182" customWidth="1"/>
    <col min="13828" max="13828" width="7.28515625" style="182" customWidth="1"/>
    <col min="13829" max="13829" width="27.7109375" style="182" customWidth="1"/>
    <col min="13830" max="13830" width="15.5703125" style="182" customWidth="1"/>
    <col min="13831" max="13831" width="12.42578125" style="182" customWidth="1"/>
    <col min="13832" max="13834" width="11.5703125" style="182" customWidth="1"/>
    <col min="13835" max="13835" width="24.42578125" style="182" customWidth="1"/>
    <col min="13836" max="13836" width="11.5703125" style="182" customWidth="1"/>
    <col min="13837" max="14080" width="14.42578125" style="182"/>
    <col min="14081" max="14081" width="4.28515625" style="182" customWidth="1"/>
    <col min="14082" max="14082" width="26.7109375" style="182" customWidth="1"/>
    <col min="14083" max="14083" width="7.140625" style="182" customWidth="1"/>
    <col min="14084" max="14084" width="7.28515625" style="182" customWidth="1"/>
    <col min="14085" max="14085" width="27.7109375" style="182" customWidth="1"/>
    <col min="14086" max="14086" width="15.5703125" style="182" customWidth="1"/>
    <col min="14087" max="14087" width="12.42578125" style="182" customWidth="1"/>
    <col min="14088" max="14090" width="11.5703125" style="182" customWidth="1"/>
    <col min="14091" max="14091" width="24.42578125" style="182" customWidth="1"/>
    <col min="14092" max="14092" width="11.5703125" style="182" customWidth="1"/>
    <col min="14093" max="14336" width="14.42578125" style="182"/>
    <col min="14337" max="14337" width="4.28515625" style="182" customWidth="1"/>
    <col min="14338" max="14338" width="26.7109375" style="182" customWidth="1"/>
    <col min="14339" max="14339" width="7.140625" style="182" customWidth="1"/>
    <col min="14340" max="14340" width="7.28515625" style="182" customWidth="1"/>
    <col min="14341" max="14341" width="27.7109375" style="182" customWidth="1"/>
    <col min="14342" max="14342" width="15.5703125" style="182" customWidth="1"/>
    <col min="14343" max="14343" width="12.42578125" style="182" customWidth="1"/>
    <col min="14344" max="14346" width="11.5703125" style="182" customWidth="1"/>
    <col min="14347" max="14347" width="24.42578125" style="182" customWidth="1"/>
    <col min="14348" max="14348" width="11.5703125" style="182" customWidth="1"/>
    <col min="14349" max="14592" width="14.42578125" style="182"/>
    <col min="14593" max="14593" width="4.28515625" style="182" customWidth="1"/>
    <col min="14594" max="14594" width="26.7109375" style="182" customWidth="1"/>
    <col min="14595" max="14595" width="7.140625" style="182" customWidth="1"/>
    <col min="14596" max="14596" width="7.28515625" style="182" customWidth="1"/>
    <col min="14597" max="14597" width="27.7109375" style="182" customWidth="1"/>
    <col min="14598" max="14598" width="15.5703125" style="182" customWidth="1"/>
    <col min="14599" max="14599" width="12.42578125" style="182" customWidth="1"/>
    <col min="14600" max="14602" width="11.5703125" style="182" customWidth="1"/>
    <col min="14603" max="14603" width="24.42578125" style="182" customWidth="1"/>
    <col min="14604" max="14604" width="11.5703125" style="182" customWidth="1"/>
    <col min="14605" max="14848" width="14.42578125" style="182"/>
    <col min="14849" max="14849" width="4.28515625" style="182" customWidth="1"/>
    <col min="14850" max="14850" width="26.7109375" style="182" customWidth="1"/>
    <col min="14851" max="14851" width="7.140625" style="182" customWidth="1"/>
    <col min="14852" max="14852" width="7.28515625" style="182" customWidth="1"/>
    <col min="14853" max="14853" width="27.7109375" style="182" customWidth="1"/>
    <col min="14854" max="14854" width="15.5703125" style="182" customWidth="1"/>
    <col min="14855" max="14855" width="12.42578125" style="182" customWidth="1"/>
    <col min="14856" max="14858" width="11.5703125" style="182" customWidth="1"/>
    <col min="14859" max="14859" width="24.42578125" style="182" customWidth="1"/>
    <col min="14860" max="14860" width="11.5703125" style="182" customWidth="1"/>
    <col min="14861" max="15104" width="14.42578125" style="182"/>
    <col min="15105" max="15105" width="4.28515625" style="182" customWidth="1"/>
    <col min="15106" max="15106" width="26.7109375" style="182" customWidth="1"/>
    <col min="15107" max="15107" width="7.140625" style="182" customWidth="1"/>
    <col min="15108" max="15108" width="7.28515625" style="182" customWidth="1"/>
    <col min="15109" max="15109" width="27.7109375" style="182" customWidth="1"/>
    <col min="15110" max="15110" width="15.5703125" style="182" customWidth="1"/>
    <col min="15111" max="15111" width="12.42578125" style="182" customWidth="1"/>
    <col min="15112" max="15114" width="11.5703125" style="182" customWidth="1"/>
    <col min="15115" max="15115" width="24.42578125" style="182" customWidth="1"/>
    <col min="15116" max="15116" width="11.5703125" style="182" customWidth="1"/>
    <col min="15117" max="15360" width="14.42578125" style="182"/>
    <col min="15361" max="15361" width="4.28515625" style="182" customWidth="1"/>
    <col min="15362" max="15362" width="26.7109375" style="182" customWidth="1"/>
    <col min="15363" max="15363" width="7.140625" style="182" customWidth="1"/>
    <col min="15364" max="15364" width="7.28515625" style="182" customWidth="1"/>
    <col min="15365" max="15365" width="27.7109375" style="182" customWidth="1"/>
    <col min="15366" max="15366" width="15.5703125" style="182" customWidth="1"/>
    <col min="15367" max="15367" width="12.42578125" style="182" customWidth="1"/>
    <col min="15368" max="15370" width="11.5703125" style="182" customWidth="1"/>
    <col min="15371" max="15371" width="24.42578125" style="182" customWidth="1"/>
    <col min="15372" max="15372" width="11.5703125" style="182" customWidth="1"/>
    <col min="15373" max="15616" width="14.42578125" style="182"/>
    <col min="15617" max="15617" width="4.28515625" style="182" customWidth="1"/>
    <col min="15618" max="15618" width="26.7109375" style="182" customWidth="1"/>
    <col min="15619" max="15619" width="7.140625" style="182" customWidth="1"/>
    <col min="15620" max="15620" width="7.28515625" style="182" customWidth="1"/>
    <col min="15621" max="15621" width="27.7109375" style="182" customWidth="1"/>
    <col min="15622" max="15622" width="15.5703125" style="182" customWidth="1"/>
    <col min="15623" max="15623" width="12.42578125" style="182" customWidth="1"/>
    <col min="15624" max="15626" width="11.5703125" style="182" customWidth="1"/>
    <col min="15627" max="15627" width="24.42578125" style="182" customWidth="1"/>
    <col min="15628" max="15628" width="11.5703125" style="182" customWidth="1"/>
    <col min="15629" max="15872" width="14.42578125" style="182"/>
    <col min="15873" max="15873" width="4.28515625" style="182" customWidth="1"/>
    <col min="15874" max="15874" width="26.7109375" style="182" customWidth="1"/>
    <col min="15875" max="15875" width="7.140625" style="182" customWidth="1"/>
    <col min="15876" max="15876" width="7.28515625" style="182" customWidth="1"/>
    <col min="15877" max="15877" width="27.7109375" style="182" customWidth="1"/>
    <col min="15878" max="15878" width="15.5703125" style="182" customWidth="1"/>
    <col min="15879" max="15879" width="12.42578125" style="182" customWidth="1"/>
    <col min="15880" max="15882" width="11.5703125" style="182" customWidth="1"/>
    <col min="15883" max="15883" width="24.42578125" style="182" customWidth="1"/>
    <col min="15884" max="15884" width="11.5703125" style="182" customWidth="1"/>
    <col min="15885" max="16128" width="14.42578125" style="182"/>
    <col min="16129" max="16129" width="4.28515625" style="182" customWidth="1"/>
    <col min="16130" max="16130" width="26.7109375" style="182" customWidth="1"/>
    <col min="16131" max="16131" width="7.140625" style="182" customWidth="1"/>
    <col min="16132" max="16132" width="7.28515625" style="182" customWidth="1"/>
    <col min="16133" max="16133" width="27.7109375" style="182" customWidth="1"/>
    <col min="16134" max="16134" width="15.5703125" style="182" customWidth="1"/>
    <col min="16135" max="16135" width="12.42578125" style="182" customWidth="1"/>
    <col min="16136" max="16138" width="11.5703125" style="182" customWidth="1"/>
    <col min="16139" max="16139" width="24.42578125" style="182" customWidth="1"/>
    <col min="16140" max="16140" width="11.5703125" style="182" customWidth="1"/>
    <col min="16141" max="16384" width="14.42578125" style="182"/>
  </cols>
  <sheetData>
    <row r="1" spans="1:12" ht="51" customHeight="1" x14ac:dyDescent="0.2">
      <c r="A1" s="340"/>
      <c r="B1" s="327"/>
      <c r="C1" s="341" t="s">
        <v>443</v>
      </c>
      <c r="D1" s="341"/>
      <c r="E1" s="341"/>
      <c r="F1" s="341"/>
      <c r="G1" s="341"/>
      <c r="H1" s="183"/>
      <c r="I1" s="183"/>
      <c r="J1" s="183"/>
      <c r="K1" s="183"/>
      <c r="L1" s="183"/>
    </row>
    <row r="2" spans="1:12" ht="12.75" customHeight="1" x14ac:dyDescent="0.2">
      <c r="A2" s="184"/>
      <c r="B2" s="184"/>
      <c r="C2" s="185"/>
      <c r="D2" s="185"/>
      <c r="E2" s="185"/>
      <c r="F2" s="185"/>
      <c r="G2" s="186"/>
      <c r="H2" s="183"/>
      <c r="I2" s="183"/>
      <c r="J2" s="183"/>
      <c r="K2" s="183"/>
      <c r="L2" s="183"/>
    </row>
    <row r="3" spans="1:12" ht="12.75" customHeight="1" x14ac:dyDescent="0.2">
      <c r="A3" s="184"/>
      <c r="B3" s="184"/>
      <c r="C3" s="185"/>
      <c r="D3" s="185"/>
      <c r="E3" s="185"/>
      <c r="F3" s="185"/>
      <c r="G3" s="186"/>
      <c r="H3" s="183"/>
      <c r="I3" s="183"/>
      <c r="J3" s="183"/>
      <c r="K3" s="183"/>
      <c r="L3" s="183"/>
    </row>
    <row r="4" spans="1:12" ht="16.149999999999999" customHeight="1" x14ac:dyDescent="0.2">
      <c r="A4" s="187"/>
      <c r="B4" s="342" t="s">
        <v>1330</v>
      </c>
      <c r="C4" s="342"/>
      <c r="D4" s="342"/>
      <c r="E4" s="342"/>
      <c r="F4" s="342"/>
      <c r="G4" s="188"/>
      <c r="H4" s="183"/>
      <c r="I4" s="183"/>
      <c r="J4" s="183"/>
      <c r="K4" s="183"/>
      <c r="L4" s="183"/>
    </row>
    <row r="5" spans="1:12" ht="12.75" customHeight="1" x14ac:dyDescent="0.2">
      <c r="A5" s="187"/>
      <c r="B5" s="343" t="s">
        <v>272</v>
      </c>
      <c r="C5" s="343"/>
      <c r="D5" s="343"/>
      <c r="E5" s="343"/>
      <c r="F5" s="343"/>
      <c r="G5" s="188"/>
      <c r="H5" s="183"/>
      <c r="I5" s="183"/>
      <c r="J5" s="183"/>
      <c r="K5" s="183"/>
      <c r="L5" s="183"/>
    </row>
    <row r="6" spans="1:12" ht="12.75" customHeight="1" x14ac:dyDescent="0.2">
      <c r="A6" s="187"/>
      <c r="B6" s="189"/>
      <c r="C6" s="189"/>
      <c r="D6" s="189"/>
      <c r="E6" s="189"/>
      <c r="F6" s="189"/>
      <c r="G6" s="188"/>
      <c r="H6" s="183"/>
      <c r="I6" s="183"/>
      <c r="J6" s="183"/>
      <c r="K6" s="183"/>
      <c r="L6" s="183"/>
    </row>
    <row r="7" spans="1:12" ht="12.75" customHeight="1" x14ac:dyDescent="0.2">
      <c r="A7" s="187"/>
      <c r="B7" s="187"/>
      <c r="C7" s="184"/>
      <c r="D7" s="184"/>
      <c r="E7" s="184"/>
      <c r="F7" s="187"/>
      <c r="G7" s="188"/>
      <c r="H7" s="183"/>
      <c r="I7" s="183"/>
      <c r="J7" s="183"/>
      <c r="K7" s="183"/>
      <c r="L7" s="183"/>
    </row>
    <row r="8" spans="1:12" ht="116.45" customHeight="1" x14ac:dyDescent="0.2">
      <c r="A8" s="335" t="s">
        <v>273</v>
      </c>
      <c r="B8" s="327"/>
      <c r="C8" s="327"/>
      <c r="D8" s="344" t="s">
        <v>644</v>
      </c>
      <c r="E8" s="345"/>
      <c r="F8" s="345"/>
      <c r="G8" s="345"/>
      <c r="H8" s="183"/>
      <c r="I8" s="183"/>
      <c r="J8" s="183"/>
      <c r="K8" s="183"/>
      <c r="L8" s="183"/>
    </row>
    <row r="9" spans="1:12" x14ac:dyDescent="0.2">
      <c r="A9" s="192"/>
      <c r="D9" s="193"/>
      <c r="G9" s="182"/>
      <c r="H9" s="183"/>
      <c r="I9" s="183"/>
      <c r="J9" s="183"/>
      <c r="K9" s="183"/>
      <c r="L9" s="183"/>
    </row>
    <row r="10" spans="1:12" x14ac:dyDescent="0.2">
      <c r="A10" s="187"/>
      <c r="B10" s="187"/>
      <c r="C10" s="187"/>
      <c r="G10" s="182"/>
      <c r="H10" s="183"/>
      <c r="I10" s="183"/>
      <c r="J10" s="183"/>
      <c r="K10" s="183"/>
      <c r="L10" s="183"/>
    </row>
    <row r="11" spans="1:12" x14ac:dyDescent="0.2">
      <c r="A11" s="337" t="s">
        <v>3</v>
      </c>
      <c r="B11" s="337"/>
      <c r="C11" s="337"/>
      <c r="D11" s="337" t="s">
        <v>645</v>
      </c>
      <c r="E11" s="337"/>
      <c r="F11" s="337"/>
      <c r="G11" s="337"/>
      <c r="H11" s="183"/>
      <c r="I11" s="183"/>
      <c r="J11" s="183"/>
      <c r="K11" s="183"/>
      <c r="L11" s="183"/>
    </row>
    <row r="12" spans="1:12" x14ac:dyDescent="0.2">
      <c r="A12" s="328" t="s">
        <v>646</v>
      </c>
      <c r="B12" s="329"/>
      <c r="C12" s="329"/>
      <c r="D12" s="338" t="s">
        <v>228</v>
      </c>
      <c r="E12" s="339"/>
      <c r="F12" s="339"/>
      <c r="G12" s="339"/>
      <c r="H12" s="183"/>
      <c r="I12" s="183"/>
      <c r="J12" s="183"/>
      <c r="K12" s="183"/>
      <c r="L12" s="183"/>
    </row>
    <row r="13" spans="1:12" x14ac:dyDescent="0.2">
      <c r="A13" s="328" t="s">
        <v>647</v>
      </c>
      <c r="B13" s="328"/>
      <c r="C13" s="328"/>
      <c r="D13" s="338" t="s">
        <v>648</v>
      </c>
      <c r="E13" s="338"/>
      <c r="F13" s="338"/>
      <c r="G13" s="338"/>
      <c r="H13" s="183"/>
      <c r="I13" s="183"/>
      <c r="J13" s="183"/>
      <c r="K13" s="183"/>
      <c r="L13" s="183"/>
    </row>
    <row r="14" spans="1:12" ht="12.75" customHeight="1" x14ac:dyDescent="0.2">
      <c r="A14" s="328" t="s">
        <v>649</v>
      </c>
      <c r="B14" s="329"/>
      <c r="C14" s="329"/>
      <c r="D14" s="330" t="s">
        <v>650</v>
      </c>
      <c r="E14" s="330"/>
      <c r="F14" s="330"/>
      <c r="G14" s="330"/>
      <c r="H14" s="183"/>
      <c r="I14" s="183"/>
      <c r="J14" s="183"/>
      <c r="K14" s="183"/>
      <c r="L14" s="183"/>
    </row>
    <row r="15" spans="1:12" ht="12.75" customHeight="1" x14ac:dyDescent="0.2">
      <c r="A15" s="192"/>
      <c r="D15" s="193"/>
      <c r="H15" s="183"/>
      <c r="I15" s="183"/>
      <c r="J15" s="183"/>
      <c r="K15" s="183"/>
      <c r="L15" s="183"/>
    </row>
    <row r="16" spans="1:12" ht="36" customHeight="1" x14ac:dyDescent="0.2">
      <c r="A16" s="328" t="s">
        <v>651</v>
      </c>
      <c r="B16" s="331"/>
      <c r="C16" s="331"/>
      <c r="D16" s="332" t="s">
        <v>652</v>
      </c>
      <c r="E16" s="332"/>
      <c r="F16" s="332"/>
      <c r="G16" s="332"/>
      <c r="H16" s="183"/>
      <c r="I16" s="195"/>
      <c r="J16" s="196"/>
      <c r="K16" s="183"/>
      <c r="L16" s="183"/>
    </row>
    <row r="17" spans="1:12" ht="25.5" x14ac:dyDescent="0.2">
      <c r="A17" s="197" t="s">
        <v>49</v>
      </c>
      <c r="B17" s="197" t="s">
        <v>278</v>
      </c>
      <c r="C17" s="197" t="s">
        <v>653</v>
      </c>
      <c r="D17" s="197" t="s">
        <v>654</v>
      </c>
      <c r="E17" s="197" t="s">
        <v>279</v>
      </c>
      <c r="F17" s="197" t="s">
        <v>46</v>
      </c>
      <c r="G17" s="198" t="s">
        <v>280</v>
      </c>
      <c r="H17" s="183"/>
      <c r="I17" s="195"/>
      <c r="J17" s="196"/>
      <c r="K17" s="183"/>
      <c r="L17" s="183"/>
    </row>
    <row r="18" spans="1:12" x14ac:dyDescent="0.2">
      <c r="A18" s="199">
        <v>1</v>
      </c>
      <c r="B18" s="200">
        <v>2</v>
      </c>
      <c r="C18" s="200">
        <v>3</v>
      </c>
      <c r="D18" s="200">
        <v>4</v>
      </c>
      <c r="E18" s="200">
        <v>5</v>
      </c>
      <c r="F18" s="200">
        <v>6</v>
      </c>
      <c r="G18" s="200">
        <v>7</v>
      </c>
      <c r="H18" s="183"/>
      <c r="I18" s="195"/>
      <c r="J18" s="196"/>
      <c r="K18" s="183"/>
      <c r="L18" s="183"/>
    </row>
    <row r="19" spans="1:12" ht="12.75" customHeight="1" x14ac:dyDescent="0.2">
      <c r="A19" s="201" t="s">
        <v>10</v>
      </c>
      <c r="B19" s="202" t="s">
        <v>78</v>
      </c>
      <c r="C19" s="202"/>
      <c r="D19" s="202"/>
      <c r="E19" s="202" t="s">
        <v>281</v>
      </c>
      <c r="F19" s="202"/>
      <c r="G19" s="203"/>
      <c r="H19" s="183"/>
      <c r="I19" s="195"/>
      <c r="J19" s="196"/>
      <c r="K19" s="183"/>
      <c r="L19" s="183"/>
    </row>
    <row r="20" spans="1:12" ht="38.25" x14ac:dyDescent="0.2">
      <c r="A20" s="204" t="s">
        <v>88</v>
      </c>
      <c r="B20" s="205" t="s">
        <v>655</v>
      </c>
      <c r="C20" s="206" t="s">
        <v>656</v>
      </c>
      <c r="D20" s="206">
        <v>8</v>
      </c>
      <c r="E20" s="207" t="s">
        <v>1331</v>
      </c>
      <c r="F20" s="207" t="s">
        <v>657</v>
      </c>
      <c r="G20" s="208">
        <f>ROUND(6426*D20*1.3*0.7,2)</f>
        <v>46781.279999999999</v>
      </c>
      <c r="H20" s="183"/>
      <c r="I20" s="195"/>
      <c r="J20" s="196"/>
      <c r="K20" s="183"/>
      <c r="L20" s="183"/>
    </row>
    <row r="21" spans="1:12" x14ac:dyDescent="0.2">
      <c r="A21" s="209"/>
      <c r="B21" s="191" t="s">
        <v>45</v>
      </c>
      <c r="C21" s="210"/>
      <c r="D21" s="210"/>
      <c r="E21" s="211"/>
      <c r="F21" s="211"/>
      <c r="G21" s="212"/>
      <c r="H21" s="183"/>
      <c r="I21" s="195"/>
      <c r="J21" s="196"/>
      <c r="K21" s="183"/>
      <c r="L21" s="183"/>
    </row>
    <row r="22" spans="1:12" ht="63.75" x14ac:dyDescent="0.2">
      <c r="A22" s="209"/>
      <c r="B22" s="190" t="s">
        <v>658</v>
      </c>
      <c r="C22" s="210"/>
      <c r="D22" s="210"/>
      <c r="E22" s="211" t="s">
        <v>659</v>
      </c>
      <c r="F22" s="211"/>
      <c r="G22" s="212"/>
      <c r="H22" s="183"/>
      <c r="I22" s="195"/>
      <c r="J22" s="196"/>
      <c r="K22" s="183"/>
      <c r="L22" s="183"/>
    </row>
    <row r="23" spans="1:12" ht="51" x14ac:dyDescent="0.2">
      <c r="A23" s="213"/>
      <c r="B23" s="214" t="s">
        <v>660</v>
      </c>
      <c r="C23" s="215"/>
      <c r="D23" s="215"/>
      <c r="E23" s="216" t="s">
        <v>661</v>
      </c>
      <c r="F23" s="217"/>
      <c r="G23" s="218"/>
      <c r="H23" s="183"/>
      <c r="I23" s="195"/>
      <c r="J23" s="196"/>
      <c r="K23" s="183"/>
      <c r="L23" s="183"/>
    </row>
    <row r="24" spans="1:12" ht="69.599999999999994" customHeight="1" x14ac:dyDescent="0.2">
      <c r="A24" s="209" t="s">
        <v>85</v>
      </c>
      <c r="B24" s="219" t="s">
        <v>662</v>
      </c>
      <c r="C24" s="220" t="s">
        <v>656</v>
      </c>
      <c r="D24" s="220">
        <f>D20</f>
        <v>8</v>
      </c>
      <c r="E24" s="221" t="s">
        <v>1332</v>
      </c>
      <c r="F24" s="222" t="s">
        <v>663</v>
      </c>
      <c r="G24" s="208">
        <f>ROUND(1897  * D24 * 0.4,2)</f>
        <v>6070.4</v>
      </c>
      <c r="H24" s="183"/>
      <c r="I24" s="195"/>
      <c r="J24" s="196"/>
      <c r="K24" s="183"/>
      <c r="L24" s="183"/>
    </row>
    <row r="25" spans="1:12" x14ac:dyDescent="0.2">
      <c r="A25" s="209"/>
      <c r="B25" s="219" t="s">
        <v>45</v>
      </c>
      <c r="C25" s="223"/>
      <c r="D25" s="220"/>
      <c r="E25" s="221"/>
      <c r="F25" s="222"/>
      <c r="G25" s="212"/>
      <c r="H25" s="183"/>
      <c r="I25" s="195"/>
      <c r="J25" s="196"/>
      <c r="K25" s="183"/>
      <c r="L25" s="183"/>
    </row>
    <row r="26" spans="1:12" ht="51" x14ac:dyDescent="0.2">
      <c r="A26" s="224" t="s">
        <v>39</v>
      </c>
      <c r="B26" s="225" t="s">
        <v>660</v>
      </c>
      <c r="C26" s="226"/>
      <c r="D26" s="227"/>
      <c r="E26" s="221" t="s">
        <v>664</v>
      </c>
      <c r="F26" s="228"/>
      <c r="G26" s="229"/>
      <c r="H26" s="183"/>
      <c r="I26" s="195"/>
      <c r="J26" s="196"/>
      <c r="K26" s="183"/>
      <c r="L26" s="183"/>
    </row>
    <row r="27" spans="1:12" ht="76.5" x14ac:dyDescent="0.2">
      <c r="A27" s="204" t="s">
        <v>83</v>
      </c>
      <c r="B27" s="230" t="s">
        <v>665</v>
      </c>
      <c r="C27" s="231" t="s">
        <v>666</v>
      </c>
      <c r="D27" s="232">
        <v>7.78</v>
      </c>
      <c r="E27" s="231" t="s">
        <v>667</v>
      </c>
      <c r="F27" s="231" t="s">
        <v>1333</v>
      </c>
      <c r="G27" s="233">
        <f>ROUND(5370  * D27,2)</f>
        <v>41778.6</v>
      </c>
      <c r="H27" s="183"/>
      <c r="I27" s="195"/>
      <c r="J27" s="196"/>
      <c r="K27" s="183"/>
      <c r="L27" s="183"/>
    </row>
    <row r="28" spans="1:12" ht="96.6" customHeight="1" x14ac:dyDescent="0.2">
      <c r="A28" s="234" t="s">
        <v>81</v>
      </c>
      <c r="B28" s="235" t="s">
        <v>1334</v>
      </c>
      <c r="C28" s="236" t="s">
        <v>669</v>
      </c>
      <c r="D28" s="236">
        <v>15</v>
      </c>
      <c r="E28" s="207" t="s">
        <v>670</v>
      </c>
      <c r="F28" s="237" t="s">
        <v>671</v>
      </c>
      <c r="G28" s="208">
        <f>ROUND(4824*D28*1.55*0.65*1.2,2)</f>
        <v>87483.24</v>
      </c>
      <c r="H28" s="183"/>
      <c r="I28" s="195"/>
      <c r="J28" s="196"/>
      <c r="K28" s="183"/>
      <c r="L28" s="183"/>
    </row>
    <row r="29" spans="1:12" x14ac:dyDescent="0.2">
      <c r="A29" s="238"/>
      <c r="B29" s="228" t="s">
        <v>45</v>
      </c>
      <c r="C29" s="210"/>
      <c r="D29" s="239"/>
      <c r="E29" s="211"/>
      <c r="F29" s="240"/>
      <c r="G29" s="241"/>
      <c r="H29" s="183"/>
      <c r="I29" s="195"/>
      <c r="J29" s="196"/>
      <c r="K29" s="183"/>
      <c r="L29" s="183"/>
    </row>
    <row r="30" spans="1:12" ht="89.25" x14ac:dyDescent="0.2">
      <c r="A30" s="209"/>
      <c r="B30" s="190" t="s">
        <v>672</v>
      </c>
      <c r="C30" s="210"/>
      <c r="D30" s="210"/>
      <c r="E30" s="211" t="s">
        <v>673</v>
      </c>
      <c r="F30" s="211"/>
      <c r="G30" s="212"/>
      <c r="H30" s="183"/>
      <c r="I30" s="195"/>
      <c r="J30" s="196"/>
      <c r="K30" s="183"/>
      <c r="L30" s="183"/>
    </row>
    <row r="31" spans="1:12" ht="63.75" x14ac:dyDescent="0.2">
      <c r="A31" s="209"/>
      <c r="B31" s="190" t="s">
        <v>674</v>
      </c>
      <c r="C31" s="210"/>
      <c r="D31" s="210"/>
      <c r="E31" s="211" t="s">
        <v>675</v>
      </c>
      <c r="F31" s="211"/>
      <c r="G31" s="212"/>
      <c r="H31" s="183"/>
      <c r="I31" s="195"/>
      <c r="J31" s="196"/>
      <c r="K31" s="183"/>
      <c r="L31" s="183"/>
    </row>
    <row r="32" spans="1:12" ht="38.25" x14ac:dyDescent="0.2">
      <c r="A32" s="213"/>
      <c r="B32" s="242" t="s">
        <v>1335</v>
      </c>
      <c r="C32" s="215"/>
      <c r="D32" s="215"/>
      <c r="E32" s="217" t="s">
        <v>676</v>
      </c>
      <c r="F32" s="217"/>
      <c r="G32" s="218"/>
      <c r="H32" s="183"/>
      <c r="I32" s="195"/>
      <c r="J32" s="196"/>
      <c r="K32" s="183"/>
      <c r="L32" s="183"/>
    </row>
    <row r="33" spans="1:12" ht="69.599999999999994" customHeight="1" x14ac:dyDescent="0.2">
      <c r="A33" s="209" t="s">
        <v>167</v>
      </c>
      <c r="B33" s="219" t="s">
        <v>677</v>
      </c>
      <c r="C33" s="220" t="s">
        <v>656</v>
      </c>
      <c r="D33" s="220">
        <f>D20</f>
        <v>8</v>
      </c>
      <c r="E33" s="221" t="s">
        <v>1336</v>
      </c>
      <c r="F33" s="222" t="s">
        <v>678</v>
      </c>
      <c r="G33" s="212">
        <f>ROUND(41  * D33,2)</f>
        <v>328</v>
      </c>
      <c r="H33" s="183"/>
      <c r="I33" s="195"/>
      <c r="J33" s="196"/>
      <c r="K33" s="183"/>
      <c r="L33" s="183"/>
    </row>
    <row r="34" spans="1:12" x14ac:dyDescent="0.2">
      <c r="A34" s="201" t="s">
        <v>166</v>
      </c>
      <c r="B34" s="202" t="s">
        <v>679</v>
      </c>
      <c r="C34" s="202"/>
      <c r="D34" s="243"/>
      <c r="E34" s="202"/>
      <c r="F34" s="202"/>
      <c r="G34" s="203">
        <f>G28+G20+G24+G33+G27</f>
        <v>182441.52000000002</v>
      </c>
      <c r="H34" s="183"/>
      <c r="I34" s="195"/>
      <c r="J34" s="196"/>
      <c r="K34" s="183"/>
      <c r="L34" s="183"/>
    </row>
    <row r="35" spans="1:12" ht="63.75" x14ac:dyDescent="0.2">
      <c r="A35" s="201" t="s">
        <v>337</v>
      </c>
      <c r="B35" s="202" t="s">
        <v>680</v>
      </c>
      <c r="C35" s="202"/>
      <c r="D35" s="243"/>
      <c r="E35" s="202" t="s">
        <v>681</v>
      </c>
      <c r="F35" s="244">
        <v>0.3</v>
      </c>
      <c r="G35" s="203">
        <f>G34*F35</f>
        <v>54732.456000000006</v>
      </c>
      <c r="H35" s="183"/>
      <c r="I35" s="195"/>
      <c r="J35" s="196"/>
      <c r="K35" s="183"/>
      <c r="L35" s="183"/>
    </row>
    <row r="36" spans="1:12" ht="25.5" x14ac:dyDescent="0.2">
      <c r="A36" s="201" t="s">
        <v>341</v>
      </c>
      <c r="B36" s="202" t="s">
        <v>682</v>
      </c>
      <c r="C36" s="202"/>
      <c r="D36" s="243"/>
      <c r="E36" s="202"/>
      <c r="F36" s="202" t="s">
        <v>683</v>
      </c>
      <c r="G36" s="203">
        <f>G34+G35</f>
        <v>237173.97600000002</v>
      </c>
      <c r="H36" s="183"/>
      <c r="I36" s="195"/>
      <c r="J36" s="196"/>
      <c r="K36" s="183"/>
      <c r="L36" s="183"/>
    </row>
    <row r="37" spans="1:12" x14ac:dyDescent="0.2">
      <c r="A37" s="204" t="s">
        <v>11</v>
      </c>
      <c r="B37" s="230" t="s">
        <v>78</v>
      </c>
      <c r="C37" s="230"/>
      <c r="D37" s="245"/>
      <c r="E37" s="230" t="s">
        <v>291</v>
      </c>
      <c r="F37" s="230"/>
      <c r="G37" s="246"/>
      <c r="H37" s="183"/>
      <c r="I37" s="195"/>
      <c r="J37" s="196"/>
      <c r="K37" s="183"/>
      <c r="L37" s="183"/>
    </row>
    <row r="38" spans="1:12" ht="38.25" x14ac:dyDescent="0.2">
      <c r="A38" s="247" t="s">
        <v>76</v>
      </c>
      <c r="B38" s="230" t="s">
        <v>655</v>
      </c>
      <c r="C38" s="248" t="s">
        <v>656</v>
      </c>
      <c r="D38" s="206">
        <f>D20</f>
        <v>8</v>
      </c>
      <c r="E38" s="249" t="s">
        <v>1337</v>
      </c>
      <c r="F38" s="207" t="s">
        <v>684</v>
      </c>
      <c r="G38" s="250">
        <f>ROUND(2538*D38*1.2*1.3,2)</f>
        <v>31674.240000000002</v>
      </c>
      <c r="H38" s="183"/>
      <c r="I38" s="195"/>
      <c r="J38" s="196"/>
      <c r="K38" s="183"/>
      <c r="L38" s="196"/>
    </row>
    <row r="39" spans="1:12" ht="12.75" customHeight="1" x14ac:dyDescent="0.2">
      <c r="A39" s="251"/>
      <c r="B39" s="219" t="s">
        <v>45</v>
      </c>
      <c r="C39" s="190"/>
      <c r="D39" s="210"/>
      <c r="E39" s="190"/>
      <c r="F39" s="211"/>
      <c r="G39" s="252"/>
      <c r="H39" s="183"/>
      <c r="I39" s="195"/>
      <c r="J39" s="196"/>
      <c r="K39" s="183"/>
      <c r="L39" s="183"/>
    </row>
    <row r="40" spans="1:12" ht="76.5" x14ac:dyDescent="0.2">
      <c r="A40" s="251"/>
      <c r="B40" s="211" t="s">
        <v>685</v>
      </c>
      <c r="C40" s="190"/>
      <c r="D40" s="210"/>
      <c r="E40" s="190" t="s">
        <v>686</v>
      </c>
      <c r="F40" s="211"/>
      <c r="G40" s="252"/>
      <c r="H40" s="183"/>
      <c r="I40" s="195"/>
      <c r="J40" s="196"/>
      <c r="K40" s="183"/>
      <c r="L40" s="183"/>
    </row>
    <row r="41" spans="1:12" ht="63.75" x14ac:dyDescent="0.2">
      <c r="A41" s="253"/>
      <c r="B41" s="217" t="s">
        <v>658</v>
      </c>
      <c r="C41" s="242"/>
      <c r="D41" s="215"/>
      <c r="E41" s="242" t="s">
        <v>687</v>
      </c>
      <c r="F41" s="217"/>
      <c r="G41" s="254"/>
      <c r="H41" s="183"/>
      <c r="I41" s="195"/>
      <c r="J41" s="196"/>
      <c r="K41" s="183"/>
      <c r="L41" s="183"/>
    </row>
    <row r="42" spans="1:12" ht="38.25" x14ac:dyDescent="0.2">
      <c r="A42" s="209" t="s">
        <v>75</v>
      </c>
      <c r="B42" s="219" t="s">
        <v>662</v>
      </c>
      <c r="C42" s="221" t="s">
        <v>656</v>
      </c>
      <c r="D42" s="223">
        <f>D24</f>
        <v>8</v>
      </c>
      <c r="E42" s="221" t="s">
        <v>1338</v>
      </c>
      <c r="F42" s="221" t="s">
        <v>688</v>
      </c>
      <c r="G42" s="255">
        <f>ROUND(428  * D42 * 1.2,2)</f>
        <v>4108.8</v>
      </c>
      <c r="H42" s="183"/>
      <c r="I42" s="195"/>
      <c r="J42" s="196"/>
      <c r="K42" s="183"/>
      <c r="L42" s="183"/>
    </row>
    <row r="43" spans="1:12" x14ac:dyDescent="0.2">
      <c r="A43" s="209"/>
      <c r="B43" s="228" t="s">
        <v>45</v>
      </c>
      <c r="C43" s="221"/>
      <c r="D43" s="223"/>
      <c r="E43" s="221"/>
      <c r="F43" s="221"/>
      <c r="G43" s="255"/>
      <c r="H43" s="183"/>
      <c r="I43" s="195"/>
      <c r="J43" s="196"/>
      <c r="K43" s="183"/>
      <c r="L43" s="183"/>
    </row>
    <row r="44" spans="1:12" ht="76.5" x14ac:dyDescent="0.2">
      <c r="A44" s="213"/>
      <c r="B44" s="217" t="s">
        <v>685</v>
      </c>
      <c r="C44" s="216"/>
      <c r="D44" s="256"/>
      <c r="E44" s="217" t="s">
        <v>686</v>
      </c>
      <c r="F44" s="216"/>
      <c r="G44" s="257"/>
      <c r="H44" s="183"/>
      <c r="I44" s="195"/>
      <c r="J44" s="196"/>
      <c r="K44" s="183"/>
      <c r="L44" s="183"/>
    </row>
    <row r="45" spans="1:12" ht="76.5" x14ac:dyDescent="0.2">
      <c r="A45" s="204" t="s">
        <v>73</v>
      </c>
      <c r="B45" s="230" t="str">
        <f>B27</f>
        <v>Съемка плана, профиля и элементов земляного полотна железных дорог на перегонах. Количество главных путей на общем земляном полотне: 2.  Категория сложности II</v>
      </c>
      <c r="C45" s="231" t="s">
        <v>666</v>
      </c>
      <c r="D45" s="232">
        <f>D27</f>
        <v>7.78</v>
      </c>
      <c r="E45" s="231" t="s">
        <v>689</v>
      </c>
      <c r="F45" s="231" t="s">
        <v>690</v>
      </c>
      <c r="G45" s="233">
        <f>ROUND(274  * D45 * 1.2,2)</f>
        <v>2558.06</v>
      </c>
      <c r="H45" s="183"/>
      <c r="I45" s="195"/>
      <c r="J45" s="196"/>
      <c r="K45" s="183"/>
      <c r="L45" s="183"/>
    </row>
    <row r="46" spans="1:12" x14ac:dyDescent="0.2">
      <c r="A46" s="209"/>
      <c r="B46" s="228" t="s">
        <v>45</v>
      </c>
      <c r="C46" s="221"/>
      <c r="D46" s="223"/>
      <c r="E46" s="221"/>
      <c r="F46" s="221"/>
      <c r="G46" s="255"/>
      <c r="H46" s="183"/>
      <c r="I46" s="195"/>
      <c r="J46" s="196"/>
      <c r="K46" s="183"/>
      <c r="L46" s="183"/>
    </row>
    <row r="47" spans="1:12" ht="76.5" x14ac:dyDescent="0.2">
      <c r="A47" s="213"/>
      <c r="B47" s="217" t="s">
        <v>685</v>
      </c>
      <c r="C47" s="216"/>
      <c r="D47" s="256"/>
      <c r="E47" s="217" t="s">
        <v>686</v>
      </c>
      <c r="F47" s="216"/>
      <c r="G47" s="257"/>
      <c r="H47" s="183"/>
      <c r="I47" s="195"/>
      <c r="J47" s="196"/>
      <c r="K47" s="183"/>
      <c r="L47" s="183"/>
    </row>
    <row r="48" spans="1:12" ht="76.5" x14ac:dyDescent="0.2">
      <c r="A48" s="204" t="s">
        <v>353</v>
      </c>
      <c r="B48" s="235" t="s">
        <v>691</v>
      </c>
      <c r="C48" s="206" t="s">
        <v>669</v>
      </c>
      <c r="D48" s="206">
        <f>D28</f>
        <v>15</v>
      </c>
      <c r="E48" s="207" t="s">
        <v>692</v>
      </c>
      <c r="F48" s="207" t="s">
        <v>693</v>
      </c>
      <c r="G48" s="208">
        <f>ROUND(1559*D48*1.55*1.2 * 1.1*0.65,2)</f>
        <v>31099.71</v>
      </c>
      <c r="H48" s="183"/>
      <c r="I48" s="195"/>
      <c r="J48" s="196"/>
      <c r="K48" s="183"/>
      <c r="L48" s="183"/>
    </row>
    <row r="49" spans="1:12" x14ac:dyDescent="0.2">
      <c r="A49" s="224" t="s">
        <v>39</v>
      </c>
      <c r="B49" s="228" t="s">
        <v>45</v>
      </c>
      <c r="C49" s="228"/>
      <c r="D49" s="227"/>
      <c r="E49" s="228"/>
      <c r="F49" s="226"/>
      <c r="G49" s="258"/>
      <c r="H49" s="183"/>
      <c r="I49" s="195"/>
      <c r="J49" s="196"/>
      <c r="K49" s="183"/>
      <c r="L49" s="183"/>
    </row>
    <row r="50" spans="1:12" ht="89.25" x14ac:dyDescent="0.2">
      <c r="A50" s="209" t="s">
        <v>39</v>
      </c>
      <c r="B50" s="211" t="s">
        <v>672</v>
      </c>
      <c r="C50" s="259"/>
      <c r="D50" s="210"/>
      <c r="E50" s="211" t="s">
        <v>694</v>
      </c>
      <c r="F50" s="260"/>
      <c r="G50" s="252"/>
      <c r="H50" s="183"/>
      <c r="I50" s="195"/>
      <c r="J50" s="196"/>
      <c r="K50" s="183"/>
      <c r="L50" s="183"/>
    </row>
    <row r="51" spans="1:12" ht="76.5" x14ac:dyDescent="0.2">
      <c r="A51" s="209"/>
      <c r="B51" s="260" t="s">
        <v>685</v>
      </c>
      <c r="C51" s="211"/>
      <c r="D51" s="210"/>
      <c r="E51" s="211" t="s">
        <v>695</v>
      </c>
      <c r="F51" s="260"/>
      <c r="G51" s="252"/>
      <c r="H51" s="183"/>
      <c r="I51" s="195"/>
      <c r="J51" s="196"/>
      <c r="K51" s="183"/>
      <c r="L51" s="183"/>
    </row>
    <row r="52" spans="1:12" ht="63.75" x14ac:dyDescent="0.2">
      <c r="A52" s="209"/>
      <c r="B52" s="260" t="s">
        <v>674</v>
      </c>
      <c r="C52" s="211"/>
      <c r="D52" s="210"/>
      <c r="E52" s="211" t="s">
        <v>696</v>
      </c>
      <c r="F52" s="260"/>
      <c r="G52" s="252"/>
      <c r="H52" s="183"/>
      <c r="I52" s="195"/>
      <c r="J52" s="196"/>
      <c r="K52" s="183"/>
      <c r="L52" s="183"/>
    </row>
    <row r="53" spans="1:12" ht="51" x14ac:dyDescent="0.2">
      <c r="A53" s="213"/>
      <c r="B53" s="261" t="s">
        <v>697</v>
      </c>
      <c r="C53" s="217"/>
      <c r="D53" s="215"/>
      <c r="E53" s="217" t="s">
        <v>698</v>
      </c>
      <c r="F53" s="261"/>
      <c r="G53" s="254"/>
      <c r="H53" s="183"/>
      <c r="I53" s="195"/>
      <c r="J53" s="196"/>
      <c r="K53" s="183"/>
      <c r="L53" s="183"/>
    </row>
    <row r="54" spans="1:12" ht="76.5" x14ac:dyDescent="0.2">
      <c r="A54" s="204" t="s">
        <v>357</v>
      </c>
      <c r="B54" s="230" t="s">
        <v>699</v>
      </c>
      <c r="C54" s="231" t="s">
        <v>700</v>
      </c>
      <c r="D54" s="232">
        <v>44</v>
      </c>
      <c r="E54" s="231" t="s">
        <v>1339</v>
      </c>
      <c r="F54" s="231" t="s">
        <v>701</v>
      </c>
      <c r="G54" s="233">
        <f>ROUND(109  * D54 * 1.2,2)</f>
        <v>5755.2</v>
      </c>
      <c r="H54" s="183"/>
      <c r="I54" s="195"/>
      <c r="J54" s="196"/>
      <c r="K54" s="183"/>
      <c r="L54" s="183"/>
    </row>
    <row r="55" spans="1:12" x14ac:dyDescent="0.2">
      <c r="A55" s="209"/>
      <c r="B55" s="228" t="s">
        <v>45</v>
      </c>
      <c r="C55" s="221"/>
      <c r="D55" s="223"/>
      <c r="E55" s="221"/>
      <c r="F55" s="221"/>
      <c r="G55" s="255"/>
      <c r="H55" s="183"/>
      <c r="I55" s="195"/>
      <c r="J55" s="196"/>
      <c r="K55" s="183"/>
      <c r="L55" s="183"/>
    </row>
    <row r="56" spans="1:12" ht="76.5" x14ac:dyDescent="0.2">
      <c r="A56" s="213"/>
      <c r="B56" s="217" t="s">
        <v>685</v>
      </c>
      <c r="C56" s="216"/>
      <c r="D56" s="256"/>
      <c r="E56" s="217" t="s">
        <v>686</v>
      </c>
      <c r="F56" s="216"/>
      <c r="G56" s="257"/>
      <c r="H56" s="183"/>
      <c r="I56" s="195"/>
      <c r="J56" s="196"/>
      <c r="K56" s="183"/>
      <c r="L56" s="183"/>
    </row>
    <row r="57" spans="1:12" ht="51" x14ac:dyDescent="0.2">
      <c r="A57" s="213" t="s">
        <v>361</v>
      </c>
      <c r="B57" s="99" t="s">
        <v>1340</v>
      </c>
      <c r="C57" s="100" t="s">
        <v>703</v>
      </c>
      <c r="D57" s="100">
        <v>10</v>
      </c>
      <c r="E57" s="217" t="s">
        <v>704</v>
      </c>
      <c r="F57" s="217" t="s">
        <v>705</v>
      </c>
      <c r="G57" s="218">
        <f>ROUND(480*D57,2)</f>
        <v>4800</v>
      </c>
      <c r="H57" s="183"/>
      <c r="I57" s="195"/>
      <c r="J57" s="196"/>
      <c r="K57" s="183"/>
      <c r="L57" s="183"/>
    </row>
    <row r="58" spans="1:12" ht="148.15" customHeight="1" x14ac:dyDescent="0.2">
      <c r="A58" s="204" t="s">
        <v>365</v>
      </c>
      <c r="B58" s="262" t="s">
        <v>706</v>
      </c>
      <c r="C58" s="230"/>
      <c r="D58" s="230"/>
      <c r="E58" s="231" t="s">
        <v>707</v>
      </c>
      <c r="F58" s="207" t="s">
        <v>708</v>
      </c>
      <c r="G58" s="233">
        <f>(G57+G27+G33+G45+G54)*4.3%*1.2</f>
        <v>2849.344775999999</v>
      </c>
      <c r="H58" s="263">
        <f>G57+G45+G33+G27+G54</f>
        <v>55219.859999999993</v>
      </c>
      <c r="I58" s="195"/>
      <c r="J58" s="196"/>
      <c r="K58" s="183"/>
      <c r="L58" s="183"/>
    </row>
    <row r="59" spans="1:12" ht="12.75" customHeight="1" x14ac:dyDescent="0.2">
      <c r="A59" s="209"/>
      <c r="B59" s="228" t="s">
        <v>45</v>
      </c>
      <c r="C59" s="211"/>
      <c r="D59" s="210"/>
      <c r="E59" s="211"/>
      <c r="F59" s="211"/>
      <c r="G59" s="212"/>
      <c r="H59" s="183"/>
      <c r="I59" s="195"/>
      <c r="J59" s="196"/>
      <c r="K59" s="183"/>
      <c r="L59" s="183"/>
    </row>
    <row r="60" spans="1:12" ht="76.5" x14ac:dyDescent="0.2">
      <c r="A60" s="213"/>
      <c r="B60" s="261" t="s">
        <v>685</v>
      </c>
      <c r="C60" s="217"/>
      <c r="D60" s="215"/>
      <c r="E60" s="217" t="s">
        <v>686</v>
      </c>
      <c r="F60" s="261"/>
      <c r="G60" s="254"/>
      <c r="H60" s="183"/>
      <c r="I60" s="195"/>
      <c r="J60" s="196"/>
      <c r="K60" s="183"/>
      <c r="L60" s="183"/>
    </row>
    <row r="61" spans="1:12" ht="140.25" x14ac:dyDescent="0.2">
      <c r="A61" s="204" t="s">
        <v>366</v>
      </c>
      <c r="B61" s="262" t="s">
        <v>709</v>
      </c>
      <c r="C61" s="230"/>
      <c r="D61" s="230"/>
      <c r="E61" s="207" t="s">
        <v>710</v>
      </c>
      <c r="F61" s="207" t="s">
        <v>711</v>
      </c>
      <c r="G61" s="233">
        <f>(G57+G27+G33+G45+G54)*10%*1.2</f>
        <v>6626.3831999999993</v>
      </c>
      <c r="H61" s="263"/>
      <c r="I61" s="195"/>
      <c r="J61" s="196"/>
      <c r="K61" s="183"/>
      <c r="L61" s="183"/>
    </row>
    <row r="62" spans="1:12" x14ac:dyDescent="0.2">
      <c r="A62" s="209"/>
      <c r="B62" s="228" t="s">
        <v>45</v>
      </c>
      <c r="C62" s="211"/>
      <c r="D62" s="210"/>
      <c r="E62" s="211"/>
      <c r="F62" s="211"/>
      <c r="G62" s="212"/>
      <c r="H62" s="263">
        <f>H61+G36</f>
        <v>237173.97600000002</v>
      </c>
      <c r="I62" s="195"/>
      <c r="J62" s="196"/>
      <c r="K62" s="183"/>
      <c r="L62" s="183"/>
    </row>
    <row r="63" spans="1:12" ht="76.5" x14ac:dyDescent="0.2">
      <c r="A63" s="213"/>
      <c r="B63" s="261" t="s">
        <v>685</v>
      </c>
      <c r="C63" s="217"/>
      <c r="D63" s="215"/>
      <c r="E63" s="217" t="s">
        <v>686</v>
      </c>
      <c r="F63" s="261"/>
      <c r="G63" s="254"/>
      <c r="H63" s="183"/>
      <c r="I63" s="195"/>
      <c r="J63" s="196"/>
      <c r="K63" s="183"/>
      <c r="L63" s="183"/>
    </row>
    <row r="64" spans="1:12" ht="12.75" customHeight="1" x14ac:dyDescent="0.2">
      <c r="A64" s="213" t="s">
        <v>445</v>
      </c>
      <c r="B64" s="264" t="s">
        <v>679</v>
      </c>
      <c r="C64" s="264"/>
      <c r="D64" s="264"/>
      <c r="E64" s="264"/>
      <c r="F64" s="264"/>
      <c r="G64" s="265">
        <f>G38+G42+G48+G57+G58+G61+G45+G54</f>
        <v>89471.737975999989</v>
      </c>
      <c r="H64" s="183"/>
      <c r="I64" s="195"/>
      <c r="J64" s="196"/>
      <c r="K64" s="183"/>
      <c r="L64" s="183"/>
    </row>
    <row r="65" spans="1:12" ht="25.5" x14ac:dyDescent="0.2">
      <c r="A65" s="201" t="s">
        <v>817</v>
      </c>
      <c r="B65" s="202" t="s">
        <v>682</v>
      </c>
      <c r="C65" s="202"/>
      <c r="D65" s="202"/>
      <c r="E65" s="202"/>
      <c r="F65" s="202" t="s">
        <v>1341</v>
      </c>
      <c r="G65" s="203">
        <f>ROUND(($G$64),2)</f>
        <v>89471.74</v>
      </c>
      <c r="H65" s="183"/>
      <c r="I65" s="195"/>
      <c r="J65" s="196"/>
      <c r="K65" s="183"/>
      <c r="L65" s="183"/>
    </row>
    <row r="66" spans="1:12" ht="18" customHeight="1" x14ac:dyDescent="0.2">
      <c r="A66" s="201" t="s">
        <v>13</v>
      </c>
      <c r="B66" s="202" t="s">
        <v>78</v>
      </c>
      <c r="C66" s="202"/>
      <c r="D66" s="243"/>
      <c r="E66" s="202" t="s">
        <v>299</v>
      </c>
      <c r="F66" s="202"/>
      <c r="G66" s="203"/>
      <c r="H66" s="183"/>
      <c r="I66" s="195"/>
      <c r="J66" s="196"/>
      <c r="K66" s="183"/>
      <c r="L66" s="183"/>
    </row>
    <row r="67" spans="1:12" ht="96" customHeight="1" x14ac:dyDescent="0.2">
      <c r="A67" s="201" t="s">
        <v>292</v>
      </c>
      <c r="B67" s="266" t="s">
        <v>712</v>
      </c>
      <c r="C67" s="266"/>
      <c r="D67" s="266"/>
      <c r="E67" s="266" t="s">
        <v>713</v>
      </c>
      <c r="F67" s="266" t="s">
        <v>714</v>
      </c>
      <c r="G67" s="267">
        <f>G36*18.75%</f>
        <v>44470.120500000005</v>
      </c>
      <c r="H67" s="263">
        <f>G36</f>
        <v>237173.97600000002</v>
      </c>
      <c r="I67" s="268"/>
      <c r="J67" s="196"/>
      <c r="K67" s="183"/>
      <c r="L67" s="183"/>
    </row>
    <row r="68" spans="1:12" ht="102" customHeight="1" x14ac:dyDescent="0.2">
      <c r="A68" s="201" t="s">
        <v>293</v>
      </c>
      <c r="B68" s="266" t="s">
        <v>715</v>
      </c>
      <c r="C68" s="266"/>
      <c r="D68" s="266"/>
      <c r="E68" s="266" t="s">
        <v>716</v>
      </c>
      <c r="F68" s="266" t="s">
        <v>717</v>
      </c>
      <c r="G68" s="267">
        <f>ROUND(($G$36+$G$67)*30.8/100*1,2)</f>
        <v>86746.38</v>
      </c>
      <c r="H68" s="183"/>
      <c r="I68" s="195"/>
      <c r="J68" s="196"/>
      <c r="K68" s="183"/>
      <c r="L68" s="183"/>
    </row>
    <row r="69" spans="1:12" ht="49.15" customHeight="1" x14ac:dyDescent="0.2">
      <c r="A69" s="201" t="s">
        <v>294</v>
      </c>
      <c r="B69" s="266" t="s">
        <v>309</v>
      </c>
      <c r="C69" s="266"/>
      <c r="D69" s="266"/>
      <c r="E69" s="266" t="s">
        <v>718</v>
      </c>
      <c r="F69" s="266" t="s">
        <v>719</v>
      </c>
      <c r="G69" s="267">
        <f>ROUND(($G$36+$G$67)*6/100*1,2)</f>
        <v>16898.650000000001</v>
      </c>
      <c r="H69" s="183"/>
      <c r="I69" s="195"/>
      <c r="J69" s="196"/>
      <c r="K69" s="183"/>
      <c r="L69" s="183"/>
    </row>
    <row r="70" spans="1:12" ht="26.45" customHeight="1" x14ac:dyDescent="0.2">
      <c r="A70" s="201" t="s">
        <v>296</v>
      </c>
      <c r="B70" s="266" t="s">
        <v>720</v>
      </c>
      <c r="C70" s="266"/>
      <c r="D70" s="266"/>
      <c r="E70" s="266"/>
      <c r="F70" s="266" t="s">
        <v>721</v>
      </c>
      <c r="G70" s="267">
        <f>ROUND((SUM($G$67:$G$69)),2)</f>
        <v>148115.15</v>
      </c>
      <c r="H70" s="183"/>
      <c r="I70" s="195"/>
      <c r="J70" s="196"/>
      <c r="K70" s="183"/>
      <c r="L70" s="183"/>
    </row>
    <row r="71" spans="1:12" ht="28.15" customHeight="1" x14ac:dyDescent="0.2">
      <c r="A71" s="201" t="s">
        <v>15</v>
      </c>
      <c r="B71" s="266" t="s">
        <v>722</v>
      </c>
      <c r="C71" s="266"/>
      <c r="D71" s="266"/>
      <c r="E71" s="266"/>
      <c r="F71" s="266" t="s">
        <v>723</v>
      </c>
      <c r="G71" s="267">
        <f>G70+G65+G36</f>
        <v>474760.86600000004</v>
      </c>
      <c r="H71" s="183"/>
      <c r="I71" s="195"/>
      <c r="J71" s="196"/>
      <c r="K71" s="183"/>
      <c r="L71" s="183"/>
    </row>
    <row r="72" spans="1:12" ht="52.9" customHeight="1" x14ac:dyDescent="0.2">
      <c r="A72" s="201" t="s">
        <v>17</v>
      </c>
      <c r="B72" s="101" t="s">
        <v>1068</v>
      </c>
      <c r="C72" s="266"/>
      <c r="D72" s="266"/>
      <c r="E72" s="101" t="s">
        <v>1066</v>
      </c>
      <c r="F72" s="101" t="s">
        <v>1067</v>
      </c>
      <c r="G72" s="267">
        <f>G71*5.96</f>
        <v>2829574.7613600004</v>
      </c>
      <c r="H72" s="183"/>
      <c r="I72" s="195"/>
      <c r="J72" s="196"/>
      <c r="K72" s="183"/>
      <c r="L72" s="183"/>
    </row>
    <row r="73" spans="1:12" x14ac:dyDescent="0.2">
      <c r="A73" s="201" t="s">
        <v>19</v>
      </c>
      <c r="B73" s="202" t="s">
        <v>42</v>
      </c>
      <c r="C73" s="202"/>
      <c r="D73" s="202"/>
      <c r="E73" s="202"/>
      <c r="F73" s="202" t="s">
        <v>724</v>
      </c>
      <c r="G73" s="203">
        <f>G72</f>
        <v>2829574.7613600004</v>
      </c>
      <c r="H73" s="183"/>
      <c r="I73" s="195"/>
      <c r="J73" s="196"/>
      <c r="K73" s="183"/>
      <c r="L73" s="196"/>
    </row>
    <row r="74" spans="1:12" ht="12.75" customHeight="1" x14ac:dyDescent="0.2">
      <c r="A74" s="187"/>
      <c r="B74" s="187"/>
      <c r="C74" s="187"/>
      <c r="D74" s="187"/>
      <c r="E74" s="187"/>
      <c r="F74" s="187"/>
      <c r="G74" s="188"/>
      <c r="H74" s="183"/>
      <c r="I74" s="195"/>
      <c r="J74" s="196"/>
      <c r="K74" s="183"/>
      <c r="L74" s="183"/>
    </row>
    <row r="75" spans="1:12" s="103" customFormat="1" ht="28.15" customHeight="1" x14ac:dyDescent="0.2">
      <c r="A75" s="333" t="s">
        <v>725</v>
      </c>
      <c r="B75" s="333"/>
      <c r="C75" s="334"/>
      <c r="D75" s="333"/>
      <c r="E75" s="333"/>
      <c r="F75" s="333"/>
      <c r="G75" s="333"/>
    </row>
    <row r="76" spans="1:12" s="103" customFormat="1" ht="31.15" customHeight="1" x14ac:dyDescent="0.2">
      <c r="A76" s="333"/>
      <c r="B76" s="333"/>
      <c r="C76" s="334"/>
      <c r="D76" s="333"/>
      <c r="E76" s="333"/>
      <c r="F76" s="333"/>
      <c r="G76" s="333"/>
    </row>
    <row r="77" spans="1:12" ht="12.75" customHeight="1" x14ac:dyDescent="0.2">
      <c r="A77" s="335"/>
      <c r="B77" s="327"/>
      <c r="C77" s="336"/>
      <c r="D77" s="327"/>
      <c r="E77" s="327"/>
      <c r="F77" s="327"/>
      <c r="G77" s="327"/>
      <c r="H77" s="183"/>
      <c r="I77" s="195"/>
      <c r="J77" s="196"/>
      <c r="K77" s="183"/>
      <c r="L77" s="183"/>
    </row>
    <row r="78" spans="1:12" ht="12.75" customHeight="1" x14ac:dyDescent="0.2">
      <c r="A78" s="269"/>
      <c r="B78" s="269"/>
      <c r="C78" s="269"/>
      <c r="D78" s="269"/>
      <c r="E78" s="269"/>
      <c r="F78" s="269"/>
      <c r="H78" s="183"/>
      <c r="I78" s="195"/>
      <c r="J78" s="196"/>
      <c r="K78" s="183"/>
      <c r="L78" s="183"/>
    </row>
    <row r="79" spans="1:12" ht="12.75" customHeight="1" x14ac:dyDescent="0.2">
      <c r="A79" s="269"/>
      <c r="B79" s="269"/>
      <c r="C79" s="269"/>
      <c r="D79" s="269"/>
      <c r="E79" s="269"/>
      <c r="F79" s="269"/>
      <c r="G79" s="270"/>
      <c r="H79" s="183"/>
      <c r="I79" s="195"/>
      <c r="J79" s="196"/>
      <c r="K79" s="183"/>
      <c r="L79" s="183"/>
    </row>
    <row r="80" spans="1:12" ht="12.75" customHeight="1" x14ac:dyDescent="0.2">
      <c r="A80" s="326"/>
      <c r="B80" s="327"/>
      <c r="C80" s="327"/>
      <c r="D80" s="327"/>
      <c r="E80" s="327"/>
      <c r="F80" s="327"/>
      <c r="G80" s="327"/>
      <c r="H80" s="183"/>
      <c r="I80" s="195"/>
      <c r="J80" s="196"/>
      <c r="K80" s="183"/>
      <c r="L80" s="183"/>
    </row>
    <row r="81" spans="1:12" ht="12.75" customHeight="1" x14ac:dyDescent="0.2">
      <c r="A81" s="326"/>
      <c r="B81" s="327"/>
      <c r="C81" s="327"/>
      <c r="D81" s="327"/>
      <c r="E81" s="327"/>
      <c r="F81" s="327"/>
      <c r="G81" s="327"/>
      <c r="H81" s="183"/>
      <c r="I81" s="195"/>
      <c r="J81" s="196"/>
      <c r="K81" s="183"/>
      <c r="L81" s="183"/>
    </row>
    <row r="82" spans="1:12" ht="12.75" customHeight="1" x14ac:dyDescent="0.2">
      <c r="A82" s="326"/>
      <c r="B82" s="327"/>
      <c r="C82" s="327"/>
      <c r="D82" s="327"/>
      <c r="E82" s="327"/>
      <c r="F82" s="327"/>
      <c r="G82" s="327"/>
      <c r="H82" s="183"/>
      <c r="I82" s="196"/>
      <c r="J82" s="196"/>
      <c r="K82" s="183"/>
      <c r="L82" s="183"/>
    </row>
    <row r="83" spans="1:12" ht="39.75" customHeight="1" x14ac:dyDescent="0.2">
      <c r="A83" s="326"/>
      <c r="B83" s="327"/>
      <c r="C83" s="327"/>
      <c r="D83" s="327"/>
      <c r="E83" s="327"/>
      <c r="F83" s="327"/>
      <c r="G83" s="327"/>
      <c r="H83" s="183"/>
      <c r="I83" s="196"/>
      <c r="J83" s="196"/>
      <c r="K83" s="183"/>
      <c r="L83" s="183"/>
    </row>
    <row r="84" spans="1:12" ht="30" customHeight="1" x14ac:dyDescent="0.2">
      <c r="A84" s="326"/>
      <c r="B84" s="327"/>
      <c r="C84" s="327"/>
      <c r="D84" s="327"/>
      <c r="E84" s="327"/>
      <c r="F84" s="327"/>
      <c r="G84" s="327"/>
      <c r="H84" s="183"/>
      <c r="I84" s="196"/>
      <c r="J84" s="196"/>
      <c r="K84" s="183"/>
      <c r="L84" s="183"/>
    </row>
    <row r="85" spans="1:12" ht="25.5" customHeight="1" x14ac:dyDescent="0.2">
      <c r="A85" s="326"/>
      <c r="B85" s="327"/>
      <c r="C85" s="327"/>
      <c r="D85" s="327"/>
      <c r="E85" s="327"/>
      <c r="F85" s="327"/>
      <c r="G85" s="327"/>
      <c r="H85" s="183"/>
      <c r="I85" s="196"/>
      <c r="J85" s="196"/>
      <c r="K85" s="183"/>
      <c r="L85" s="183"/>
    </row>
    <row r="86" spans="1:12" ht="38.25" customHeight="1" x14ac:dyDescent="0.2">
      <c r="A86" s="326"/>
      <c r="B86" s="327"/>
      <c r="C86" s="327"/>
      <c r="D86" s="327"/>
      <c r="E86" s="327"/>
      <c r="F86" s="327"/>
      <c r="G86" s="327"/>
      <c r="H86" s="183"/>
      <c r="I86" s="196"/>
      <c r="J86" s="196"/>
      <c r="K86" s="183"/>
      <c r="L86" s="183"/>
    </row>
    <row r="87" spans="1:12" ht="12.75" customHeight="1" x14ac:dyDescent="0.2">
      <c r="A87" s="326"/>
      <c r="B87" s="327"/>
      <c r="C87" s="327"/>
      <c r="D87" s="327"/>
      <c r="E87" s="327"/>
      <c r="F87" s="327"/>
      <c r="G87" s="327"/>
      <c r="H87" s="183"/>
      <c r="I87" s="183"/>
      <c r="J87" s="183"/>
      <c r="K87" s="183"/>
      <c r="L87" s="183"/>
    </row>
    <row r="88" spans="1:12" ht="12.75" customHeight="1" x14ac:dyDescent="0.2">
      <c r="A88" s="326"/>
      <c r="B88" s="327"/>
      <c r="C88" s="327"/>
      <c r="D88" s="327"/>
      <c r="E88" s="327"/>
      <c r="F88" s="327"/>
      <c r="G88" s="327"/>
      <c r="H88" s="183"/>
      <c r="I88" s="183"/>
      <c r="J88" s="183"/>
      <c r="K88" s="183"/>
      <c r="L88" s="183"/>
    </row>
    <row r="89" spans="1:12" ht="12.75" customHeight="1" x14ac:dyDescent="0.2">
      <c r="A89" s="326"/>
      <c r="B89" s="327"/>
      <c r="C89" s="327"/>
      <c r="D89" s="327"/>
      <c r="E89" s="327"/>
      <c r="F89" s="327"/>
      <c r="G89" s="327"/>
      <c r="H89" s="183"/>
      <c r="I89" s="183"/>
      <c r="J89" s="183"/>
      <c r="K89" s="183"/>
      <c r="L89" s="183"/>
    </row>
    <row r="90" spans="1:12" ht="12.75" customHeight="1" x14ac:dyDescent="0.2">
      <c r="A90" s="326"/>
      <c r="B90" s="327"/>
      <c r="C90" s="327"/>
      <c r="D90" s="327"/>
      <c r="E90" s="327"/>
      <c r="F90" s="327"/>
      <c r="G90" s="327"/>
      <c r="H90" s="183"/>
      <c r="I90" s="183"/>
      <c r="J90" s="183"/>
      <c r="K90" s="183"/>
      <c r="L90" s="183"/>
    </row>
    <row r="91" spans="1:12" ht="24.75" customHeight="1" x14ac:dyDescent="0.2">
      <c r="A91" s="326"/>
      <c r="B91" s="327"/>
      <c r="C91" s="327"/>
      <c r="D91" s="327"/>
      <c r="E91" s="327"/>
      <c r="F91" s="327"/>
      <c r="G91" s="327"/>
      <c r="H91" s="271"/>
      <c r="I91" s="271"/>
      <c r="J91" s="271"/>
      <c r="K91" s="271"/>
      <c r="L91" s="271"/>
    </row>
    <row r="92" spans="1:12" ht="12.75" customHeight="1" x14ac:dyDescent="0.2">
      <c r="A92" s="269"/>
      <c r="B92" s="269"/>
      <c r="C92" s="269"/>
      <c r="D92" s="269"/>
      <c r="E92" s="269"/>
      <c r="F92" s="269"/>
      <c r="G92" s="270"/>
      <c r="H92" s="183"/>
      <c r="I92" s="183"/>
      <c r="J92" s="183"/>
      <c r="K92" s="183"/>
      <c r="L92" s="183"/>
    </row>
    <row r="93" spans="1:12" ht="12.75" customHeight="1" x14ac:dyDescent="0.2">
      <c r="A93" s="269"/>
      <c r="B93" s="269"/>
      <c r="C93" s="269"/>
      <c r="D93" s="269"/>
      <c r="E93" s="269"/>
      <c r="F93" s="269"/>
      <c r="G93" s="270"/>
      <c r="H93" s="183"/>
      <c r="I93" s="183"/>
      <c r="J93" s="183"/>
      <c r="K93" s="183"/>
      <c r="L93" s="183"/>
    </row>
    <row r="94" spans="1:12" ht="12.75" customHeight="1" x14ac:dyDescent="0.2">
      <c r="A94" s="187"/>
      <c r="B94" s="187"/>
      <c r="C94" s="187"/>
      <c r="D94" s="187"/>
      <c r="E94" s="187"/>
      <c r="F94" s="187"/>
      <c r="G94" s="188"/>
      <c r="H94" s="183"/>
      <c r="I94" s="183"/>
      <c r="J94" s="183"/>
      <c r="K94" s="183"/>
      <c r="L94" s="183"/>
    </row>
    <row r="95" spans="1:12" ht="12.75" customHeight="1" x14ac:dyDescent="0.2">
      <c r="A95" s="187"/>
      <c r="B95" s="187"/>
      <c r="C95" s="187"/>
      <c r="D95" s="187"/>
      <c r="E95" s="187"/>
      <c r="F95" s="187"/>
      <c r="G95" s="188"/>
      <c r="H95" s="187"/>
      <c r="I95" s="187"/>
      <c r="J95" s="187"/>
      <c r="K95" s="187"/>
      <c r="L95" s="187"/>
    </row>
    <row r="96" spans="1:12" ht="12.75" customHeight="1" x14ac:dyDescent="0.2">
      <c r="A96" s="187"/>
      <c r="B96" s="187"/>
      <c r="C96" s="187"/>
      <c r="D96" s="187"/>
      <c r="E96" s="187"/>
      <c r="F96" s="187"/>
      <c r="G96" s="188"/>
      <c r="H96" s="187"/>
      <c r="I96" s="187"/>
      <c r="J96" s="187"/>
      <c r="K96" s="187"/>
      <c r="L96" s="187"/>
    </row>
    <row r="97" spans="1:12" ht="12.75" customHeight="1" x14ac:dyDescent="0.2">
      <c r="A97" s="187"/>
      <c r="B97" s="187"/>
      <c r="C97" s="187"/>
      <c r="D97" s="187"/>
      <c r="E97" s="187"/>
      <c r="F97" s="187"/>
      <c r="G97" s="188"/>
      <c r="H97" s="183"/>
      <c r="I97" s="183"/>
      <c r="J97" s="183"/>
      <c r="K97" s="183"/>
      <c r="L97" s="183"/>
    </row>
    <row r="98" spans="1:12" ht="12.75" customHeight="1" x14ac:dyDescent="0.2">
      <c r="A98" s="187"/>
      <c r="B98" s="187"/>
      <c r="C98" s="187"/>
      <c r="D98" s="187"/>
      <c r="E98" s="187"/>
      <c r="F98" s="187"/>
      <c r="G98" s="188"/>
      <c r="H98" s="187"/>
      <c r="I98" s="187"/>
      <c r="J98" s="187"/>
      <c r="K98" s="187"/>
      <c r="L98" s="187"/>
    </row>
    <row r="99" spans="1:12" ht="12.75" customHeight="1" x14ac:dyDescent="0.2">
      <c r="A99" s="187"/>
      <c r="B99" s="187"/>
      <c r="C99" s="187"/>
      <c r="D99" s="187"/>
      <c r="E99" s="187"/>
      <c r="F99" s="187"/>
      <c r="G99" s="188"/>
      <c r="H99" s="187"/>
      <c r="I99" s="187"/>
      <c r="J99" s="187"/>
      <c r="K99" s="187"/>
      <c r="L99" s="187"/>
    </row>
    <row r="100" spans="1:12" ht="12.75" customHeight="1" x14ac:dyDescent="0.2">
      <c r="A100" s="187"/>
      <c r="B100" s="187"/>
      <c r="C100" s="187"/>
      <c r="D100" s="187"/>
      <c r="E100" s="187"/>
      <c r="F100" s="187"/>
      <c r="G100" s="188"/>
      <c r="H100" s="183"/>
      <c r="I100" s="183"/>
      <c r="J100" s="183"/>
      <c r="K100" s="183"/>
      <c r="L100" s="183"/>
    </row>
    <row r="101" spans="1:12" ht="12.75" customHeight="1" x14ac:dyDescent="0.2">
      <c r="A101" s="187"/>
      <c r="B101" s="187"/>
      <c r="C101" s="187"/>
      <c r="D101" s="187"/>
      <c r="E101" s="187"/>
      <c r="F101" s="187"/>
      <c r="G101" s="188"/>
      <c r="H101" s="187"/>
      <c r="I101" s="187"/>
      <c r="J101" s="187"/>
      <c r="K101" s="187"/>
      <c r="L101" s="187"/>
    </row>
    <row r="102" spans="1:12" ht="12.75" customHeight="1" x14ac:dyDescent="0.2">
      <c r="A102" s="187"/>
      <c r="B102" s="187"/>
      <c r="C102" s="187"/>
      <c r="D102" s="187"/>
      <c r="E102" s="187"/>
      <c r="F102" s="187"/>
      <c r="G102" s="188"/>
      <c r="H102" s="187"/>
      <c r="I102" s="187"/>
      <c r="J102" s="187"/>
      <c r="K102" s="187"/>
      <c r="L102" s="187"/>
    </row>
    <row r="103" spans="1:12" ht="12.75" customHeight="1" x14ac:dyDescent="0.2">
      <c r="A103" s="187"/>
      <c r="B103" s="187"/>
      <c r="C103" s="187"/>
      <c r="D103" s="187"/>
      <c r="E103" s="187"/>
      <c r="F103" s="187"/>
      <c r="G103" s="188"/>
      <c r="H103" s="183"/>
      <c r="I103" s="183"/>
      <c r="J103" s="183"/>
      <c r="K103" s="183"/>
      <c r="L103" s="183"/>
    </row>
    <row r="104" spans="1:12" ht="12.75" customHeight="1" x14ac:dyDescent="0.2">
      <c r="A104" s="187"/>
      <c r="B104" s="187"/>
      <c r="C104" s="187"/>
      <c r="D104" s="187"/>
      <c r="E104" s="187"/>
      <c r="F104" s="187"/>
      <c r="G104" s="188"/>
      <c r="H104" s="187"/>
      <c r="I104" s="187"/>
      <c r="J104" s="187"/>
      <c r="K104" s="187"/>
      <c r="L104" s="187"/>
    </row>
    <row r="105" spans="1:12" ht="12.75" customHeight="1" x14ac:dyDescent="0.2">
      <c r="A105" s="187"/>
      <c r="B105" s="187"/>
      <c r="C105" s="187"/>
      <c r="D105" s="187"/>
      <c r="E105" s="187"/>
      <c r="F105" s="187"/>
      <c r="G105" s="188"/>
      <c r="H105" s="187"/>
      <c r="I105" s="187"/>
      <c r="J105" s="187"/>
      <c r="K105" s="187"/>
      <c r="L105" s="187"/>
    </row>
    <row r="106" spans="1:12" ht="12.75" customHeight="1" x14ac:dyDescent="0.2">
      <c r="A106" s="187"/>
      <c r="B106" s="187"/>
      <c r="C106" s="187"/>
      <c r="D106" s="187"/>
      <c r="E106" s="187"/>
      <c r="F106" s="187"/>
      <c r="G106" s="188"/>
      <c r="H106" s="183"/>
      <c r="I106" s="183"/>
      <c r="J106" s="183"/>
      <c r="K106" s="183"/>
      <c r="L106" s="183"/>
    </row>
    <row r="107" spans="1:12" ht="12.75" customHeight="1" x14ac:dyDescent="0.2">
      <c r="A107" s="187"/>
      <c r="B107" s="187"/>
      <c r="C107" s="187"/>
      <c r="D107" s="187"/>
      <c r="E107" s="187"/>
      <c r="F107" s="187"/>
      <c r="G107" s="188"/>
      <c r="H107" s="183"/>
      <c r="I107" s="183"/>
      <c r="J107" s="183"/>
      <c r="K107" s="183"/>
      <c r="L107" s="183"/>
    </row>
    <row r="108" spans="1:12" ht="12.75" customHeight="1" x14ac:dyDescent="0.2">
      <c r="A108" s="187"/>
      <c r="B108" s="187"/>
      <c r="C108" s="187"/>
      <c r="D108" s="187"/>
      <c r="E108" s="187"/>
      <c r="F108" s="187"/>
      <c r="G108" s="188"/>
      <c r="H108" s="183"/>
      <c r="I108" s="183"/>
      <c r="J108" s="183"/>
      <c r="K108" s="183"/>
      <c r="L108" s="183"/>
    </row>
    <row r="109" spans="1:12" ht="12.75" customHeight="1" x14ac:dyDescent="0.2">
      <c r="A109" s="187"/>
      <c r="B109" s="187"/>
      <c r="C109" s="187"/>
      <c r="D109" s="187"/>
      <c r="E109" s="187"/>
      <c r="F109" s="187"/>
      <c r="G109" s="188"/>
      <c r="H109" s="183"/>
      <c r="I109" s="183"/>
      <c r="J109" s="183"/>
      <c r="K109" s="183"/>
      <c r="L109" s="183"/>
    </row>
    <row r="110" spans="1:12" ht="12.75" customHeight="1" x14ac:dyDescent="0.2">
      <c r="A110" s="187"/>
      <c r="B110" s="187"/>
      <c r="C110" s="187"/>
      <c r="D110" s="187"/>
      <c r="E110" s="187"/>
      <c r="F110" s="187"/>
      <c r="G110" s="188"/>
      <c r="H110" s="183"/>
      <c r="I110" s="183"/>
      <c r="J110" s="183"/>
      <c r="K110" s="183"/>
      <c r="L110" s="183"/>
    </row>
    <row r="111" spans="1:12" ht="12.75" customHeight="1" x14ac:dyDescent="0.2">
      <c r="A111" s="187"/>
      <c r="B111" s="187"/>
      <c r="C111" s="187"/>
      <c r="D111" s="187"/>
      <c r="E111" s="187"/>
      <c r="F111" s="187"/>
      <c r="G111" s="188"/>
      <c r="H111" s="183"/>
      <c r="I111" s="183"/>
      <c r="J111" s="183"/>
      <c r="K111" s="183"/>
      <c r="L111" s="183"/>
    </row>
    <row r="112" spans="1:12" ht="12.75" customHeight="1" x14ac:dyDescent="0.2">
      <c r="A112" s="187"/>
      <c r="B112" s="187"/>
      <c r="C112" s="187"/>
      <c r="D112" s="187"/>
      <c r="E112" s="187"/>
      <c r="F112" s="187"/>
      <c r="G112" s="188"/>
      <c r="H112" s="183"/>
      <c r="I112" s="183"/>
      <c r="J112" s="183"/>
      <c r="K112" s="183"/>
      <c r="L112" s="183"/>
    </row>
    <row r="113" spans="1:12" ht="12.75" customHeight="1" x14ac:dyDescent="0.2">
      <c r="A113" s="187"/>
      <c r="B113" s="187"/>
      <c r="C113" s="187"/>
      <c r="D113" s="187"/>
      <c r="E113" s="187"/>
      <c r="F113" s="187"/>
      <c r="G113" s="188"/>
      <c r="H113" s="183"/>
      <c r="I113" s="183"/>
      <c r="J113" s="183"/>
      <c r="K113" s="183"/>
      <c r="L113" s="183"/>
    </row>
    <row r="114" spans="1:12" ht="12.75" customHeight="1" x14ac:dyDescent="0.2">
      <c r="A114" s="187"/>
      <c r="B114" s="187"/>
      <c r="C114" s="187"/>
      <c r="D114" s="187"/>
      <c r="E114" s="187"/>
      <c r="F114" s="187"/>
      <c r="G114" s="188"/>
      <c r="H114" s="183"/>
      <c r="I114" s="183"/>
      <c r="J114" s="183"/>
      <c r="K114" s="183"/>
      <c r="L114" s="183"/>
    </row>
    <row r="115" spans="1:12" ht="12.75" customHeight="1" x14ac:dyDescent="0.2">
      <c r="A115" s="187"/>
      <c r="B115" s="187"/>
      <c r="C115" s="187"/>
      <c r="D115" s="187"/>
      <c r="E115" s="187"/>
      <c r="F115" s="187"/>
      <c r="G115" s="188"/>
      <c r="H115" s="183"/>
      <c r="I115" s="183"/>
      <c r="J115" s="183"/>
      <c r="K115" s="183"/>
      <c r="L115" s="183"/>
    </row>
    <row r="116" spans="1:12" ht="12.75" customHeight="1" x14ac:dyDescent="0.2">
      <c r="A116" s="187"/>
      <c r="B116" s="187"/>
      <c r="C116" s="187"/>
      <c r="D116" s="187"/>
      <c r="E116" s="187"/>
      <c r="F116" s="187"/>
      <c r="G116" s="188"/>
      <c r="H116" s="183"/>
      <c r="I116" s="183"/>
      <c r="J116" s="183"/>
      <c r="K116" s="183"/>
      <c r="L116" s="183"/>
    </row>
    <row r="117" spans="1:12" ht="12.75" customHeight="1" x14ac:dyDescent="0.2">
      <c r="A117" s="187"/>
      <c r="B117" s="187"/>
      <c r="C117" s="187"/>
      <c r="D117" s="187"/>
      <c r="E117" s="187"/>
      <c r="F117" s="187"/>
      <c r="G117" s="188"/>
      <c r="H117" s="183"/>
      <c r="I117" s="183"/>
      <c r="J117" s="183"/>
      <c r="K117" s="183"/>
      <c r="L117" s="183"/>
    </row>
    <row r="118" spans="1:12" ht="12.75" customHeight="1" x14ac:dyDescent="0.2">
      <c r="A118" s="187"/>
      <c r="B118" s="187"/>
      <c r="C118" s="187"/>
      <c r="D118" s="187"/>
      <c r="E118" s="187"/>
      <c r="F118" s="187"/>
      <c r="G118" s="188"/>
      <c r="H118" s="183"/>
      <c r="I118" s="183"/>
      <c r="J118" s="183"/>
      <c r="K118" s="183"/>
      <c r="L118" s="183"/>
    </row>
    <row r="119" spans="1:12" ht="12.75" customHeight="1" x14ac:dyDescent="0.2">
      <c r="A119" s="187"/>
      <c r="B119" s="187"/>
      <c r="C119" s="187"/>
      <c r="D119" s="187"/>
      <c r="E119" s="187"/>
      <c r="F119" s="187"/>
      <c r="G119" s="188"/>
      <c r="H119" s="183"/>
      <c r="I119" s="183"/>
      <c r="J119" s="183"/>
      <c r="K119" s="183"/>
      <c r="L119" s="183"/>
    </row>
    <row r="120" spans="1:12" ht="12.75" customHeight="1" x14ac:dyDescent="0.2">
      <c r="A120" s="187"/>
      <c r="B120" s="187"/>
      <c r="C120" s="187"/>
      <c r="D120" s="187"/>
      <c r="E120" s="187"/>
      <c r="F120" s="187"/>
      <c r="G120" s="188"/>
      <c r="H120" s="183"/>
      <c r="I120" s="183"/>
      <c r="J120" s="183"/>
      <c r="K120" s="183"/>
      <c r="L120" s="183"/>
    </row>
    <row r="121" spans="1:12" ht="12.75" customHeight="1" x14ac:dyDescent="0.2">
      <c r="A121" s="187"/>
      <c r="B121" s="187"/>
      <c r="C121" s="187"/>
      <c r="D121" s="187"/>
      <c r="E121" s="187"/>
      <c r="F121" s="187"/>
      <c r="G121" s="188"/>
      <c r="H121" s="183"/>
      <c r="I121" s="183"/>
      <c r="J121" s="183"/>
      <c r="K121" s="183"/>
      <c r="L121" s="183"/>
    </row>
    <row r="122" spans="1:12" ht="12.75" customHeight="1" x14ac:dyDescent="0.2">
      <c r="A122" s="187"/>
      <c r="B122" s="187"/>
      <c r="C122" s="187"/>
      <c r="D122" s="187"/>
      <c r="E122" s="187"/>
      <c r="F122" s="187"/>
      <c r="G122" s="188"/>
      <c r="H122" s="183"/>
      <c r="I122" s="183"/>
      <c r="J122" s="183"/>
      <c r="K122" s="183"/>
      <c r="L122" s="183"/>
    </row>
    <row r="123" spans="1:12" ht="12.75" customHeight="1" x14ac:dyDescent="0.2">
      <c r="A123" s="187"/>
      <c r="B123" s="187"/>
      <c r="C123" s="187"/>
      <c r="D123" s="187"/>
      <c r="E123" s="187"/>
      <c r="F123" s="187"/>
      <c r="G123" s="188"/>
      <c r="H123" s="183"/>
      <c r="I123" s="183"/>
      <c r="J123" s="183"/>
      <c r="K123" s="183"/>
      <c r="L123" s="183"/>
    </row>
    <row r="124" spans="1:12" ht="12.75" customHeight="1" x14ac:dyDescent="0.2">
      <c r="A124" s="187"/>
      <c r="B124" s="187"/>
      <c r="C124" s="187"/>
      <c r="D124" s="187"/>
      <c r="E124" s="187"/>
      <c r="F124" s="187"/>
      <c r="G124" s="188"/>
      <c r="H124" s="183"/>
      <c r="I124" s="183"/>
      <c r="J124" s="183"/>
      <c r="K124" s="183"/>
      <c r="L124" s="183"/>
    </row>
    <row r="125" spans="1:12" ht="12.75" customHeight="1" x14ac:dyDescent="0.2">
      <c r="A125" s="187"/>
      <c r="B125" s="187"/>
      <c r="C125" s="187"/>
      <c r="D125" s="187"/>
      <c r="E125" s="187"/>
      <c r="F125" s="187"/>
      <c r="G125" s="188"/>
      <c r="H125" s="183"/>
      <c r="I125" s="183"/>
      <c r="J125" s="183"/>
      <c r="K125" s="183"/>
      <c r="L125" s="183"/>
    </row>
    <row r="126" spans="1:12" ht="12.75" customHeight="1" x14ac:dyDescent="0.2">
      <c r="A126" s="187"/>
      <c r="B126" s="187"/>
      <c r="C126" s="187"/>
      <c r="D126" s="187"/>
      <c r="E126" s="187"/>
      <c r="F126" s="187"/>
      <c r="G126" s="188"/>
      <c r="H126" s="183"/>
      <c r="I126" s="183"/>
      <c r="J126" s="183"/>
      <c r="K126" s="183"/>
      <c r="L126" s="183"/>
    </row>
    <row r="127" spans="1:12" ht="12.75" customHeight="1" x14ac:dyDescent="0.2">
      <c r="A127" s="187"/>
      <c r="B127" s="187"/>
      <c r="C127" s="187"/>
      <c r="D127" s="187"/>
      <c r="E127" s="187"/>
      <c r="F127" s="187"/>
      <c r="G127" s="188"/>
      <c r="H127" s="183"/>
      <c r="I127" s="183"/>
      <c r="J127" s="183"/>
      <c r="K127" s="183"/>
      <c r="L127" s="183"/>
    </row>
    <row r="128" spans="1:12" x14ac:dyDescent="0.2">
      <c r="A128" s="187"/>
      <c r="B128" s="187"/>
      <c r="C128" s="187"/>
      <c r="D128" s="187"/>
      <c r="E128" s="187"/>
      <c r="F128" s="187"/>
      <c r="G128" s="188"/>
    </row>
    <row r="129" spans="1:7" x14ac:dyDescent="0.2">
      <c r="A129" s="187"/>
      <c r="B129" s="187"/>
      <c r="C129" s="187"/>
      <c r="D129" s="187"/>
      <c r="E129" s="187"/>
      <c r="F129" s="187"/>
      <c r="G129" s="188"/>
    </row>
    <row r="130" spans="1:7" x14ac:dyDescent="0.2">
      <c r="A130" s="187"/>
      <c r="B130" s="187"/>
      <c r="C130" s="187"/>
      <c r="D130" s="187"/>
      <c r="E130" s="187"/>
      <c r="F130" s="187"/>
      <c r="G130" s="188"/>
    </row>
    <row r="131" spans="1:7" x14ac:dyDescent="0.2">
      <c r="A131" s="187"/>
      <c r="B131" s="187"/>
      <c r="C131" s="187"/>
      <c r="D131" s="187"/>
      <c r="E131" s="187"/>
      <c r="F131" s="187"/>
      <c r="G131" s="188"/>
    </row>
    <row r="132" spans="1:7" x14ac:dyDescent="0.2">
      <c r="A132" s="187"/>
      <c r="B132" s="187"/>
      <c r="C132" s="187"/>
      <c r="D132" s="187"/>
      <c r="E132" s="187"/>
      <c r="F132" s="187"/>
      <c r="G132" s="188"/>
    </row>
    <row r="133" spans="1:7" x14ac:dyDescent="0.2">
      <c r="A133" s="187"/>
      <c r="B133" s="187"/>
      <c r="C133" s="187"/>
      <c r="D133" s="187"/>
      <c r="E133" s="187"/>
      <c r="F133" s="187"/>
      <c r="G133" s="188"/>
    </row>
  </sheetData>
  <mergeCells count="34">
    <mergeCell ref="A1:B1"/>
    <mergeCell ref="C1:G1"/>
    <mergeCell ref="B4:F4"/>
    <mergeCell ref="B5:F5"/>
    <mergeCell ref="A8:C8"/>
    <mergeCell ref="D8:G8"/>
    <mergeCell ref="A11:C11"/>
    <mergeCell ref="D11:G11"/>
    <mergeCell ref="A12:C12"/>
    <mergeCell ref="D12:G12"/>
    <mergeCell ref="A13:C13"/>
    <mergeCell ref="D13:G13"/>
    <mergeCell ref="A81:G81"/>
    <mergeCell ref="A14:C14"/>
    <mergeCell ref="D14:G14"/>
    <mergeCell ref="A16:C16"/>
    <mergeCell ref="D16:G16"/>
    <mergeCell ref="A75:B75"/>
    <mergeCell ref="C75:G75"/>
    <mergeCell ref="A76:B76"/>
    <mergeCell ref="C76:G76"/>
    <mergeCell ref="A77:B77"/>
    <mergeCell ref="C77:G77"/>
    <mergeCell ref="A80:G80"/>
    <mergeCell ref="A88:G88"/>
    <mergeCell ref="A89:G89"/>
    <mergeCell ref="A90:G90"/>
    <mergeCell ref="A91:G91"/>
    <mergeCell ref="A82:G82"/>
    <mergeCell ref="A83:G83"/>
    <mergeCell ref="A84:G84"/>
    <mergeCell ref="A85:G85"/>
    <mergeCell ref="A86:G86"/>
    <mergeCell ref="A87:G87"/>
  </mergeCells>
  <pageMargins left="0.7" right="0.7" top="0.75" bottom="0.75" header="0.3" footer="0.3"/>
  <pageSetup paperSize="9" scale="88" orientation="portrait" verticalDpi="1200" r:id="rId1"/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3"/>
  <dimension ref="A1:N65"/>
  <sheetViews>
    <sheetView view="pageBreakPreview" topLeftCell="A43" zoomScale="60" zoomScaleNormal="100" workbookViewId="0">
      <selection activeCell="P61" sqref="P61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227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31.5" customHeight="1" x14ac:dyDescent="0.2">
      <c r="A6" s="386" t="s">
        <v>51</v>
      </c>
      <c r="B6" s="386"/>
      <c r="C6" s="384" t="s">
        <v>1309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1308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4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4" ht="123.75" customHeight="1" x14ac:dyDescent="0.2">
      <c r="A18" s="24" t="s">
        <v>10</v>
      </c>
      <c r="B18" s="413" t="s">
        <v>226</v>
      </c>
      <c r="C18" s="414"/>
      <c r="D18" s="415" t="s">
        <v>225</v>
      </c>
      <c r="E18" s="416"/>
      <c r="F18" s="416"/>
      <c r="G18" s="417"/>
      <c r="H18" s="23" t="s">
        <v>1263</v>
      </c>
      <c r="I18" s="22">
        <f>(48500 + 30  * (0.4 * 150 + 0.6 * 150 / 2)) * 21 * 0.4 *  1.1 * 0.7*1.4*1.084</f>
        <v>506987.97071999998</v>
      </c>
    </row>
    <row r="19" spans="1:14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4" ht="26.45" customHeight="1" x14ac:dyDescent="0.2">
      <c r="A20" s="19" t="s">
        <v>39</v>
      </c>
      <c r="B20" s="421"/>
      <c r="C20" s="422"/>
      <c r="D20" s="421" t="s">
        <v>58</v>
      </c>
      <c r="E20" s="384"/>
      <c r="F20" s="384"/>
      <c r="G20" s="422"/>
      <c r="H20" s="18"/>
      <c r="I20" s="17"/>
    </row>
    <row r="21" spans="1:14" ht="66" customHeight="1" x14ac:dyDescent="0.2">
      <c r="A21" s="19" t="s">
        <v>39</v>
      </c>
      <c r="B21" s="421"/>
      <c r="C21" s="422"/>
      <c r="D21" s="421" t="s">
        <v>588</v>
      </c>
      <c r="E21" s="384"/>
      <c r="F21" s="384"/>
      <c r="G21" s="422"/>
      <c r="H21" s="18"/>
      <c r="I21" s="17"/>
    </row>
    <row r="22" spans="1:14" ht="150.6" customHeight="1" x14ac:dyDescent="0.2">
      <c r="A22" s="19" t="s">
        <v>39</v>
      </c>
      <c r="B22" s="421"/>
      <c r="C22" s="422"/>
      <c r="D22" s="421" t="s">
        <v>589</v>
      </c>
      <c r="E22" s="384"/>
      <c r="F22" s="384"/>
      <c r="G22" s="422"/>
      <c r="H22" s="18"/>
      <c r="I22" s="17"/>
      <c r="K22" s="78"/>
      <c r="L22" s="78"/>
      <c r="M22" s="78"/>
      <c r="N22" s="78"/>
    </row>
    <row r="23" spans="1:14" ht="175.5" customHeight="1" x14ac:dyDescent="0.2">
      <c r="A23" s="19"/>
      <c r="B23" s="425"/>
      <c r="C23" s="426"/>
      <c r="D23" s="421" t="s">
        <v>1261</v>
      </c>
      <c r="E23" s="384"/>
      <c r="F23" s="384"/>
      <c r="G23" s="422"/>
      <c r="H23" s="18"/>
      <c r="I23" s="17"/>
      <c r="K23" s="78"/>
      <c r="L23" s="78"/>
      <c r="M23" s="78"/>
      <c r="N23" s="78"/>
    </row>
    <row r="24" spans="1:14" ht="81" customHeight="1" x14ac:dyDescent="0.2">
      <c r="A24" s="19" t="s">
        <v>39</v>
      </c>
      <c r="B24" s="423"/>
      <c r="C24" s="424"/>
      <c r="D24" s="423" t="s">
        <v>1262</v>
      </c>
      <c r="E24" s="418"/>
      <c r="F24" s="418"/>
      <c r="G24" s="424"/>
      <c r="H24" s="21"/>
      <c r="I24" s="20"/>
    </row>
    <row r="25" spans="1:14" ht="26.45" hidden="1" customHeight="1" x14ac:dyDescent="0.2">
      <c r="A25" s="19" t="s">
        <v>39</v>
      </c>
      <c r="B25" s="421"/>
      <c r="C25" s="422"/>
      <c r="D25" s="421" t="s">
        <v>224</v>
      </c>
      <c r="E25" s="384"/>
      <c r="F25" s="384"/>
      <c r="G25" s="422"/>
      <c r="H25" s="18"/>
      <c r="I25" s="17"/>
    </row>
    <row r="26" spans="1:14" ht="39.6" hidden="1" customHeight="1" x14ac:dyDescent="0.2">
      <c r="A26" s="19" t="s">
        <v>39</v>
      </c>
      <c r="B26" s="421"/>
      <c r="C26" s="422"/>
      <c r="D26" s="421" t="s">
        <v>223</v>
      </c>
      <c r="E26" s="384"/>
      <c r="F26" s="384"/>
      <c r="G26" s="422"/>
      <c r="H26" s="18"/>
      <c r="I26" s="17"/>
    </row>
    <row r="27" spans="1:14" ht="26.45" hidden="1" customHeight="1" x14ac:dyDescent="0.2">
      <c r="A27" s="19" t="s">
        <v>39</v>
      </c>
      <c r="B27" s="421"/>
      <c r="C27" s="422"/>
      <c r="D27" s="421" t="s">
        <v>222</v>
      </c>
      <c r="E27" s="384"/>
      <c r="F27" s="384"/>
      <c r="G27" s="422"/>
      <c r="H27" s="18"/>
      <c r="I27" s="17"/>
    </row>
    <row r="28" spans="1:14" ht="39.6" hidden="1" customHeight="1" x14ac:dyDescent="0.2">
      <c r="A28" s="19" t="s">
        <v>39</v>
      </c>
      <c r="B28" s="421"/>
      <c r="C28" s="422"/>
      <c r="D28" s="421" t="s">
        <v>221</v>
      </c>
      <c r="E28" s="384"/>
      <c r="F28" s="384"/>
      <c r="G28" s="422"/>
      <c r="H28" s="18"/>
      <c r="I28" s="17"/>
    </row>
    <row r="29" spans="1:14" ht="66" hidden="1" customHeight="1" x14ac:dyDescent="0.2">
      <c r="A29" s="19" t="s">
        <v>39</v>
      </c>
      <c r="B29" s="421"/>
      <c r="C29" s="422"/>
      <c r="D29" s="421" t="s">
        <v>220</v>
      </c>
      <c r="E29" s="384"/>
      <c r="F29" s="384"/>
      <c r="G29" s="422"/>
      <c r="H29" s="18"/>
      <c r="I29" s="17"/>
    </row>
    <row r="30" spans="1:14" ht="66" hidden="1" customHeight="1" x14ac:dyDescent="0.2">
      <c r="A30" s="19" t="s">
        <v>39</v>
      </c>
      <c r="B30" s="421"/>
      <c r="C30" s="422"/>
      <c r="D30" s="421" t="s">
        <v>219</v>
      </c>
      <c r="E30" s="384"/>
      <c r="F30" s="384"/>
      <c r="G30" s="422"/>
      <c r="H30" s="18"/>
      <c r="I30" s="17"/>
    </row>
    <row r="31" spans="1:14" ht="66" hidden="1" customHeight="1" x14ac:dyDescent="0.2">
      <c r="A31" s="19" t="s">
        <v>39</v>
      </c>
      <c r="B31" s="421"/>
      <c r="C31" s="422"/>
      <c r="D31" s="421" t="s">
        <v>218</v>
      </c>
      <c r="E31" s="384"/>
      <c r="F31" s="384"/>
      <c r="G31" s="422"/>
      <c r="H31" s="18"/>
      <c r="I31" s="17"/>
    </row>
    <row r="32" spans="1:14" ht="79.150000000000006" hidden="1" customHeight="1" x14ac:dyDescent="0.2">
      <c r="A32" s="19" t="s">
        <v>39</v>
      </c>
      <c r="B32" s="421"/>
      <c r="C32" s="422"/>
      <c r="D32" s="421" t="s">
        <v>217</v>
      </c>
      <c r="E32" s="384"/>
      <c r="F32" s="384"/>
      <c r="G32" s="422"/>
      <c r="H32" s="18"/>
      <c r="I32" s="17"/>
    </row>
    <row r="33" spans="1:14" ht="66" hidden="1" customHeight="1" x14ac:dyDescent="0.2">
      <c r="A33" s="19" t="s">
        <v>39</v>
      </c>
      <c r="B33" s="421"/>
      <c r="C33" s="422"/>
      <c r="D33" s="421" t="s">
        <v>216</v>
      </c>
      <c r="E33" s="384"/>
      <c r="F33" s="384"/>
      <c r="G33" s="422"/>
      <c r="H33" s="18"/>
      <c r="I33" s="17"/>
    </row>
    <row r="34" spans="1:14" ht="66" hidden="1" customHeight="1" x14ac:dyDescent="0.2">
      <c r="A34" s="19" t="s">
        <v>39</v>
      </c>
      <c r="B34" s="421"/>
      <c r="C34" s="422"/>
      <c r="D34" s="421" t="s">
        <v>215</v>
      </c>
      <c r="E34" s="384"/>
      <c r="F34" s="384"/>
      <c r="G34" s="422"/>
      <c r="H34" s="18"/>
      <c r="I34" s="17"/>
    </row>
    <row r="35" spans="1:14" ht="26.45" hidden="1" customHeight="1" x14ac:dyDescent="0.2">
      <c r="A35" s="19" t="s">
        <v>39</v>
      </c>
      <c r="B35" s="421"/>
      <c r="C35" s="422"/>
      <c r="D35" s="421" t="s">
        <v>214</v>
      </c>
      <c r="E35" s="384"/>
      <c r="F35" s="384"/>
      <c r="G35" s="422"/>
      <c r="H35" s="18"/>
      <c r="I35" s="17"/>
    </row>
    <row r="36" spans="1:14" ht="39.6" hidden="1" customHeight="1" x14ac:dyDescent="0.2">
      <c r="A36" s="19" t="s">
        <v>39</v>
      </c>
      <c r="B36" s="421"/>
      <c r="C36" s="422"/>
      <c r="D36" s="421" t="s">
        <v>213</v>
      </c>
      <c r="E36" s="384"/>
      <c r="F36" s="384"/>
      <c r="G36" s="422"/>
      <c r="H36" s="18"/>
      <c r="I36" s="17"/>
    </row>
    <row r="37" spans="1:14" ht="39.6" hidden="1" customHeight="1" x14ac:dyDescent="0.2">
      <c r="A37" s="19" t="s">
        <v>39</v>
      </c>
      <c r="B37" s="421"/>
      <c r="C37" s="422"/>
      <c r="D37" s="421" t="s">
        <v>212</v>
      </c>
      <c r="E37" s="384"/>
      <c r="F37" s="384"/>
      <c r="G37" s="422"/>
      <c r="H37" s="18"/>
      <c r="I37" s="17"/>
    </row>
    <row r="38" spans="1:14" ht="39.6" hidden="1" customHeight="1" x14ac:dyDescent="0.2">
      <c r="A38" s="19" t="s">
        <v>39</v>
      </c>
      <c r="B38" s="421"/>
      <c r="C38" s="422"/>
      <c r="D38" s="421" t="s">
        <v>211</v>
      </c>
      <c r="E38" s="384"/>
      <c r="F38" s="384"/>
      <c r="G38" s="422"/>
      <c r="H38" s="18"/>
      <c r="I38" s="17"/>
    </row>
    <row r="39" spans="1:14" ht="26.45" hidden="1" customHeight="1" x14ac:dyDescent="0.2">
      <c r="A39" s="16" t="s">
        <v>39</v>
      </c>
      <c r="B39" s="427"/>
      <c r="C39" s="428"/>
      <c r="D39" s="427" t="s">
        <v>210</v>
      </c>
      <c r="E39" s="429"/>
      <c r="F39" s="429"/>
      <c r="G39" s="428"/>
      <c r="H39" s="15"/>
      <c r="I39" s="14"/>
    </row>
    <row r="40" spans="1:14" ht="123.75" customHeight="1" x14ac:dyDescent="0.2">
      <c r="A40" s="24" t="s">
        <v>11</v>
      </c>
      <c r="B40" s="413" t="s">
        <v>569</v>
      </c>
      <c r="C40" s="414"/>
      <c r="D40" s="415" t="s">
        <v>568</v>
      </c>
      <c r="E40" s="416"/>
      <c r="F40" s="416"/>
      <c r="G40" s="417"/>
      <c r="H40" s="23" t="s">
        <v>1265</v>
      </c>
      <c r="I40" s="22">
        <f>ROUND((35000  + 190  * (0.4 * 250 + 0.6 * 250 / 2)) * 21 * 0.4 * 0.35 *  1.1 * 0.1,0)*1.4*1.058</f>
        <v>32693.046399999999</v>
      </c>
    </row>
    <row r="41" spans="1:14" ht="16.149999999999999" customHeight="1" x14ac:dyDescent="0.2">
      <c r="A41" s="19" t="s">
        <v>39</v>
      </c>
      <c r="B41" s="423"/>
      <c r="C41" s="424"/>
      <c r="D41" s="423" t="s">
        <v>45</v>
      </c>
      <c r="E41" s="418"/>
      <c r="F41" s="418"/>
      <c r="G41" s="424"/>
      <c r="H41" s="21"/>
      <c r="I41" s="20"/>
    </row>
    <row r="42" spans="1:14" ht="26.45" customHeight="1" x14ac:dyDescent="0.2">
      <c r="A42" s="19" t="s">
        <v>39</v>
      </c>
      <c r="B42" s="421"/>
      <c r="C42" s="422"/>
      <c r="D42" s="421" t="s">
        <v>58</v>
      </c>
      <c r="E42" s="384"/>
      <c r="F42" s="384"/>
      <c r="G42" s="422"/>
      <c r="H42" s="18"/>
      <c r="I42" s="17"/>
    </row>
    <row r="43" spans="1:14" ht="26.45" customHeight="1" x14ac:dyDescent="0.2">
      <c r="A43" s="19"/>
      <c r="B43" s="425"/>
      <c r="C43" s="426"/>
      <c r="D43" s="421" t="s">
        <v>570</v>
      </c>
      <c r="E43" s="384"/>
      <c r="F43" s="384"/>
      <c r="G43" s="422"/>
      <c r="H43" s="18"/>
      <c r="I43" s="17"/>
    </row>
    <row r="44" spans="1:14" ht="66" customHeight="1" x14ac:dyDescent="0.2">
      <c r="A44" s="19" t="s">
        <v>39</v>
      </c>
      <c r="B44" s="421"/>
      <c r="C44" s="422"/>
      <c r="D44" s="421" t="s">
        <v>588</v>
      </c>
      <c r="E44" s="384"/>
      <c r="F44" s="384"/>
      <c r="G44" s="422"/>
      <c r="H44" s="18"/>
      <c r="I44" s="17"/>
    </row>
    <row r="45" spans="1:14" ht="144.6" customHeight="1" x14ac:dyDescent="0.2">
      <c r="A45" s="19" t="s">
        <v>39</v>
      </c>
      <c r="B45" s="421"/>
      <c r="C45" s="422"/>
      <c r="D45" s="421" t="s">
        <v>590</v>
      </c>
      <c r="E45" s="384"/>
      <c r="F45" s="384"/>
      <c r="G45" s="422"/>
      <c r="H45" s="18"/>
      <c r="I45" s="17"/>
      <c r="K45" s="78"/>
      <c r="L45" s="78"/>
      <c r="M45" s="78"/>
      <c r="N45" s="78"/>
    </row>
    <row r="46" spans="1:14" ht="162.75" customHeight="1" x14ac:dyDescent="0.2">
      <c r="A46" s="19"/>
      <c r="B46" s="425"/>
      <c r="C46" s="426"/>
      <c r="D46" s="421" t="s">
        <v>1264</v>
      </c>
      <c r="E46" s="384"/>
      <c r="F46" s="384"/>
      <c r="G46" s="422"/>
      <c r="H46" s="18"/>
      <c r="I46" s="17"/>
      <c r="K46" s="78"/>
      <c r="L46" s="78"/>
      <c r="M46" s="78"/>
      <c r="N46" s="78"/>
    </row>
    <row r="47" spans="1:14" ht="13.15" customHeight="1" x14ac:dyDescent="0.2">
      <c r="A47" s="11" t="s">
        <v>11</v>
      </c>
      <c r="B47" s="395" t="s">
        <v>43</v>
      </c>
      <c r="C47" s="396"/>
      <c r="D47" s="395"/>
      <c r="E47" s="397"/>
      <c r="F47" s="397"/>
      <c r="G47" s="396"/>
      <c r="H47" s="10"/>
      <c r="I47" s="9">
        <f>I18+I40</f>
        <v>539681.01711999997</v>
      </c>
    </row>
    <row r="48" spans="1:14" ht="39.6" customHeight="1" x14ac:dyDescent="0.2">
      <c r="A48" s="11" t="s">
        <v>13</v>
      </c>
      <c r="B48" s="392" t="s">
        <v>1063</v>
      </c>
      <c r="C48" s="393"/>
      <c r="D48" s="392" t="s">
        <v>1064</v>
      </c>
      <c r="E48" s="394"/>
      <c r="F48" s="394"/>
      <c r="G48" s="393"/>
      <c r="H48" s="13" t="s">
        <v>1065</v>
      </c>
      <c r="I48" s="12">
        <f>I47*5.94</f>
        <v>3205705.2416928001</v>
      </c>
    </row>
    <row r="49" spans="1:9" ht="13.15" customHeight="1" x14ac:dyDescent="0.2">
      <c r="A49" s="11" t="s">
        <v>15</v>
      </c>
      <c r="B49" s="395" t="s">
        <v>42</v>
      </c>
      <c r="C49" s="396"/>
      <c r="D49" s="395"/>
      <c r="E49" s="397"/>
      <c r="F49" s="397"/>
      <c r="G49" s="396"/>
      <c r="H49" s="10" t="s">
        <v>70</v>
      </c>
      <c r="I49" s="9">
        <f>I48</f>
        <v>3205705.2416928001</v>
      </c>
    </row>
    <row r="50" spans="1:9" ht="12.75" customHeight="1" x14ac:dyDescent="0.2"/>
    <row r="51" spans="1:9" ht="12.75" customHeight="1" x14ac:dyDescent="0.2">
      <c r="D51" s="7"/>
    </row>
    <row r="52" spans="1:9" x14ac:dyDescent="0.2">
      <c r="A52" s="391" t="s">
        <v>0</v>
      </c>
      <c r="B52" s="391"/>
      <c r="C52" s="391"/>
      <c r="D52" s="391"/>
      <c r="E52" s="391"/>
      <c r="F52" s="391"/>
      <c r="G52" s="391"/>
      <c r="H52" s="391"/>
      <c r="I52" s="391"/>
    </row>
    <row r="53" spans="1:9" ht="12.75" customHeight="1" x14ac:dyDescent="0.2">
      <c r="A53" s="391"/>
      <c r="B53" s="391"/>
      <c r="C53" s="391"/>
      <c r="D53" s="391"/>
      <c r="E53" s="391"/>
      <c r="F53" s="391"/>
      <c r="G53" s="391"/>
      <c r="H53" s="391"/>
      <c r="I53" s="391"/>
    </row>
    <row r="54" spans="1:9" x14ac:dyDescent="0.2">
      <c r="D54" s="389" t="s">
        <v>2</v>
      </c>
      <c r="E54" s="390"/>
      <c r="F54" s="390"/>
      <c r="G54" s="390"/>
      <c r="H54" s="390"/>
      <c r="I54" s="390"/>
    </row>
    <row r="55" spans="1:9" ht="12.75" customHeight="1" x14ac:dyDescent="0.2"/>
    <row r="56" spans="1:9" x14ac:dyDescent="0.2">
      <c r="A56" s="391" t="s">
        <v>1</v>
      </c>
      <c r="B56" s="391"/>
      <c r="C56" s="391"/>
      <c r="D56" s="391"/>
      <c r="E56" s="391"/>
      <c r="F56" s="391"/>
      <c r="G56" s="391"/>
      <c r="H56" s="391"/>
      <c r="I56" s="391"/>
    </row>
    <row r="57" spans="1:9" ht="12.75" customHeight="1" x14ac:dyDescent="0.2">
      <c r="A57" s="391"/>
      <c r="B57" s="391"/>
      <c r="C57" s="391"/>
      <c r="D57" s="391"/>
      <c r="E57" s="391"/>
      <c r="F57" s="391"/>
      <c r="G57" s="391"/>
      <c r="H57" s="391"/>
      <c r="I57" s="391"/>
    </row>
    <row r="58" spans="1:9" x14ac:dyDescent="0.2">
      <c r="D58" s="389" t="s">
        <v>2</v>
      </c>
      <c r="E58" s="390"/>
      <c r="F58" s="390"/>
      <c r="G58" s="390"/>
      <c r="H58" s="390"/>
      <c r="I58" s="390"/>
    </row>
    <row r="59" spans="1:9" ht="12.75" customHeight="1" x14ac:dyDescent="0.2"/>
    <row r="60" spans="1:9" x14ac:dyDescent="0.2">
      <c r="A60" s="391" t="s">
        <v>5</v>
      </c>
      <c r="B60" s="391"/>
      <c r="C60" s="391"/>
      <c r="D60" s="391"/>
      <c r="E60" s="391"/>
      <c r="F60" s="391"/>
      <c r="G60" s="6" t="s">
        <v>7</v>
      </c>
      <c r="H60" s="391"/>
      <c r="I60" s="391"/>
    </row>
    <row r="61" spans="1:9" x14ac:dyDescent="0.2">
      <c r="D61" s="389" t="s">
        <v>40</v>
      </c>
      <c r="E61" s="390"/>
      <c r="F61" s="390"/>
      <c r="H61" s="389" t="s">
        <v>2</v>
      </c>
      <c r="I61" s="390"/>
    </row>
    <row r="62" spans="1:9" ht="12.75" customHeight="1" x14ac:dyDescent="0.2"/>
    <row r="63" spans="1:9" x14ac:dyDescent="0.2">
      <c r="A63" s="391" t="s">
        <v>3</v>
      </c>
      <c r="B63" s="391"/>
      <c r="C63" s="391"/>
      <c r="D63" s="391"/>
      <c r="E63" s="391"/>
      <c r="F63" s="391"/>
      <c r="G63" s="391"/>
      <c r="H63" s="391"/>
      <c r="I63" s="391"/>
    </row>
    <row r="64" spans="1:9" x14ac:dyDescent="0.2">
      <c r="D64" s="389" t="s">
        <v>6</v>
      </c>
      <c r="E64" s="390"/>
      <c r="F64" s="390"/>
      <c r="G64" s="390"/>
      <c r="H64" s="390"/>
      <c r="I64" s="390"/>
    </row>
    <row r="65" ht="12.75" customHeight="1" x14ac:dyDescent="0.2"/>
  </sheetData>
  <mergeCells count="94">
    <mergeCell ref="D58:I58"/>
    <mergeCell ref="B48:C48"/>
    <mergeCell ref="D48:G48"/>
    <mergeCell ref="B49:C49"/>
    <mergeCell ref="D49:G49"/>
    <mergeCell ref="A52:C53"/>
    <mergeCell ref="D52:I53"/>
    <mergeCell ref="D54:I54"/>
    <mergeCell ref="A56:C57"/>
    <mergeCell ref="D56:I57"/>
    <mergeCell ref="D64:I64"/>
    <mergeCell ref="A60:C60"/>
    <mergeCell ref="D60:F60"/>
    <mergeCell ref="D61:F61"/>
    <mergeCell ref="H60:I60"/>
    <mergeCell ref="H61:I61"/>
    <mergeCell ref="A63:C63"/>
    <mergeCell ref="D63:I63"/>
    <mergeCell ref="B39:C39"/>
    <mergeCell ref="D39:G39"/>
    <mergeCell ref="B47:C47"/>
    <mergeCell ref="D47:G47"/>
    <mergeCell ref="B41:C41"/>
    <mergeCell ref="D41:G41"/>
    <mergeCell ref="B42:C42"/>
    <mergeCell ref="D42:G42"/>
    <mergeCell ref="B44:C44"/>
    <mergeCell ref="D44:G44"/>
    <mergeCell ref="B45:C45"/>
    <mergeCell ref="D45:G45"/>
    <mergeCell ref="B40:C40"/>
    <mergeCell ref="D40:G40"/>
    <mergeCell ref="B43:C43"/>
    <mergeCell ref="D43:G43"/>
    <mergeCell ref="B37:C37"/>
    <mergeCell ref="D37:G37"/>
    <mergeCell ref="B32:C32"/>
    <mergeCell ref="D32:G32"/>
    <mergeCell ref="B33:C33"/>
    <mergeCell ref="D33:G33"/>
    <mergeCell ref="B34:C34"/>
    <mergeCell ref="D34:G34"/>
    <mergeCell ref="B27:C27"/>
    <mergeCell ref="D27:G27"/>
    <mergeCell ref="B28:C28"/>
    <mergeCell ref="D28:G28"/>
    <mergeCell ref="B38:C38"/>
    <mergeCell ref="D38:G38"/>
    <mergeCell ref="B29:C29"/>
    <mergeCell ref="D29:G29"/>
    <mergeCell ref="B30:C30"/>
    <mergeCell ref="D30:G30"/>
    <mergeCell ref="B31:C31"/>
    <mergeCell ref="D31:G31"/>
    <mergeCell ref="B35:C35"/>
    <mergeCell ref="D35:G35"/>
    <mergeCell ref="B36:C36"/>
    <mergeCell ref="D36:G36"/>
    <mergeCell ref="B25:C25"/>
    <mergeCell ref="D25:G25"/>
    <mergeCell ref="D23:G23"/>
    <mergeCell ref="B23:C23"/>
    <mergeCell ref="B26:C26"/>
    <mergeCell ref="D26:G26"/>
    <mergeCell ref="D20:G20"/>
    <mergeCell ref="B22:C22"/>
    <mergeCell ref="D22:G22"/>
    <mergeCell ref="B24:C24"/>
    <mergeCell ref="D24:G24"/>
    <mergeCell ref="D10:I10"/>
    <mergeCell ref="D1:I1"/>
    <mergeCell ref="A3:I3"/>
    <mergeCell ref="A4:I4"/>
    <mergeCell ref="A1:C1"/>
    <mergeCell ref="A8:I8"/>
    <mergeCell ref="A10:C10"/>
    <mergeCell ref="A6:B6"/>
    <mergeCell ref="C6:G6"/>
    <mergeCell ref="B46:C46"/>
    <mergeCell ref="D46:G46"/>
    <mergeCell ref="D12:I12"/>
    <mergeCell ref="A12:C12"/>
    <mergeCell ref="A14:I14"/>
    <mergeCell ref="B17:C17"/>
    <mergeCell ref="D17:G17"/>
    <mergeCell ref="B16:C16"/>
    <mergeCell ref="D16:G16"/>
    <mergeCell ref="B21:C21"/>
    <mergeCell ref="D21:G21"/>
    <mergeCell ref="B18:C18"/>
    <mergeCell ref="D18:G18"/>
    <mergeCell ref="B19:C19"/>
    <mergeCell ref="D19:G19"/>
    <mergeCell ref="B20:C20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6"/>
  <dimension ref="A1:I25"/>
  <sheetViews>
    <sheetView view="pageBreakPreview" topLeftCell="A4" zoomScale="60" zoomScaleNormal="100" workbookViewId="0">
      <selection activeCell="J18" sqref="J18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256" width="11.5703125" style="5"/>
    <col min="257" max="257" width="3.7109375" style="5" customWidth="1"/>
    <col min="258" max="258" width="10.7109375" style="5" customWidth="1"/>
    <col min="259" max="259" width="15.7109375" style="5" customWidth="1"/>
    <col min="260" max="260" width="4.42578125" style="5" customWidth="1"/>
    <col min="261" max="263" width="9.28515625" style="5" customWidth="1"/>
    <col min="264" max="264" width="19.7109375" style="5" customWidth="1"/>
    <col min="265" max="265" width="14.7109375" style="5" customWidth="1"/>
    <col min="266" max="266" width="19.7109375" style="5" customWidth="1"/>
    <col min="267" max="512" width="11.5703125" style="5"/>
    <col min="513" max="513" width="3.7109375" style="5" customWidth="1"/>
    <col min="514" max="514" width="10.7109375" style="5" customWidth="1"/>
    <col min="515" max="515" width="15.7109375" style="5" customWidth="1"/>
    <col min="516" max="516" width="4.42578125" style="5" customWidth="1"/>
    <col min="517" max="519" width="9.28515625" style="5" customWidth="1"/>
    <col min="520" max="520" width="19.7109375" style="5" customWidth="1"/>
    <col min="521" max="521" width="14.7109375" style="5" customWidth="1"/>
    <col min="522" max="522" width="19.7109375" style="5" customWidth="1"/>
    <col min="523" max="768" width="11.5703125" style="5"/>
    <col min="769" max="769" width="3.7109375" style="5" customWidth="1"/>
    <col min="770" max="770" width="10.7109375" style="5" customWidth="1"/>
    <col min="771" max="771" width="15.7109375" style="5" customWidth="1"/>
    <col min="772" max="772" width="4.42578125" style="5" customWidth="1"/>
    <col min="773" max="775" width="9.28515625" style="5" customWidth="1"/>
    <col min="776" max="776" width="19.7109375" style="5" customWidth="1"/>
    <col min="777" max="777" width="14.7109375" style="5" customWidth="1"/>
    <col min="778" max="778" width="19.7109375" style="5" customWidth="1"/>
    <col min="779" max="1024" width="11.5703125" style="5"/>
    <col min="1025" max="1025" width="3.7109375" style="5" customWidth="1"/>
    <col min="1026" max="1026" width="10.7109375" style="5" customWidth="1"/>
    <col min="1027" max="1027" width="15.7109375" style="5" customWidth="1"/>
    <col min="1028" max="1028" width="4.42578125" style="5" customWidth="1"/>
    <col min="1029" max="1031" width="9.28515625" style="5" customWidth="1"/>
    <col min="1032" max="1032" width="19.7109375" style="5" customWidth="1"/>
    <col min="1033" max="1033" width="14.7109375" style="5" customWidth="1"/>
    <col min="1034" max="1034" width="19.7109375" style="5" customWidth="1"/>
    <col min="1035" max="1280" width="11.5703125" style="5"/>
    <col min="1281" max="1281" width="3.7109375" style="5" customWidth="1"/>
    <col min="1282" max="1282" width="10.7109375" style="5" customWidth="1"/>
    <col min="1283" max="1283" width="15.7109375" style="5" customWidth="1"/>
    <col min="1284" max="1284" width="4.42578125" style="5" customWidth="1"/>
    <col min="1285" max="1287" width="9.28515625" style="5" customWidth="1"/>
    <col min="1288" max="1288" width="19.7109375" style="5" customWidth="1"/>
    <col min="1289" max="1289" width="14.7109375" style="5" customWidth="1"/>
    <col min="1290" max="1290" width="19.7109375" style="5" customWidth="1"/>
    <col min="1291" max="1536" width="11.5703125" style="5"/>
    <col min="1537" max="1537" width="3.7109375" style="5" customWidth="1"/>
    <col min="1538" max="1538" width="10.7109375" style="5" customWidth="1"/>
    <col min="1539" max="1539" width="15.7109375" style="5" customWidth="1"/>
    <col min="1540" max="1540" width="4.42578125" style="5" customWidth="1"/>
    <col min="1541" max="1543" width="9.28515625" style="5" customWidth="1"/>
    <col min="1544" max="1544" width="19.7109375" style="5" customWidth="1"/>
    <col min="1545" max="1545" width="14.7109375" style="5" customWidth="1"/>
    <col min="1546" max="1546" width="19.7109375" style="5" customWidth="1"/>
    <col min="1547" max="1792" width="11.5703125" style="5"/>
    <col min="1793" max="1793" width="3.7109375" style="5" customWidth="1"/>
    <col min="1794" max="1794" width="10.7109375" style="5" customWidth="1"/>
    <col min="1795" max="1795" width="15.7109375" style="5" customWidth="1"/>
    <col min="1796" max="1796" width="4.42578125" style="5" customWidth="1"/>
    <col min="1797" max="1799" width="9.28515625" style="5" customWidth="1"/>
    <col min="1800" max="1800" width="19.7109375" style="5" customWidth="1"/>
    <col min="1801" max="1801" width="14.7109375" style="5" customWidth="1"/>
    <col min="1802" max="1802" width="19.7109375" style="5" customWidth="1"/>
    <col min="1803" max="2048" width="11.5703125" style="5"/>
    <col min="2049" max="2049" width="3.7109375" style="5" customWidth="1"/>
    <col min="2050" max="2050" width="10.7109375" style="5" customWidth="1"/>
    <col min="2051" max="2051" width="15.7109375" style="5" customWidth="1"/>
    <col min="2052" max="2052" width="4.42578125" style="5" customWidth="1"/>
    <col min="2053" max="2055" width="9.28515625" style="5" customWidth="1"/>
    <col min="2056" max="2056" width="19.7109375" style="5" customWidth="1"/>
    <col min="2057" max="2057" width="14.7109375" style="5" customWidth="1"/>
    <col min="2058" max="2058" width="19.7109375" style="5" customWidth="1"/>
    <col min="2059" max="2304" width="11.5703125" style="5"/>
    <col min="2305" max="2305" width="3.7109375" style="5" customWidth="1"/>
    <col min="2306" max="2306" width="10.7109375" style="5" customWidth="1"/>
    <col min="2307" max="2307" width="15.7109375" style="5" customWidth="1"/>
    <col min="2308" max="2308" width="4.42578125" style="5" customWidth="1"/>
    <col min="2309" max="2311" width="9.28515625" style="5" customWidth="1"/>
    <col min="2312" max="2312" width="19.7109375" style="5" customWidth="1"/>
    <col min="2313" max="2313" width="14.7109375" style="5" customWidth="1"/>
    <col min="2314" max="2314" width="19.7109375" style="5" customWidth="1"/>
    <col min="2315" max="2560" width="11.5703125" style="5"/>
    <col min="2561" max="2561" width="3.7109375" style="5" customWidth="1"/>
    <col min="2562" max="2562" width="10.7109375" style="5" customWidth="1"/>
    <col min="2563" max="2563" width="15.7109375" style="5" customWidth="1"/>
    <col min="2564" max="2564" width="4.42578125" style="5" customWidth="1"/>
    <col min="2565" max="2567" width="9.28515625" style="5" customWidth="1"/>
    <col min="2568" max="2568" width="19.7109375" style="5" customWidth="1"/>
    <col min="2569" max="2569" width="14.7109375" style="5" customWidth="1"/>
    <col min="2570" max="2570" width="19.7109375" style="5" customWidth="1"/>
    <col min="2571" max="2816" width="11.5703125" style="5"/>
    <col min="2817" max="2817" width="3.7109375" style="5" customWidth="1"/>
    <col min="2818" max="2818" width="10.7109375" style="5" customWidth="1"/>
    <col min="2819" max="2819" width="15.7109375" style="5" customWidth="1"/>
    <col min="2820" max="2820" width="4.42578125" style="5" customWidth="1"/>
    <col min="2821" max="2823" width="9.28515625" style="5" customWidth="1"/>
    <col min="2824" max="2824" width="19.7109375" style="5" customWidth="1"/>
    <col min="2825" max="2825" width="14.7109375" style="5" customWidth="1"/>
    <col min="2826" max="2826" width="19.7109375" style="5" customWidth="1"/>
    <col min="2827" max="3072" width="11.5703125" style="5"/>
    <col min="3073" max="3073" width="3.7109375" style="5" customWidth="1"/>
    <col min="3074" max="3074" width="10.7109375" style="5" customWidth="1"/>
    <col min="3075" max="3075" width="15.7109375" style="5" customWidth="1"/>
    <col min="3076" max="3076" width="4.42578125" style="5" customWidth="1"/>
    <col min="3077" max="3079" width="9.28515625" style="5" customWidth="1"/>
    <col min="3080" max="3080" width="19.7109375" style="5" customWidth="1"/>
    <col min="3081" max="3081" width="14.7109375" style="5" customWidth="1"/>
    <col min="3082" max="3082" width="19.7109375" style="5" customWidth="1"/>
    <col min="3083" max="3328" width="11.5703125" style="5"/>
    <col min="3329" max="3329" width="3.7109375" style="5" customWidth="1"/>
    <col min="3330" max="3330" width="10.7109375" style="5" customWidth="1"/>
    <col min="3331" max="3331" width="15.7109375" style="5" customWidth="1"/>
    <col min="3332" max="3332" width="4.42578125" style="5" customWidth="1"/>
    <col min="3333" max="3335" width="9.28515625" style="5" customWidth="1"/>
    <col min="3336" max="3336" width="19.7109375" style="5" customWidth="1"/>
    <col min="3337" max="3337" width="14.7109375" style="5" customWidth="1"/>
    <col min="3338" max="3338" width="19.7109375" style="5" customWidth="1"/>
    <col min="3339" max="3584" width="11.5703125" style="5"/>
    <col min="3585" max="3585" width="3.7109375" style="5" customWidth="1"/>
    <col min="3586" max="3586" width="10.7109375" style="5" customWidth="1"/>
    <col min="3587" max="3587" width="15.7109375" style="5" customWidth="1"/>
    <col min="3588" max="3588" width="4.42578125" style="5" customWidth="1"/>
    <col min="3589" max="3591" width="9.28515625" style="5" customWidth="1"/>
    <col min="3592" max="3592" width="19.7109375" style="5" customWidth="1"/>
    <col min="3593" max="3593" width="14.7109375" style="5" customWidth="1"/>
    <col min="3594" max="3594" width="19.7109375" style="5" customWidth="1"/>
    <col min="3595" max="3840" width="11.5703125" style="5"/>
    <col min="3841" max="3841" width="3.7109375" style="5" customWidth="1"/>
    <col min="3842" max="3842" width="10.7109375" style="5" customWidth="1"/>
    <col min="3843" max="3843" width="15.7109375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.140625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.140625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.140625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.140625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.140625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.140625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.140625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.140625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.140625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.140625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.140625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.140625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.140625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.140625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.140625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.140625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.140625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.140625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.140625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.140625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.140625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.140625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.140625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.140625" style="5" customWidth="1"/>
    <col min="9988" max="9988" width="0" style="5" hidden="1" customWidth="1"/>
    <col min="9989" max="9991" width="9.28515625" style="5" customWidth="1"/>
    <col min="9992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.140625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.140625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.140625" style="5" customWidth="1"/>
    <col min="10756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.140625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.140625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.140625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.140625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.140625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7.7109375" style="5" customWidth="1"/>
    <col min="12292" max="12296" width="0" style="5" hidden="1" customWidth="1"/>
    <col min="12297" max="12297" width="6.7109375" style="5" customWidth="1"/>
    <col min="12298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.140625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.140625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.140625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.140625" style="5" customWidth="1"/>
    <col min="13316" max="13322" width="0" style="5" hidden="1" customWidth="1"/>
    <col min="13323" max="13568" width="0" style="5" hidden="1"/>
    <col min="13569" max="13569" width="3.7109375" style="5" customWidth="1"/>
    <col min="13570" max="13570" width="10.7109375" style="5" customWidth="1"/>
    <col min="13571" max="13571" width="3.140625" style="5" customWidth="1"/>
    <col min="13572" max="13575" width="0" style="5" hidden="1" customWidth="1"/>
    <col min="13576" max="13576" width="19.7109375" style="5" customWidth="1"/>
    <col min="13577" max="13578" width="0" style="5" hidden="1" customWidth="1"/>
    <col min="13579" max="13824" width="11.5703125" style="5"/>
    <col min="13825" max="13825" width="0.5703125" style="5" customWidth="1"/>
    <col min="13826" max="13826" width="0" style="5" hidden="1" customWidth="1"/>
    <col min="13827" max="13827" width="15.7109375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10.7109375" style="5" customWidth="1"/>
    <col min="14083" max="14083" width="7.7109375" style="5" customWidth="1"/>
    <col min="14084" max="14084" width="4.42578125" style="5" customWidth="1"/>
    <col min="14085" max="14090" width="0" style="5" hidden="1" customWidth="1"/>
    <col min="14091" max="14336" width="0" style="5" hidden="1"/>
    <col min="14337" max="14337" width="3.7109375" style="5" customWidth="1"/>
    <col min="14338" max="14338" width="0" style="5" hidden="1" customWidth="1"/>
    <col min="14339" max="14339" width="3.140625" style="5" customWidth="1"/>
    <col min="14340" max="14346" width="0" style="5" hidden="1" customWidth="1"/>
    <col min="14347" max="14592" width="0" style="5" hidden="1"/>
    <col min="14593" max="14593" width="3.7109375" style="5" customWidth="1"/>
    <col min="14594" max="14594" width="0" style="5" hidden="1" customWidth="1"/>
    <col min="14595" max="14595" width="3.140625" style="5" customWidth="1"/>
    <col min="14596" max="14596" width="4.42578125" style="5" customWidth="1"/>
    <col min="14597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.140625" style="5" customWidth="1"/>
    <col min="14852" max="14858" width="0" style="5" hidden="1" customWidth="1"/>
    <col min="14859" max="15104" width="0" style="5" hidden="1"/>
    <col min="15105" max="15105" width="3.7109375" style="5" customWidth="1"/>
    <col min="15106" max="15106" width="10.7109375" style="5" customWidth="1"/>
    <col min="15107" max="15107" width="3.140625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.140625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.140625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7.7109375" style="5" customWidth="1"/>
    <col min="15876" max="15880" width="0" style="5" hidden="1" customWidth="1"/>
    <col min="15881" max="15881" width="6.7109375" style="5" customWidth="1"/>
    <col min="15882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.140625" style="5" customWidth="1"/>
    <col min="16132" max="16132" width="4.42578125" style="5" customWidth="1"/>
    <col min="16133" max="16138" width="0" style="5" hidden="1" customWidth="1"/>
    <col min="16139" max="16384" width="0" style="5" hidden="1"/>
  </cols>
  <sheetData>
    <row r="1" spans="1:9" ht="51" customHeight="1" x14ac:dyDescent="0.2">
      <c r="A1" s="419" t="s">
        <v>552</v>
      </c>
      <c r="B1" s="419"/>
      <c r="C1" s="419"/>
      <c r="D1" s="381" t="s">
        <v>553</v>
      </c>
      <c r="E1" s="381"/>
      <c r="F1" s="381"/>
      <c r="G1" s="381"/>
      <c r="H1" s="381"/>
      <c r="I1" s="381"/>
    </row>
    <row r="2" spans="1:9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9" x14ac:dyDescent="0.2">
      <c r="A3" s="382" t="s">
        <v>554</v>
      </c>
      <c r="B3" s="382"/>
      <c r="C3" s="382"/>
      <c r="D3" s="382"/>
      <c r="E3" s="382"/>
      <c r="F3" s="382"/>
      <c r="G3" s="382"/>
      <c r="H3" s="382"/>
      <c r="I3" s="382"/>
    </row>
    <row r="4" spans="1:9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9" ht="0" hidden="1" customHeight="1" x14ac:dyDescent="0.2">
      <c r="D5" s="34"/>
      <c r="E5" s="34"/>
      <c r="F5" s="34"/>
      <c r="G5" s="34"/>
    </row>
    <row r="6" spans="1:9" ht="66" customHeight="1" x14ac:dyDescent="0.2">
      <c r="A6" s="384" t="s">
        <v>498</v>
      </c>
      <c r="B6" s="384"/>
      <c r="C6" s="384"/>
      <c r="D6" s="388" t="s">
        <v>1310</v>
      </c>
      <c r="E6" s="388"/>
      <c r="F6" s="388"/>
      <c r="G6" s="388"/>
      <c r="H6" s="388"/>
      <c r="I6" s="388"/>
    </row>
    <row r="7" spans="1:9" ht="0" hidden="1" customHeight="1" x14ac:dyDescent="0.2">
      <c r="A7" s="29"/>
      <c r="B7" s="29"/>
      <c r="C7" s="29"/>
    </row>
    <row r="8" spans="1:9" ht="41.25" customHeight="1" x14ac:dyDescent="0.2">
      <c r="A8" s="384" t="s">
        <v>499</v>
      </c>
      <c r="B8" s="384"/>
      <c r="C8" s="384"/>
      <c r="D8" s="384" t="s">
        <v>9</v>
      </c>
      <c r="E8" s="384"/>
      <c r="F8" s="384"/>
      <c r="G8" s="384"/>
      <c r="H8" s="384"/>
      <c r="I8" s="384"/>
    </row>
    <row r="9" spans="1:9" ht="0" hidden="1" customHeight="1" x14ac:dyDescent="0.2"/>
    <row r="10" spans="1:9" ht="0" hidden="1" customHeight="1" x14ac:dyDescent="0.2">
      <c r="A10" s="384" t="s">
        <v>500</v>
      </c>
      <c r="B10" s="384"/>
      <c r="C10" s="384"/>
      <c r="D10" s="384"/>
      <c r="E10" s="384"/>
      <c r="F10" s="384"/>
      <c r="G10" s="384"/>
      <c r="H10" s="384"/>
      <c r="I10" s="384"/>
    </row>
    <row r="11" spans="1:9" ht="0" hidden="1" customHeight="1" x14ac:dyDescent="0.2">
      <c r="A11" s="29"/>
      <c r="B11" s="29"/>
      <c r="C11" s="29"/>
      <c r="D11" s="39"/>
      <c r="E11" s="39"/>
      <c r="F11" s="39"/>
      <c r="G11" s="39"/>
      <c r="H11" s="29"/>
      <c r="I11" s="29"/>
    </row>
    <row r="12" spans="1:9" ht="12.75" customHeight="1" x14ac:dyDescent="0.2">
      <c r="A12" s="384" t="s">
        <v>548</v>
      </c>
      <c r="B12" s="384"/>
      <c r="C12" s="384"/>
      <c r="D12" s="384"/>
      <c r="E12" s="384"/>
      <c r="F12" s="384"/>
      <c r="G12" s="384"/>
      <c r="H12" s="384"/>
      <c r="I12" s="384"/>
    </row>
    <row r="13" spans="1:9" ht="12" customHeight="1" x14ac:dyDescent="0.2"/>
    <row r="14" spans="1:9" ht="36.6" customHeight="1" x14ac:dyDescent="0.2">
      <c r="A14" s="27" t="s">
        <v>49</v>
      </c>
      <c r="B14" s="407" t="s">
        <v>467</v>
      </c>
      <c r="C14" s="408"/>
      <c r="D14" s="407" t="s">
        <v>468</v>
      </c>
      <c r="E14" s="409"/>
      <c r="F14" s="409"/>
      <c r="G14" s="408"/>
      <c r="H14" s="75" t="s">
        <v>469</v>
      </c>
      <c r="I14" s="27" t="s">
        <v>280</v>
      </c>
    </row>
    <row r="15" spans="1:9" x14ac:dyDescent="0.2">
      <c r="A15" s="26" t="s">
        <v>10</v>
      </c>
      <c r="B15" s="410">
        <v>2</v>
      </c>
      <c r="C15" s="411"/>
      <c r="D15" s="410">
        <v>3</v>
      </c>
      <c r="E15" s="412"/>
      <c r="F15" s="412"/>
      <c r="G15" s="411"/>
      <c r="H15" s="25">
        <v>4</v>
      </c>
      <c r="I15" s="25">
        <v>5</v>
      </c>
    </row>
    <row r="16" spans="1:9" ht="104.25" customHeight="1" x14ac:dyDescent="0.2">
      <c r="A16" s="24" t="s">
        <v>10</v>
      </c>
      <c r="B16" s="413" t="s">
        <v>549</v>
      </c>
      <c r="C16" s="414"/>
      <c r="D16" s="415" t="s">
        <v>550</v>
      </c>
      <c r="E16" s="416"/>
      <c r="F16" s="416"/>
      <c r="G16" s="417"/>
      <c r="H16" s="23" t="s">
        <v>1305</v>
      </c>
      <c r="I16" s="22">
        <f>ROUND((275380  + 73060  * 5.1) * 1 * 0.34 * 0.0666,0)*1.4</f>
        <v>20542.199999999997</v>
      </c>
    </row>
    <row r="17" spans="1:9" ht="16.149999999999999" customHeight="1" x14ac:dyDescent="0.2">
      <c r="A17" s="19" t="s">
        <v>39</v>
      </c>
      <c r="B17" s="423"/>
      <c r="C17" s="424"/>
      <c r="D17" s="423" t="s">
        <v>45</v>
      </c>
      <c r="E17" s="418"/>
      <c r="F17" s="418"/>
      <c r="G17" s="424"/>
      <c r="H17" s="21"/>
      <c r="I17" s="20"/>
    </row>
    <row r="18" spans="1:9" ht="122.25" customHeight="1" x14ac:dyDescent="0.2">
      <c r="A18" s="19" t="s">
        <v>39</v>
      </c>
      <c r="B18" s="421"/>
      <c r="C18" s="422"/>
      <c r="D18" s="421" t="s">
        <v>1304</v>
      </c>
      <c r="E18" s="384"/>
      <c r="F18" s="384"/>
      <c r="G18" s="422"/>
      <c r="H18" s="18"/>
      <c r="I18" s="17"/>
    </row>
    <row r="19" spans="1:9" ht="68.25" customHeight="1" x14ac:dyDescent="0.2">
      <c r="A19" s="51" t="s">
        <v>39</v>
      </c>
      <c r="B19" s="436"/>
      <c r="C19" s="438"/>
      <c r="D19" s="436" t="s">
        <v>1302</v>
      </c>
      <c r="E19" s="437"/>
      <c r="F19" s="437"/>
      <c r="G19" s="438"/>
      <c r="H19" s="52" t="s">
        <v>1303</v>
      </c>
      <c r="I19" s="53"/>
    </row>
    <row r="20" spans="1:9" ht="13.15" customHeight="1" x14ac:dyDescent="0.2">
      <c r="A20" s="11" t="s">
        <v>11</v>
      </c>
      <c r="B20" s="395" t="s">
        <v>43</v>
      </c>
      <c r="C20" s="396"/>
      <c r="D20" s="395"/>
      <c r="E20" s="397"/>
      <c r="F20" s="397"/>
      <c r="G20" s="396"/>
      <c r="H20" s="10"/>
      <c r="I20" s="9">
        <f>I16</f>
        <v>20542.199999999997</v>
      </c>
    </row>
    <row r="21" spans="1:9" ht="51" customHeight="1" x14ac:dyDescent="0.2">
      <c r="A21" s="11" t="s">
        <v>13</v>
      </c>
      <c r="B21" s="392" t="s">
        <v>1075</v>
      </c>
      <c r="C21" s="393"/>
      <c r="D21" s="392" t="s">
        <v>1064</v>
      </c>
      <c r="E21" s="394"/>
      <c r="F21" s="394"/>
      <c r="G21" s="393"/>
      <c r="H21" s="13" t="s">
        <v>1065</v>
      </c>
      <c r="I21" s="12">
        <f>I20*5.94</f>
        <v>122020.66799999999</v>
      </c>
    </row>
    <row r="22" spans="1:9" ht="32.25" customHeight="1" x14ac:dyDescent="0.2">
      <c r="A22" s="11" t="s">
        <v>15</v>
      </c>
      <c r="B22" s="395" t="s">
        <v>42</v>
      </c>
      <c r="C22" s="396"/>
      <c r="D22" s="395"/>
      <c r="E22" s="397"/>
      <c r="F22" s="397"/>
      <c r="G22" s="396"/>
      <c r="H22" s="10"/>
      <c r="I22" s="9">
        <f>I21</f>
        <v>122020.66799999999</v>
      </c>
    </row>
    <row r="23" spans="1:9" ht="12.75" customHeight="1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s="8" customFormat="1" ht="25.15" customHeight="1" x14ac:dyDescent="0.2">
      <c r="A24" s="384"/>
      <c r="B24" s="384"/>
      <c r="C24" s="384"/>
      <c r="D24" s="384"/>
      <c r="E24" s="384"/>
      <c r="F24" s="384"/>
      <c r="G24" s="384"/>
      <c r="H24" s="384"/>
      <c r="I24" s="384"/>
    </row>
    <row r="25" spans="1:9" ht="12.75" customHeight="1" x14ac:dyDescent="0.2">
      <c r="D25" s="7"/>
    </row>
  </sheetData>
  <mergeCells count="31">
    <mergeCell ref="B21:C21"/>
    <mergeCell ref="D21:G21"/>
    <mergeCell ref="B22:C22"/>
    <mergeCell ref="D22:G22"/>
    <mergeCell ref="A24:C24"/>
    <mergeCell ref="D24:I24"/>
    <mergeCell ref="B18:C18"/>
    <mergeCell ref="D18:G18"/>
    <mergeCell ref="B19:C19"/>
    <mergeCell ref="D19:G19"/>
    <mergeCell ref="B20:C20"/>
    <mergeCell ref="D20:G20"/>
    <mergeCell ref="B15:C15"/>
    <mergeCell ref="D15:G15"/>
    <mergeCell ref="B16:C16"/>
    <mergeCell ref="D16:G16"/>
    <mergeCell ref="B17:C17"/>
    <mergeCell ref="D17:G17"/>
    <mergeCell ref="B14:C14"/>
    <mergeCell ref="D14:G14"/>
    <mergeCell ref="A1:C1"/>
    <mergeCell ref="D1:I1"/>
    <mergeCell ref="A3:I3"/>
    <mergeCell ref="A4:I4"/>
    <mergeCell ref="A6:C6"/>
    <mergeCell ref="D6:I6"/>
    <mergeCell ref="A8:C8"/>
    <mergeCell ref="D8:I8"/>
    <mergeCell ref="A10:C10"/>
    <mergeCell ref="D10:I10"/>
    <mergeCell ref="A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2"/>
  <dimension ref="A1:I25"/>
  <sheetViews>
    <sheetView view="pageBreakPreview" topLeftCell="A15" zoomScale="60" zoomScaleNormal="100" workbookViewId="0">
      <selection activeCell="I17" sqref="I17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256" width="11.5703125" style="5"/>
    <col min="257" max="257" width="3.7109375" style="5" customWidth="1"/>
    <col min="258" max="258" width="10.7109375" style="5" customWidth="1"/>
    <col min="259" max="259" width="15.7109375" style="5" customWidth="1"/>
    <col min="260" max="260" width="4.42578125" style="5" customWidth="1"/>
    <col min="261" max="263" width="9.28515625" style="5" customWidth="1"/>
    <col min="264" max="264" width="19.7109375" style="5" customWidth="1"/>
    <col min="265" max="265" width="14.7109375" style="5" customWidth="1"/>
    <col min="266" max="266" width="19.7109375" style="5" customWidth="1"/>
    <col min="267" max="512" width="11.5703125" style="5"/>
    <col min="513" max="513" width="3.7109375" style="5" customWidth="1"/>
    <col min="514" max="514" width="10.7109375" style="5" customWidth="1"/>
    <col min="515" max="515" width="15.7109375" style="5" customWidth="1"/>
    <col min="516" max="516" width="4.42578125" style="5" customWidth="1"/>
    <col min="517" max="519" width="9.28515625" style="5" customWidth="1"/>
    <col min="520" max="520" width="19.7109375" style="5" customWidth="1"/>
    <col min="521" max="521" width="14.7109375" style="5" customWidth="1"/>
    <col min="522" max="522" width="19.7109375" style="5" customWidth="1"/>
    <col min="523" max="768" width="11.5703125" style="5"/>
    <col min="769" max="769" width="3.7109375" style="5" customWidth="1"/>
    <col min="770" max="770" width="10.7109375" style="5" customWidth="1"/>
    <col min="771" max="771" width="15.7109375" style="5" customWidth="1"/>
    <col min="772" max="772" width="4.42578125" style="5" customWidth="1"/>
    <col min="773" max="775" width="9.28515625" style="5" customWidth="1"/>
    <col min="776" max="776" width="19.7109375" style="5" customWidth="1"/>
    <col min="777" max="777" width="14.7109375" style="5" customWidth="1"/>
    <col min="778" max="778" width="19.7109375" style="5" customWidth="1"/>
    <col min="779" max="1024" width="11.5703125" style="5"/>
    <col min="1025" max="1025" width="3.7109375" style="5" customWidth="1"/>
    <col min="1026" max="1026" width="10.7109375" style="5" customWidth="1"/>
    <col min="1027" max="1027" width="15.7109375" style="5" customWidth="1"/>
    <col min="1028" max="1028" width="4.42578125" style="5" customWidth="1"/>
    <col min="1029" max="1031" width="9.28515625" style="5" customWidth="1"/>
    <col min="1032" max="1032" width="19.7109375" style="5" customWidth="1"/>
    <col min="1033" max="1033" width="14.7109375" style="5" customWidth="1"/>
    <col min="1034" max="1034" width="19.7109375" style="5" customWidth="1"/>
    <col min="1035" max="1280" width="11.5703125" style="5"/>
    <col min="1281" max="1281" width="3.7109375" style="5" customWidth="1"/>
    <col min="1282" max="1282" width="10.7109375" style="5" customWidth="1"/>
    <col min="1283" max="1283" width="15.7109375" style="5" customWidth="1"/>
    <col min="1284" max="1284" width="4.42578125" style="5" customWidth="1"/>
    <col min="1285" max="1287" width="9.28515625" style="5" customWidth="1"/>
    <col min="1288" max="1288" width="19.7109375" style="5" customWidth="1"/>
    <col min="1289" max="1289" width="14.7109375" style="5" customWidth="1"/>
    <col min="1290" max="1290" width="19.7109375" style="5" customWidth="1"/>
    <col min="1291" max="1536" width="11.5703125" style="5"/>
    <col min="1537" max="1537" width="3.7109375" style="5" customWidth="1"/>
    <col min="1538" max="1538" width="10.7109375" style="5" customWidth="1"/>
    <col min="1539" max="1539" width="15.7109375" style="5" customWidth="1"/>
    <col min="1540" max="1540" width="4.42578125" style="5" customWidth="1"/>
    <col min="1541" max="1543" width="9.28515625" style="5" customWidth="1"/>
    <col min="1544" max="1544" width="19.7109375" style="5" customWidth="1"/>
    <col min="1545" max="1545" width="14.7109375" style="5" customWidth="1"/>
    <col min="1546" max="1546" width="19.7109375" style="5" customWidth="1"/>
    <col min="1547" max="1792" width="11.5703125" style="5"/>
    <col min="1793" max="1793" width="3.7109375" style="5" customWidth="1"/>
    <col min="1794" max="1794" width="10.7109375" style="5" customWidth="1"/>
    <col min="1795" max="1795" width="15.7109375" style="5" customWidth="1"/>
    <col min="1796" max="1796" width="4.42578125" style="5" customWidth="1"/>
    <col min="1797" max="1799" width="9.28515625" style="5" customWidth="1"/>
    <col min="1800" max="1800" width="19.7109375" style="5" customWidth="1"/>
    <col min="1801" max="1801" width="14.7109375" style="5" customWidth="1"/>
    <col min="1802" max="1802" width="19.7109375" style="5" customWidth="1"/>
    <col min="1803" max="2048" width="11.5703125" style="5"/>
    <col min="2049" max="2049" width="3.7109375" style="5" customWidth="1"/>
    <col min="2050" max="2050" width="10.7109375" style="5" customWidth="1"/>
    <col min="2051" max="2051" width="15.7109375" style="5" customWidth="1"/>
    <col min="2052" max="2052" width="4.42578125" style="5" customWidth="1"/>
    <col min="2053" max="2055" width="9.28515625" style="5" customWidth="1"/>
    <col min="2056" max="2056" width="19.7109375" style="5" customWidth="1"/>
    <col min="2057" max="2057" width="14.7109375" style="5" customWidth="1"/>
    <col min="2058" max="2058" width="19.7109375" style="5" customWidth="1"/>
    <col min="2059" max="2304" width="11.5703125" style="5"/>
    <col min="2305" max="2305" width="3.7109375" style="5" customWidth="1"/>
    <col min="2306" max="2306" width="10.7109375" style="5" customWidth="1"/>
    <col min="2307" max="2307" width="15.7109375" style="5" customWidth="1"/>
    <col min="2308" max="2308" width="4.42578125" style="5" customWidth="1"/>
    <col min="2309" max="2311" width="9.28515625" style="5" customWidth="1"/>
    <col min="2312" max="2312" width="19.7109375" style="5" customWidth="1"/>
    <col min="2313" max="2313" width="14.7109375" style="5" customWidth="1"/>
    <col min="2314" max="2314" width="19.7109375" style="5" customWidth="1"/>
    <col min="2315" max="2560" width="11.5703125" style="5"/>
    <col min="2561" max="2561" width="3.7109375" style="5" customWidth="1"/>
    <col min="2562" max="2562" width="10.7109375" style="5" customWidth="1"/>
    <col min="2563" max="2563" width="15.7109375" style="5" customWidth="1"/>
    <col min="2564" max="2564" width="4.42578125" style="5" customWidth="1"/>
    <col min="2565" max="2567" width="9.28515625" style="5" customWidth="1"/>
    <col min="2568" max="2568" width="19.7109375" style="5" customWidth="1"/>
    <col min="2569" max="2569" width="14.7109375" style="5" customWidth="1"/>
    <col min="2570" max="2570" width="19.7109375" style="5" customWidth="1"/>
    <col min="2571" max="2816" width="11.5703125" style="5"/>
    <col min="2817" max="2817" width="3.7109375" style="5" customWidth="1"/>
    <col min="2818" max="2818" width="10.7109375" style="5" customWidth="1"/>
    <col min="2819" max="2819" width="15.7109375" style="5" customWidth="1"/>
    <col min="2820" max="2820" width="4.42578125" style="5" customWidth="1"/>
    <col min="2821" max="2823" width="9.28515625" style="5" customWidth="1"/>
    <col min="2824" max="2824" width="19.7109375" style="5" customWidth="1"/>
    <col min="2825" max="2825" width="14.7109375" style="5" customWidth="1"/>
    <col min="2826" max="2826" width="19.7109375" style="5" customWidth="1"/>
    <col min="2827" max="3072" width="11.5703125" style="5"/>
    <col min="3073" max="3073" width="3.7109375" style="5" customWidth="1"/>
    <col min="3074" max="3074" width="10.7109375" style="5" customWidth="1"/>
    <col min="3075" max="3075" width="15.7109375" style="5" customWidth="1"/>
    <col min="3076" max="3076" width="4.42578125" style="5" customWidth="1"/>
    <col min="3077" max="3079" width="9.28515625" style="5" customWidth="1"/>
    <col min="3080" max="3080" width="19.7109375" style="5" customWidth="1"/>
    <col min="3081" max="3081" width="14.7109375" style="5" customWidth="1"/>
    <col min="3082" max="3082" width="19.7109375" style="5" customWidth="1"/>
    <col min="3083" max="3328" width="11.5703125" style="5"/>
    <col min="3329" max="3329" width="3.7109375" style="5" customWidth="1"/>
    <col min="3330" max="3330" width="10.7109375" style="5" customWidth="1"/>
    <col min="3331" max="3331" width="15.7109375" style="5" customWidth="1"/>
    <col min="3332" max="3332" width="4.42578125" style="5" customWidth="1"/>
    <col min="3333" max="3335" width="9.28515625" style="5" customWidth="1"/>
    <col min="3336" max="3336" width="19.7109375" style="5" customWidth="1"/>
    <col min="3337" max="3337" width="14.7109375" style="5" customWidth="1"/>
    <col min="3338" max="3338" width="19.7109375" style="5" customWidth="1"/>
    <col min="3339" max="3584" width="11.5703125" style="5"/>
    <col min="3585" max="3585" width="3.7109375" style="5" customWidth="1"/>
    <col min="3586" max="3586" width="10.7109375" style="5" customWidth="1"/>
    <col min="3587" max="3587" width="15.7109375" style="5" customWidth="1"/>
    <col min="3588" max="3588" width="4.42578125" style="5" customWidth="1"/>
    <col min="3589" max="3591" width="9.28515625" style="5" customWidth="1"/>
    <col min="3592" max="3592" width="19.7109375" style="5" customWidth="1"/>
    <col min="3593" max="3593" width="14.7109375" style="5" customWidth="1"/>
    <col min="3594" max="3594" width="19.7109375" style="5" customWidth="1"/>
    <col min="3595" max="3840" width="11.5703125" style="5"/>
    <col min="3841" max="3841" width="3.7109375" style="5" customWidth="1"/>
    <col min="3842" max="3842" width="10.7109375" style="5" customWidth="1"/>
    <col min="3843" max="3843" width="15.7109375" style="5" customWidth="1"/>
    <col min="3844" max="3844" width="4.42578125" style="5" customWidth="1"/>
    <col min="3845" max="3847" width="9.28515625" style="5" customWidth="1"/>
    <col min="3848" max="3848" width="19.7109375" style="5" customWidth="1"/>
    <col min="3849" max="3849" width="14.7109375" style="5" customWidth="1"/>
    <col min="3850" max="3850" width="19.7109375" style="5" customWidth="1"/>
    <col min="3851" max="4096" width="11.5703125" style="5"/>
    <col min="4097" max="4097" width="3.7109375" style="5" customWidth="1"/>
    <col min="4098" max="4098" width="10.7109375" style="5" customWidth="1"/>
    <col min="4099" max="4099" width="15.7109375" style="5" customWidth="1"/>
    <col min="4100" max="4100" width="4.42578125" style="5" customWidth="1"/>
    <col min="4101" max="4103" width="9.28515625" style="5" customWidth="1"/>
    <col min="4104" max="4104" width="19.7109375" style="5" customWidth="1"/>
    <col min="4105" max="4105" width="14.7109375" style="5" customWidth="1"/>
    <col min="4106" max="4106" width="19.7109375" style="5" customWidth="1"/>
    <col min="4107" max="4352" width="11.5703125" style="5"/>
    <col min="4353" max="4353" width="3.7109375" style="5" customWidth="1"/>
    <col min="4354" max="4354" width="10.7109375" style="5" customWidth="1"/>
    <col min="4355" max="4355" width="15.7109375" style="5" customWidth="1"/>
    <col min="4356" max="4356" width="4.42578125" style="5" customWidth="1"/>
    <col min="4357" max="4359" width="9.28515625" style="5" customWidth="1"/>
    <col min="4360" max="4360" width="19.7109375" style="5" customWidth="1"/>
    <col min="4361" max="4361" width="14.7109375" style="5" customWidth="1"/>
    <col min="4362" max="4362" width="19.7109375" style="5" customWidth="1"/>
    <col min="4363" max="4608" width="11.5703125" style="5"/>
    <col min="4609" max="4609" width="3.7109375" style="5" customWidth="1"/>
    <col min="4610" max="4610" width="10.7109375" style="5" customWidth="1"/>
    <col min="4611" max="4611" width="15.7109375" style="5" customWidth="1"/>
    <col min="4612" max="4612" width="4.42578125" style="5" customWidth="1"/>
    <col min="4613" max="4615" width="9.28515625" style="5" customWidth="1"/>
    <col min="4616" max="4616" width="19.7109375" style="5" customWidth="1"/>
    <col min="4617" max="4617" width="14.7109375" style="5" customWidth="1"/>
    <col min="4618" max="4618" width="19.7109375" style="5" customWidth="1"/>
    <col min="4619" max="4864" width="11.5703125" style="5"/>
    <col min="4865" max="4865" width="3.7109375" style="5" customWidth="1"/>
    <col min="4866" max="4866" width="10.7109375" style="5" customWidth="1"/>
    <col min="4867" max="4867" width="15.7109375" style="5" customWidth="1"/>
    <col min="4868" max="4868" width="4.42578125" style="5" customWidth="1"/>
    <col min="4869" max="4871" width="9.28515625" style="5" customWidth="1"/>
    <col min="4872" max="4872" width="19.7109375" style="5" customWidth="1"/>
    <col min="4873" max="4873" width="14.7109375" style="5" customWidth="1"/>
    <col min="4874" max="4874" width="19.7109375" style="5" customWidth="1"/>
    <col min="4875" max="5120" width="11.5703125" style="5"/>
    <col min="5121" max="5121" width="3.7109375" style="5" customWidth="1"/>
    <col min="5122" max="5122" width="10.7109375" style="5" customWidth="1"/>
    <col min="5123" max="5123" width="15.7109375" style="5" customWidth="1"/>
    <col min="5124" max="5124" width="4.42578125" style="5" customWidth="1"/>
    <col min="5125" max="5127" width="9.28515625" style="5" customWidth="1"/>
    <col min="5128" max="5128" width="19.7109375" style="5" customWidth="1"/>
    <col min="5129" max="5129" width="14.7109375" style="5" customWidth="1"/>
    <col min="5130" max="5130" width="19.7109375" style="5" customWidth="1"/>
    <col min="5131" max="5376" width="11.5703125" style="5"/>
    <col min="5377" max="5377" width="0.5703125" style="5" customWidth="1"/>
    <col min="5378" max="5378" width="0" style="5" hidden="1" customWidth="1"/>
    <col min="5379" max="5379" width="3.140625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.140625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.140625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.140625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.140625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.140625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.140625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.140625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.140625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.140625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.140625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.140625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.140625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.140625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.140625" style="5" customWidth="1"/>
    <col min="8964" max="8968" width="0" style="5" hidden="1" customWidth="1"/>
    <col min="8969" max="8969" width="5.5703125" style="5" customWidth="1"/>
    <col min="8970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.140625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.140625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.140625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.140625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.140625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.140625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.140625" style="5" customWidth="1"/>
    <col min="10756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.140625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.140625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.140625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.140625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.140625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.140625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.140625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.140625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.140625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.140625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.140625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.140625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.140625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.140625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.140625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.140625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.140625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.140625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.140625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.140625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.140625" style="5" customWidth="1"/>
    <col min="16132" max="16138" width="0" style="5" hidden="1" customWidth="1"/>
    <col min="16139" max="16384" width="0" style="5" hidden="1"/>
  </cols>
  <sheetData>
    <row r="1" spans="1:9" ht="51" customHeight="1" x14ac:dyDescent="0.2">
      <c r="A1" s="419" t="s">
        <v>552</v>
      </c>
      <c r="B1" s="419"/>
      <c r="C1" s="419"/>
      <c r="D1" s="381" t="s">
        <v>553</v>
      </c>
      <c r="E1" s="381"/>
      <c r="F1" s="381"/>
      <c r="G1" s="381"/>
      <c r="H1" s="381"/>
      <c r="I1" s="381"/>
    </row>
    <row r="2" spans="1:9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9" x14ac:dyDescent="0.2">
      <c r="A3" s="382" t="s">
        <v>1279</v>
      </c>
      <c r="B3" s="382"/>
      <c r="C3" s="382"/>
      <c r="D3" s="382"/>
      <c r="E3" s="382"/>
      <c r="F3" s="382"/>
      <c r="G3" s="382"/>
      <c r="H3" s="382"/>
      <c r="I3" s="382"/>
    </row>
    <row r="4" spans="1:9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9" ht="0" hidden="1" customHeight="1" x14ac:dyDescent="0.2">
      <c r="D5" s="34"/>
      <c r="E5" s="34"/>
      <c r="F5" s="34"/>
      <c r="G5" s="34"/>
    </row>
    <row r="6" spans="1:9" ht="66" customHeight="1" x14ac:dyDescent="0.2">
      <c r="A6" s="384" t="s">
        <v>498</v>
      </c>
      <c r="B6" s="384"/>
      <c r="C6" s="384"/>
      <c r="D6" s="388" t="s">
        <v>555</v>
      </c>
      <c r="E6" s="388"/>
      <c r="F6" s="388"/>
      <c r="G6" s="388"/>
      <c r="H6" s="388"/>
      <c r="I6" s="388"/>
    </row>
    <row r="7" spans="1:9" ht="0" hidden="1" customHeight="1" x14ac:dyDescent="0.2">
      <c r="A7" s="29"/>
      <c r="B7" s="29"/>
      <c r="C7" s="29"/>
    </row>
    <row r="8" spans="1:9" ht="41.25" customHeight="1" x14ac:dyDescent="0.2">
      <c r="A8" s="384" t="s">
        <v>499</v>
      </c>
      <c r="B8" s="384"/>
      <c r="C8" s="384"/>
      <c r="D8" s="384" t="s">
        <v>9</v>
      </c>
      <c r="E8" s="384"/>
      <c r="F8" s="384"/>
      <c r="G8" s="384"/>
      <c r="H8" s="384"/>
      <c r="I8" s="384"/>
    </row>
    <row r="9" spans="1:9" ht="0" hidden="1" customHeight="1" x14ac:dyDescent="0.2"/>
    <row r="10" spans="1:9" ht="0" hidden="1" customHeight="1" x14ac:dyDescent="0.2">
      <c r="A10" s="384" t="s">
        <v>500</v>
      </c>
      <c r="B10" s="384"/>
      <c r="C10" s="384"/>
      <c r="D10" s="384"/>
      <c r="E10" s="384"/>
      <c r="F10" s="384"/>
      <c r="G10" s="384"/>
      <c r="H10" s="384"/>
      <c r="I10" s="384"/>
    </row>
    <row r="11" spans="1:9" ht="0" hidden="1" customHeight="1" x14ac:dyDescent="0.2">
      <c r="A11" s="29"/>
      <c r="B11" s="29"/>
      <c r="C11" s="29"/>
      <c r="D11" s="39"/>
      <c r="E11" s="39"/>
      <c r="F11" s="39"/>
      <c r="G11" s="39"/>
      <c r="H11" s="29"/>
      <c r="I11" s="29"/>
    </row>
    <row r="12" spans="1:9" ht="12.75" customHeight="1" x14ac:dyDescent="0.2">
      <c r="A12" s="384" t="s">
        <v>548</v>
      </c>
      <c r="B12" s="384"/>
      <c r="C12" s="384"/>
      <c r="D12" s="384"/>
      <c r="E12" s="384"/>
      <c r="F12" s="384"/>
      <c r="G12" s="384"/>
      <c r="H12" s="384"/>
      <c r="I12" s="384"/>
    </row>
    <row r="13" spans="1:9" ht="12" customHeight="1" x14ac:dyDescent="0.2"/>
    <row r="14" spans="1:9" ht="36.6" customHeight="1" x14ac:dyDescent="0.2">
      <c r="A14" s="27" t="s">
        <v>49</v>
      </c>
      <c r="B14" s="407" t="s">
        <v>467</v>
      </c>
      <c r="C14" s="408"/>
      <c r="D14" s="407" t="s">
        <v>468</v>
      </c>
      <c r="E14" s="409"/>
      <c r="F14" s="409"/>
      <c r="G14" s="408"/>
      <c r="H14" s="75" t="s">
        <v>469</v>
      </c>
      <c r="I14" s="27" t="s">
        <v>280</v>
      </c>
    </row>
    <row r="15" spans="1:9" x14ac:dyDescent="0.2">
      <c r="A15" s="26" t="s">
        <v>10</v>
      </c>
      <c r="B15" s="410">
        <v>2</v>
      </c>
      <c r="C15" s="411"/>
      <c r="D15" s="410">
        <v>3</v>
      </c>
      <c r="E15" s="412"/>
      <c r="F15" s="412"/>
      <c r="G15" s="411"/>
      <c r="H15" s="25">
        <v>4</v>
      </c>
      <c r="I15" s="25">
        <v>5</v>
      </c>
    </row>
    <row r="16" spans="1:9" ht="100.5" customHeight="1" x14ac:dyDescent="0.2">
      <c r="A16" t="s">
        <v>10</v>
      </c>
      <c r="B16" s="413" t="s">
        <v>549</v>
      </c>
      <c r="C16" s="414"/>
      <c r="D16" s="415" t="s">
        <v>550</v>
      </c>
      <c r="E16" s="416"/>
      <c r="F16" s="416"/>
      <c r="G16" s="417"/>
      <c r="H16" s="82" t="s">
        <v>1400</v>
      </c>
      <c r="I16" s="83">
        <f>ROUND((275380  + 73060  * 5.1) * 1 * 0.34 * 0.0666,0)*1.4</f>
        <v>20542.199999999997</v>
      </c>
    </row>
    <row r="17" spans="1:9" ht="16.149999999999999" customHeight="1" x14ac:dyDescent="0.2">
      <c r="A17" t="s">
        <v>39</v>
      </c>
      <c r="B17" s="423"/>
      <c r="C17" s="424"/>
      <c r="D17" s="423" t="s">
        <v>45</v>
      </c>
      <c r="E17" s="418"/>
      <c r="F17" s="418"/>
      <c r="G17" s="424"/>
      <c r="H17"/>
      <c r="I17" s="84"/>
    </row>
    <row r="18" spans="1:9" ht="108" customHeight="1" x14ac:dyDescent="0.2">
      <c r="A18" t="s">
        <v>39</v>
      </c>
      <c r="B18" s="421"/>
      <c r="C18" s="422"/>
      <c r="D18" s="421" t="s">
        <v>1304</v>
      </c>
      <c r="E18" s="384"/>
      <c r="F18" s="384"/>
      <c r="G18" s="422"/>
      <c r="H18"/>
      <c r="I18" s="84"/>
    </row>
    <row r="19" spans="1:9" ht="72.75" customHeight="1" x14ac:dyDescent="0.2">
      <c r="A19" t="s">
        <v>39</v>
      </c>
      <c r="B19" s="436"/>
      <c r="C19" s="438"/>
      <c r="D19" s="436" t="s">
        <v>1302</v>
      </c>
      <c r="E19" s="437"/>
      <c r="F19" s="437"/>
      <c r="G19" s="438"/>
      <c r="H19" s="52" t="s">
        <v>1303</v>
      </c>
      <c r="I19" s="85"/>
    </row>
    <row r="20" spans="1:9" ht="23.25" customHeight="1" x14ac:dyDescent="0.2">
      <c r="A20" s="11" t="s">
        <v>11</v>
      </c>
      <c r="B20" s="395" t="s">
        <v>43</v>
      </c>
      <c r="C20" s="396"/>
      <c r="D20" s="395"/>
      <c r="E20" s="397"/>
      <c r="F20" s="397"/>
      <c r="G20" s="396"/>
      <c r="H20" s="10"/>
      <c r="I20" s="9">
        <f>I16</f>
        <v>20542.199999999997</v>
      </c>
    </row>
    <row r="21" spans="1:9" ht="43.5" customHeight="1" x14ac:dyDescent="0.2">
      <c r="A21" s="11" t="s">
        <v>13</v>
      </c>
      <c r="B21" s="392" t="s">
        <v>1075</v>
      </c>
      <c r="C21" s="393"/>
      <c r="D21" s="392" t="s">
        <v>1064</v>
      </c>
      <c r="E21" s="394"/>
      <c r="F21" s="394"/>
      <c r="G21" s="393"/>
      <c r="H21" s="13" t="s">
        <v>1065</v>
      </c>
      <c r="I21" s="12">
        <f>I20*5.94</f>
        <v>122020.66799999999</v>
      </c>
    </row>
    <row r="22" spans="1:9" ht="50.25" customHeight="1" x14ac:dyDescent="0.2">
      <c r="A22" s="11" t="s">
        <v>15</v>
      </c>
      <c r="B22" s="395" t="s">
        <v>42</v>
      </c>
      <c r="C22" s="396"/>
      <c r="D22" s="395"/>
      <c r="E22" s="397"/>
      <c r="F22" s="397"/>
      <c r="G22" s="396"/>
      <c r="H22" s="10"/>
      <c r="I22" s="9">
        <f>I21</f>
        <v>122020.66799999999</v>
      </c>
    </row>
    <row r="23" spans="1:9" ht="12.75" customHeight="1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s="8" customFormat="1" ht="25.15" customHeight="1" x14ac:dyDescent="0.2">
      <c r="A24" s="384"/>
      <c r="B24" s="384"/>
      <c r="C24" s="384"/>
      <c r="D24" s="384"/>
      <c r="E24" s="384"/>
      <c r="F24" s="384"/>
      <c r="G24" s="384"/>
      <c r="H24" s="384"/>
      <c r="I24" s="384"/>
    </row>
    <row r="25" spans="1:9" ht="12.75" customHeight="1" x14ac:dyDescent="0.2">
      <c r="D25" s="7"/>
    </row>
  </sheetData>
  <mergeCells count="31">
    <mergeCell ref="B21:C21"/>
    <mergeCell ref="D21:G21"/>
    <mergeCell ref="B22:C22"/>
    <mergeCell ref="D22:G22"/>
    <mergeCell ref="A24:C24"/>
    <mergeCell ref="D24:I24"/>
    <mergeCell ref="B18:C18"/>
    <mergeCell ref="D18:G18"/>
    <mergeCell ref="B19:C19"/>
    <mergeCell ref="D19:G19"/>
    <mergeCell ref="B20:C20"/>
    <mergeCell ref="D20:G20"/>
    <mergeCell ref="B15:C15"/>
    <mergeCell ref="D15:G15"/>
    <mergeCell ref="B16:C16"/>
    <mergeCell ref="D16:G16"/>
    <mergeCell ref="B17:C17"/>
    <mergeCell ref="D17:G17"/>
    <mergeCell ref="B14:C14"/>
    <mergeCell ref="D14:G14"/>
    <mergeCell ref="A1:C1"/>
    <mergeCell ref="D1:I1"/>
    <mergeCell ref="A3:I3"/>
    <mergeCell ref="A4:I4"/>
    <mergeCell ref="A6:C6"/>
    <mergeCell ref="D6:I6"/>
    <mergeCell ref="A8:C8"/>
    <mergeCell ref="D8:I8"/>
    <mergeCell ref="A10:C10"/>
    <mergeCell ref="D10:I10"/>
    <mergeCell ref="A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15"/>
  <dimension ref="A1:K44"/>
  <sheetViews>
    <sheetView view="pageBreakPreview" topLeftCell="A13" zoomScale="60" zoomScaleNormal="100" workbookViewId="0">
      <selection activeCell="P30" sqref="P30"/>
    </sheetView>
  </sheetViews>
  <sheetFormatPr defaultColWidth="0" defaultRowHeight="12.75" x14ac:dyDescent="0.2"/>
  <cols>
    <col min="1" max="1" width="6.7109375" style="6" customWidth="1"/>
    <col min="2" max="2" width="12.7109375" style="6" customWidth="1"/>
    <col min="3" max="3" width="21.7109375" style="6" customWidth="1"/>
    <col min="4" max="7" width="9.140625" style="6" customWidth="1"/>
    <col min="8" max="8" width="24.28515625" style="6" customWidth="1"/>
    <col min="9" max="9" width="18.7109375" style="6" customWidth="1"/>
    <col min="10" max="255" width="9.140625" style="5" customWidth="1"/>
    <col min="256" max="256" width="24.5703125" style="5" customWidth="1"/>
    <col min="257" max="257" width="0.5703125" style="5" customWidth="1"/>
    <col min="258" max="258" width="0" style="5" hidden="1" customWidth="1"/>
    <col min="259" max="259" width="3" style="5" customWidth="1"/>
    <col min="260" max="266" width="0" style="5" hidden="1" customWidth="1"/>
    <col min="267" max="512" width="0" style="5" hidden="1"/>
    <col min="513" max="513" width="0.5703125" style="5" customWidth="1"/>
    <col min="514" max="514" width="0" style="5" hidden="1" customWidth="1"/>
    <col min="515" max="515" width="3" style="5" customWidth="1"/>
    <col min="516" max="522" width="0" style="5" hidden="1" customWidth="1"/>
    <col min="523" max="768" width="0" style="5" hidden="1"/>
    <col min="769" max="769" width="0.5703125" style="5" customWidth="1"/>
    <col min="770" max="770" width="0" style="5" hidden="1" customWidth="1"/>
    <col min="771" max="771" width="3" style="5" customWidth="1"/>
    <col min="772" max="778" width="0" style="5" hidden="1" customWidth="1"/>
    <col min="779" max="1024" width="0" style="5" hidden="1"/>
    <col min="1025" max="1025" width="0.5703125" style="5" customWidth="1"/>
    <col min="1026" max="1026" width="0" style="5" hidden="1" customWidth="1"/>
    <col min="1027" max="1027" width="3" style="5" customWidth="1"/>
    <col min="1028" max="1034" width="0" style="5" hidden="1" customWidth="1"/>
    <col min="1035" max="1280" width="0" style="5" hidden="1"/>
    <col min="1281" max="1281" width="0.5703125" style="5" customWidth="1"/>
    <col min="1282" max="1282" width="0" style="5" hidden="1" customWidth="1"/>
    <col min="1283" max="1283" width="3" style="5" customWidth="1"/>
    <col min="1284" max="1290" width="0" style="5" hidden="1" customWidth="1"/>
    <col min="1291" max="1536" width="0" style="5" hidden="1"/>
    <col min="1537" max="1537" width="0.5703125" style="5" customWidth="1"/>
    <col min="1538" max="1538" width="0" style="5" hidden="1" customWidth="1"/>
    <col min="1539" max="1539" width="3" style="5" customWidth="1"/>
    <col min="1540" max="1546" width="0" style="5" hidden="1" customWidth="1"/>
    <col min="1547" max="1792" width="0" style="5" hidden="1"/>
    <col min="1793" max="1793" width="0.5703125" style="5" customWidth="1"/>
    <col min="1794" max="1794" width="0" style="5" hidden="1" customWidth="1"/>
    <col min="1795" max="1795" width="3" style="5" customWidth="1"/>
    <col min="1796" max="1802" width="0" style="5" hidden="1" customWidth="1"/>
    <col min="1803" max="2048" width="0" style="5" hidden="1"/>
    <col min="2049" max="2049" width="0.5703125" style="5" customWidth="1"/>
    <col min="2050" max="2050" width="0" style="5" hidden="1" customWidth="1"/>
    <col min="2051" max="2051" width="3" style="5" customWidth="1"/>
    <col min="2052" max="2058" width="0" style="5" hidden="1" customWidth="1"/>
    <col min="2059" max="2304" width="0" style="5" hidden="1"/>
    <col min="2305" max="2305" width="0.5703125" style="5" customWidth="1"/>
    <col min="2306" max="2306" width="0" style="5" hidden="1" customWidth="1"/>
    <col min="2307" max="2307" width="3" style="5" customWidth="1"/>
    <col min="2308" max="2314" width="0" style="5" hidden="1" customWidth="1"/>
    <col min="2315" max="2560" width="0" style="5" hidden="1"/>
    <col min="2561" max="2561" width="0.5703125" style="5" customWidth="1"/>
    <col min="2562" max="2562" width="0" style="5" hidden="1" customWidth="1"/>
    <col min="2563" max="2563" width="3" style="5" customWidth="1"/>
    <col min="2564" max="2570" width="0" style="5" hidden="1" customWidth="1"/>
    <col min="2571" max="2816" width="0" style="5" hidden="1"/>
    <col min="2817" max="2817" width="0.5703125" style="5" customWidth="1"/>
    <col min="2818" max="2818" width="0" style="5" hidden="1" customWidth="1"/>
    <col min="2819" max="2819" width="3" style="5" customWidth="1"/>
    <col min="2820" max="2826" width="0" style="5" hidden="1" customWidth="1"/>
    <col min="2827" max="3072" width="0" style="5" hidden="1"/>
    <col min="3073" max="3073" width="0.5703125" style="5" customWidth="1"/>
    <col min="3074" max="3074" width="0" style="5" hidden="1" customWidth="1"/>
    <col min="3075" max="3075" width="3" style="5" customWidth="1"/>
    <col min="3076" max="3082" width="0" style="5" hidden="1" customWidth="1"/>
    <col min="3083" max="3328" width="0" style="5" hidden="1"/>
    <col min="3329" max="3329" width="0.5703125" style="5" customWidth="1"/>
    <col min="3330" max="3330" width="0" style="5" hidden="1" customWidth="1"/>
    <col min="3331" max="3331" width="3" style="5" customWidth="1"/>
    <col min="3332" max="3338" width="0" style="5" hidden="1" customWidth="1"/>
    <col min="3339" max="3584" width="0" style="5" hidden="1"/>
    <col min="3585" max="3585" width="0.5703125" style="5" customWidth="1"/>
    <col min="3586" max="3586" width="0" style="5" hidden="1" customWidth="1"/>
    <col min="3587" max="3587" width="3" style="5" customWidth="1"/>
    <col min="3588" max="3594" width="0" style="5" hidden="1" customWidth="1"/>
    <col min="3595" max="3840" width="0" style="5" hidden="1"/>
    <col min="3841" max="3841" width="0.5703125" style="5" customWidth="1"/>
    <col min="3842" max="3842" width="0" style="5" hidden="1" customWidth="1"/>
    <col min="3843" max="3843" width="3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" style="5" customWidth="1"/>
    <col min="10756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" style="5" customWidth="1"/>
    <col min="16132" max="16138" width="0" style="5" hidden="1" customWidth="1"/>
    <col min="16139" max="16384" width="0" style="5" hidden="1"/>
  </cols>
  <sheetData>
    <row r="1" spans="1:10" ht="9.6" customHeight="1" x14ac:dyDescent="0.2">
      <c r="A1" s="419" t="s">
        <v>1161</v>
      </c>
      <c r="B1" s="419"/>
      <c r="C1" s="419"/>
      <c r="D1" s="381" t="s">
        <v>1190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1198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120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0" hidden="1" customHeight="1" x14ac:dyDescent="0.2">
      <c r="A8" s="384" t="s">
        <v>1311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1179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36.6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11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1" ht="152.25" customHeight="1" x14ac:dyDescent="0.2">
      <c r="A18" s="24" t="s">
        <v>10</v>
      </c>
      <c r="B18" s="413" t="s">
        <v>1407</v>
      </c>
      <c r="C18" s="414"/>
      <c r="D18" s="415" t="s">
        <v>1408</v>
      </c>
      <c r="E18" s="416"/>
      <c r="F18" s="416"/>
      <c r="G18" s="417"/>
      <c r="H18" s="23" t="s">
        <v>1409</v>
      </c>
      <c r="I18" s="160">
        <f>K18</f>
        <v>43.959000000000003</v>
      </c>
      <c r="K18" s="5">
        <f>ROUND((17.7+0.234*(0.4*100+0.6*70))*1*0.4*1.4*1.4*1.9*0.8,3)</f>
        <v>43.959000000000003</v>
      </c>
    </row>
    <row r="19" spans="1:11" ht="17.25" customHeight="1" x14ac:dyDescent="0.2">
      <c r="A19" s="161" t="s">
        <v>39</v>
      </c>
      <c r="B19" s="398" t="s">
        <v>45</v>
      </c>
      <c r="C19" s="399"/>
      <c r="D19" s="398"/>
      <c r="E19" s="400"/>
      <c r="F19" s="400"/>
      <c r="G19" s="399"/>
      <c r="H19" s="162"/>
      <c r="I19" s="163"/>
    </row>
    <row r="20" spans="1:11" ht="21.75" customHeight="1" x14ac:dyDescent="0.2">
      <c r="A20" s="164" t="s">
        <v>39</v>
      </c>
      <c r="B20" s="459" t="s">
        <v>1200</v>
      </c>
      <c r="C20" s="460"/>
      <c r="D20" s="459" t="s">
        <v>1201</v>
      </c>
      <c r="E20" s="461"/>
      <c r="F20" s="461"/>
      <c r="G20" s="460"/>
      <c r="H20" s="165"/>
      <c r="I20" s="166"/>
    </row>
    <row r="21" spans="1:11" ht="149.25" customHeight="1" x14ac:dyDescent="0.2">
      <c r="A21" s="164" t="s">
        <v>39</v>
      </c>
      <c r="B21" s="459" t="s">
        <v>1202</v>
      </c>
      <c r="C21" s="460"/>
      <c r="D21" s="459" t="s">
        <v>1203</v>
      </c>
      <c r="E21" s="461"/>
      <c r="F21" s="461"/>
      <c r="G21" s="460"/>
      <c r="H21" s="165"/>
      <c r="I21" s="166"/>
    </row>
    <row r="22" spans="1:11" ht="40.5" customHeight="1" x14ac:dyDescent="0.2">
      <c r="A22" s="164" t="s">
        <v>39</v>
      </c>
      <c r="B22" s="459" t="s">
        <v>1204</v>
      </c>
      <c r="C22" s="460"/>
      <c r="D22" s="459" t="s">
        <v>1205</v>
      </c>
      <c r="E22" s="461"/>
      <c r="F22" s="461"/>
      <c r="G22" s="460"/>
      <c r="H22" s="165"/>
      <c r="I22" s="166"/>
    </row>
    <row r="23" spans="1:11" ht="41.25" customHeight="1" x14ac:dyDescent="0.2">
      <c r="A23" s="440" t="s">
        <v>39</v>
      </c>
      <c r="B23" s="421" t="s">
        <v>1206</v>
      </c>
      <c r="C23" s="422"/>
      <c r="D23" s="421" t="s">
        <v>1207</v>
      </c>
      <c r="E23" s="384"/>
      <c r="F23" s="384"/>
      <c r="G23" s="422"/>
      <c r="H23" s="431"/>
      <c r="I23" s="462"/>
    </row>
    <row r="24" spans="1:11" ht="12.75" customHeight="1" x14ac:dyDescent="0.2">
      <c r="A24" s="440"/>
      <c r="B24" s="421"/>
      <c r="C24" s="422"/>
      <c r="D24" s="421"/>
      <c r="E24" s="384"/>
      <c r="F24" s="384"/>
      <c r="G24" s="422"/>
      <c r="H24" s="431"/>
      <c r="I24" s="462"/>
    </row>
    <row r="25" spans="1:11" ht="57.75" customHeight="1" x14ac:dyDescent="0.2">
      <c r="A25" s="175" t="s">
        <v>39</v>
      </c>
      <c r="B25" s="401" t="s">
        <v>1208</v>
      </c>
      <c r="C25" s="402"/>
      <c r="D25" s="401" t="s">
        <v>1209</v>
      </c>
      <c r="E25" s="403"/>
      <c r="F25" s="403"/>
      <c r="G25" s="402"/>
      <c r="H25" s="176"/>
      <c r="I25" s="177"/>
    </row>
    <row r="26" spans="1:11" ht="12.75" customHeight="1" x14ac:dyDescent="0.2">
      <c r="A26" s="51" t="s">
        <v>11</v>
      </c>
      <c r="B26" s="404" t="s">
        <v>43</v>
      </c>
      <c r="C26" s="405"/>
      <c r="D26" s="404"/>
      <c r="E26" s="406"/>
      <c r="F26" s="406"/>
      <c r="G26" s="405"/>
      <c r="H26" s="170"/>
      <c r="I26" s="171">
        <f>ROUND(($I$18),3)</f>
        <v>43.959000000000003</v>
      </c>
    </row>
    <row r="27" spans="1:11" ht="44.25" customHeight="1" x14ac:dyDescent="0.2">
      <c r="A27" s="11" t="s">
        <v>13</v>
      </c>
      <c r="B27" s="392" t="s">
        <v>1076</v>
      </c>
      <c r="C27" s="393"/>
      <c r="D27" s="392" t="s">
        <v>1064</v>
      </c>
      <c r="E27" s="394"/>
      <c r="F27" s="394"/>
      <c r="G27" s="393"/>
      <c r="H27" s="13" t="s">
        <v>1077</v>
      </c>
      <c r="I27" s="302">
        <f>I26*1.4</f>
        <v>61.5426</v>
      </c>
    </row>
    <row r="28" spans="1:11" ht="16.5" customHeight="1" x14ac:dyDescent="0.2">
      <c r="A28" s="11" t="s">
        <v>15</v>
      </c>
      <c r="B28" s="395" t="s">
        <v>42</v>
      </c>
      <c r="C28" s="396"/>
      <c r="D28" s="395"/>
      <c r="E28" s="397"/>
      <c r="F28" s="397"/>
      <c r="G28" s="396"/>
      <c r="H28" s="10"/>
      <c r="I28" s="172">
        <f>I27</f>
        <v>61.5426</v>
      </c>
    </row>
    <row r="29" spans="1:11" ht="12.75" customHeight="1" x14ac:dyDescent="0.2"/>
    <row r="30" spans="1:11" s="8" customFormat="1" ht="24.95" customHeight="1" x14ac:dyDescent="0.2">
      <c r="A30" s="384" t="s">
        <v>725</v>
      </c>
      <c r="B30" s="384"/>
      <c r="C30" s="384"/>
      <c r="D30" s="463">
        <f>I28</f>
        <v>61.5426</v>
      </c>
      <c r="E30" s="384"/>
      <c r="F30" s="384"/>
      <c r="G30" s="384"/>
      <c r="H30" s="384"/>
      <c r="I30" s="384"/>
    </row>
    <row r="31" spans="1:11" ht="12.75" customHeight="1" x14ac:dyDescent="0.2">
      <c r="D31" s="7"/>
    </row>
    <row r="32" spans="1:11" x14ac:dyDescent="0.2">
      <c r="A32" s="391" t="s">
        <v>0</v>
      </c>
      <c r="B32" s="391"/>
      <c r="C32" s="391"/>
      <c r="D32" s="391"/>
      <c r="E32" s="391"/>
      <c r="F32" s="391"/>
      <c r="G32" s="391"/>
      <c r="H32" s="391"/>
      <c r="I32" s="391"/>
    </row>
    <row r="33" spans="1:9" x14ac:dyDescent="0.2">
      <c r="A33" s="391"/>
      <c r="B33" s="391"/>
      <c r="C33" s="391"/>
      <c r="D33" s="391"/>
      <c r="E33" s="391"/>
      <c r="F33" s="391"/>
      <c r="G33" s="391"/>
      <c r="H33" s="391"/>
      <c r="I33" s="391"/>
    </row>
    <row r="34" spans="1:9" x14ac:dyDescent="0.2">
      <c r="D34" s="389" t="s">
        <v>2</v>
      </c>
      <c r="E34" s="390"/>
      <c r="F34" s="390"/>
      <c r="G34" s="390"/>
      <c r="H34" s="390"/>
      <c r="I34" s="390"/>
    </row>
    <row r="36" spans="1:9" x14ac:dyDescent="0.2">
      <c r="A36" s="391" t="s">
        <v>1</v>
      </c>
      <c r="B36" s="391"/>
      <c r="C36" s="391"/>
      <c r="D36" s="391"/>
      <c r="E36" s="391"/>
      <c r="F36" s="391"/>
      <c r="G36" s="391"/>
      <c r="H36" s="391"/>
      <c r="I36" s="391"/>
    </row>
    <row r="37" spans="1:9" x14ac:dyDescent="0.2">
      <c r="A37" s="391"/>
      <c r="B37" s="391"/>
      <c r="C37" s="391"/>
      <c r="D37" s="391"/>
      <c r="E37" s="391"/>
      <c r="F37" s="391"/>
      <c r="G37" s="391"/>
      <c r="H37" s="391"/>
      <c r="I37" s="391"/>
    </row>
    <row r="38" spans="1:9" x14ac:dyDescent="0.2">
      <c r="D38" s="389" t="s">
        <v>2</v>
      </c>
      <c r="E38" s="390"/>
      <c r="F38" s="390"/>
      <c r="G38" s="390"/>
      <c r="H38" s="390"/>
      <c r="I38" s="390"/>
    </row>
    <row r="40" spans="1:9" x14ac:dyDescent="0.2">
      <c r="A40" s="391" t="s">
        <v>5</v>
      </c>
      <c r="B40" s="391"/>
      <c r="C40" s="391"/>
      <c r="D40" s="391"/>
      <c r="E40" s="391"/>
      <c r="F40" s="391"/>
      <c r="G40" s="6" t="s">
        <v>7</v>
      </c>
      <c r="H40" s="391"/>
      <c r="I40" s="391"/>
    </row>
    <row r="41" spans="1:9" x14ac:dyDescent="0.2">
      <c r="D41" s="389" t="s">
        <v>40</v>
      </c>
      <c r="E41" s="390"/>
      <c r="F41" s="390"/>
      <c r="H41" s="389" t="s">
        <v>2</v>
      </c>
      <c r="I41" s="390"/>
    </row>
    <row r="43" spans="1:9" x14ac:dyDescent="0.2">
      <c r="A43" s="391" t="s">
        <v>3</v>
      </c>
      <c r="B43" s="391"/>
      <c r="C43" s="391"/>
      <c r="D43" s="391"/>
      <c r="E43" s="391"/>
      <c r="F43" s="391"/>
      <c r="G43" s="391"/>
      <c r="H43" s="391"/>
      <c r="I43" s="391"/>
    </row>
    <row r="44" spans="1:9" x14ac:dyDescent="0.2">
      <c r="D44" s="389" t="s">
        <v>6</v>
      </c>
      <c r="E44" s="390"/>
      <c r="F44" s="390"/>
      <c r="G44" s="390"/>
      <c r="H44" s="390"/>
      <c r="I44" s="390"/>
    </row>
  </sheetData>
  <mergeCells count="55">
    <mergeCell ref="A36:C37"/>
    <mergeCell ref="D36:I37"/>
    <mergeCell ref="B28:C28"/>
    <mergeCell ref="D28:G28"/>
    <mergeCell ref="A30:C30"/>
    <mergeCell ref="D30:I30"/>
    <mergeCell ref="A32:C33"/>
    <mergeCell ref="D32:I33"/>
    <mergeCell ref="D34:I34"/>
    <mergeCell ref="A43:C43"/>
    <mergeCell ref="D43:I43"/>
    <mergeCell ref="D44:I44"/>
    <mergeCell ref="D38:I38"/>
    <mergeCell ref="A40:C40"/>
    <mergeCell ref="D40:F40"/>
    <mergeCell ref="H40:I40"/>
    <mergeCell ref="D41:F41"/>
    <mergeCell ref="H41:I41"/>
    <mergeCell ref="B27:C27"/>
    <mergeCell ref="B22:C22"/>
    <mergeCell ref="D22:G22"/>
    <mergeCell ref="A23:A24"/>
    <mergeCell ref="B23:C24"/>
    <mergeCell ref="D23:G24"/>
    <mergeCell ref="D27:G27"/>
    <mergeCell ref="I23:I24"/>
    <mergeCell ref="B25:C25"/>
    <mergeCell ref="D25:G25"/>
    <mergeCell ref="B26:C26"/>
    <mergeCell ref="D26:G26"/>
    <mergeCell ref="H23:H24"/>
    <mergeCell ref="B19:C19"/>
    <mergeCell ref="D19:G19"/>
    <mergeCell ref="B20:C20"/>
    <mergeCell ref="D20:G20"/>
    <mergeCell ref="B21:C21"/>
    <mergeCell ref="D21:G21"/>
    <mergeCell ref="B16:C16"/>
    <mergeCell ref="D16:G16"/>
    <mergeCell ref="B17:C17"/>
    <mergeCell ref="D17:G17"/>
    <mergeCell ref="B18:C18"/>
    <mergeCell ref="D18:G18"/>
    <mergeCell ref="A14:I14"/>
    <mergeCell ref="A1:C1"/>
    <mergeCell ref="D1:I1"/>
    <mergeCell ref="A3:I3"/>
    <mergeCell ref="A4:I4"/>
    <mergeCell ref="A6:B6"/>
    <mergeCell ref="C6:I6"/>
    <mergeCell ref="A8:I8"/>
    <mergeCell ref="A10:C10"/>
    <mergeCell ref="D10:I10"/>
    <mergeCell ref="A12:C12"/>
    <mergeCell ref="D12:I12"/>
  </mergeCells>
  <pageMargins left="0.39370078740157477" right="0.39370078740157477" top="0.74803149606299213" bottom="0.74803149606299213" header="0.31496062992125984" footer="0.31496062992125984"/>
  <pageSetup paperSize="9" scale="80" orientation="portrait" useFirstPageNumber="1" horizontalDpi="300" verticalDpi="300" r:id="rId1"/>
  <headerFooter alignWithMargins="0">
    <oddFooter>&amp;CСтраница &amp;P</oddFooter>
  </headerFooter>
  <colBreaks count="1" manualBreakCount="1">
    <brk id="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17"/>
  <dimension ref="A1:J82"/>
  <sheetViews>
    <sheetView view="pageBreakPreview" zoomScale="60" zoomScaleNormal="100" workbookViewId="0">
      <selection activeCell="H18" sqref="H18"/>
    </sheetView>
  </sheetViews>
  <sheetFormatPr defaultColWidth="0" defaultRowHeight="12.75" x14ac:dyDescent="0.2"/>
  <cols>
    <col min="1" max="1" width="4.7109375" style="6" customWidth="1"/>
    <col min="2" max="2" width="8.28515625" style="6" customWidth="1"/>
    <col min="3" max="3" width="26.5703125" style="6" customWidth="1"/>
    <col min="4" max="7" width="9.140625" style="6" customWidth="1"/>
    <col min="8" max="8" width="28" style="6" customWidth="1"/>
    <col min="9" max="9" width="12.85546875" style="6" customWidth="1"/>
    <col min="10" max="256" width="9.140625" style="5" customWidth="1"/>
    <col min="257" max="257" width="0.5703125" style="5" customWidth="1"/>
    <col min="258" max="258" width="9.140625" style="5" customWidth="1"/>
    <col min="259" max="259" width="3" style="5" customWidth="1"/>
    <col min="260" max="266" width="0" style="5" hidden="1" customWidth="1"/>
    <col min="267" max="512" width="0" style="5" hidden="1"/>
    <col min="513" max="513" width="0.5703125" style="5" customWidth="1"/>
    <col min="514" max="514" width="0" style="5" hidden="1" customWidth="1"/>
    <col min="515" max="515" width="3" style="5" customWidth="1"/>
    <col min="516" max="522" width="0" style="5" hidden="1" customWidth="1"/>
    <col min="523" max="768" width="0" style="5" hidden="1"/>
    <col min="769" max="769" width="0.5703125" style="5" customWidth="1"/>
    <col min="770" max="770" width="0" style="5" hidden="1" customWidth="1"/>
    <col min="771" max="771" width="3" style="5" customWidth="1"/>
    <col min="772" max="778" width="0" style="5" hidden="1" customWidth="1"/>
    <col min="779" max="1024" width="0" style="5" hidden="1"/>
    <col min="1025" max="1025" width="0.5703125" style="5" customWidth="1"/>
    <col min="1026" max="1026" width="0" style="5" hidden="1" customWidth="1"/>
    <col min="1027" max="1027" width="3" style="5" customWidth="1"/>
    <col min="1028" max="1034" width="0" style="5" hidden="1" customWidth="1"/>
    <col min="1035" max="1280" width="0" style="5" hidden="1"/>
    <col min="1281" max="1281" width="0.5703125" style="5" customWidth="1"/>
    <col min="1282" max="1282" width="0" style="5" hidden="1" customWidth="1"/>
    <col min="1283" max="1283" width="3" style="5" customWidth="1"/>
    <col min="1284" max="1290" width="0" style="5" hidden="1" customWidth="1"/>
    <col min="1291" max="1536" width="0" style="5" hidden="1"/>
    <col min="1537" max="1537" width="0.5703125" style="5" customWidth="1"/>
    <col min="1538" max="1538" width="0" style="5" hidden="1" customWidth="1"/>
    <col min="1539" max="1539" width="3" style="5" customWidth="1"/>
    <col min="1540" max="1546" width="0" style="5" hidden="1" customWidth="1"/>
    <col min="1547" max="1792" width="0" style="5" hidden="1"/>
    <col min="1793" max="1793" width="0.5703125" style="5" customWidth="1"/>
    <col min="1794" max="1794" width="0" style="5" hidden="1" customWidth="1"/>
    <col min="1795" max="1795" width="3" style="5" customWidth="1"/>
    <col min="1796" max="1802" width="0" style="5" hidden="1" customWidth="1"/>
    <col min="1803" max="2048" width="0" style="5" hidden="1"/>
    <col min="2049" max="2049" width="0.5703125" style="5" customWidth="1"/>
    <col min="2050" max="2050" width="0" style="5" hidden="1" customWidth="1"/>
    <col min="2051" max="2051" width="3" style="5" customWidth="1"/>
    <col min="2052" max="2058" width="0" style="5" hidden="1" customWidth="1"/>
    <col min="2059" max="2304" width="0" style="5" hidden="1"/>
    <col min="2305" max="2305" width="0.5703125" style="5" customWidth="1"/>
    <col min="2306" max="2306" width="0" style="5" hidden="1" customWidth="1"/>
    <col min="2307" max="2307" width="3" style="5" customWidth="1"/>
    <col min="2308" max="2314" width="0" style="5" hidden="1" customWidth="1"/>
    <col min="2315" max="2560" width="0" style="5" hidden="1"/>
    <col min="2561" max="2561" width="0.5703125" style="5" customWidth="1"/>
    <col min="2562" max="2562" width="0" style="5" hidden="1" customWidth="1"/>
    <col min="2563" max="2563" width="3" style="5" customWidth="1"/>
    <col min="2564" max="2570" width="0" style="5" hidden="1" customWidth="1"/>
    <col min="2571" max="2816" width="0" style="5" hidden="1"/>
    <col min="2817" max="2817" width="0.5703125" style="5" customWidth="1"/>
    <col min="2818" max="2818" width="0" style="5" hidden="1" customWidth="1"/>
    <col min="2819" max="2819" width="3" style="5" customWidth="1"/>
    <col min="2820" max="2826" width="0" style="5" hidden="1" customWidth="1"/>
    <col min="2827" max="3072" width="0" style="5" hidden="1"/>
    <col min="3073" max="3073" width="0.5703125" style="5" customWidth="1"/>
    <col min="3074" max="3074" width="0" style="5" hidden="1" customWidth="1"/>
    <col min="3075" max="3075" width="3" style="5" customWidth="1"/>
    <col min="3076" max="3082" width="0" style="5" hidden="1" customWidth="1"/>
    <col min="3083" max="3328" width="0" style="5" hidden="1"/>
    <col min="3329" max="3329" width="0.5703125" style="5" customWidth="1"/>
    <col min="3330" max="3330" width="0" style="5" hidden="1" customWidth="1"/>
    <col min="3331" max="3331" width="3" style="5" customWidth="1"/>
    <col min="3332" max="3338" width="0" style="5" hidden="1" customWidth="1"/>
    <col min="3339" max="3584" width="0" style="5" hidden="1"/>
    <col min="3585" max="3585" width="0.5703125" style="5" customWidth="1"/>
    <col min="3586" max="3586" width="0" style="5" hidden="1" customWidth="1"/>
    <col min="3587" max="3587" width="3" style="5" customWidth="1"/>
    <col min="3588" max="3594" width="0" style="5" hidden="1" customWidth="1"/>
    <col min="3595" max="3840" width="0" style="5" hidden="1"/>
    <col min="3841" max="3841" width="0.5703125" style="5" customWidth="1"/>
    <col min="3842" max="3842" width="0" style="5" hidden="1" customWidth="1"/>
    <col min="3843" max="3843" width="3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" style="5" customWidth="1"/>
    <col min="10756" max="10759" width="0" style="5" hidden="1" customWidth="1"/>
    <col min="10760" max="10760" width="19.7109375" style="5" customWidth="1"/>
    <col min="10761" max="10761" width="6.7109375" style="5" customWidth="1"/>
    <col min="10762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" style="5" customWidth="1"/>
    <col min="16132" max="16138" width="0" style="5" hidden="1" customWidth="1"/>
    <col min="16139" max="16384" width="0" style="5" hidden="1"/>
  </cols>
  <sheetData>
    <row r="1" spans="1:10" ht="9.6" customHeight="1" x14ac:dyDescent="0.2">
      <c r="A1" s="419" t="s">
        <v>1161</v>
      </c>
      <c r="B1" s="419"/>
      <c r="C1" s="419"/>
      <c r="D1" s="381" t="s">
        <v>1190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1213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0" hidden="1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12.75" customHeight="1" x14ac:dyDescent="0.2">
      <c r="A8" s="384" t="s">
        <v>1312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36.6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47" customHeight="1" x14ac:dyDescent="0.2">
      <c r="A18" s="24" t="s">
        <v>10</v>
      </c>
      <c r="B18" s="413" t="s">
        <v>1215</v>
      </c>
      <c r="C18" s="414"/>
      <c r="D18" s="415" t="s">
        <v>1388</v>
      </c>
      <c r="E18" s="416"/>
      <c r="F18" s="416"/>
      <c r="G18" s="417"/>
      <c r="H18" s="23" t="s">
        <v>1389</v>
      </c>
      <c r="I18" s="160">
        <f>ROUND((35  + 0.19  * (0.4 * 250 + 0.6 * 250 / 2)) * 5 * 0.4 * 1.4 * 0.2 * 1.1 * 0.1,3)</f>
        <v>4.2039999999999997</v>
      </c>
    </row>
    <row r="19" spans="1:9" ht="21.75" customHeight="1" x14ac:dyDescent="0.2">
      <c r="A19" s="161" t="s">
        <v>39</v>
      </c>
      <c r="B19" s="398" t="s">
        <v>45</v>
      </c>
      <c r="C19" s="399"/>
      <c r="D19" s="398"/>
      <c r="E19" s="400"/>
      <c r="F19" s="400"/>
      <c r="G19" s="399"/>
      <c r="H19" s="162"/>
      <c r="I19" s="163"/>
    </row>
    <row r="20" spans="1:9" ht="18.75" customHeight="1" x14ac:dyDescent="0.2">
      <c r="A20" s="164" t="s">
        <v>39</v>
      </c>
      <c r="B20" s="459" t="s">
        <v>1200</v>
      </c>
      <c r="C20" s="460"/>
      <c r="D20" s="459" t="s">
        <v>1201</v>
      </c>
      <c r="E20" s="461"/>
      <c r="F20" s="461"/>
      <c r="G20" s="460"/>
      <c r="H20" s="165"/>
      <c r="I20" s="166"/>
    </row>
    <row r="21" spans="1:9" ht="106.5" customHeight="1" x14ac:dyDescent="0.2">
      <c r="A21" s="164" t="s">
        <v>39</v>
      </c>
      <c r="B21" s="459" t="s">
        <v>1216</v>
      </c>
      <c r="C21" s="460"/>
      <c r="D21" s="459" t="s">
        <v>1217</v>
      </c>
      <c r="E21" s="461"/>
      <c r="F21" s="461"/>
      <c r="G21" s="460"/>
      <c r="H21" s="165"/>
      <c r="I21" s="166"/>
    </row>
    <row r="22" spans="1:9" ht="62.25" customHeight="1" x14ac:dyDescent="0.2">
      <c r="A22" s="440" t="s">
        <v>39</v>
      </c>
      <c r="B22" s="421" t="s">
        <v>1218</v>
      </c>
      <c r="C22" s="422"/>
      <c r="D22" s="421" t="s">
        <v>1219</v>
      </c>
      <c r="E22" s="384"/>
      <c r="F22" s="384"/>
      <c r="G22" s="422"/>
      <c r="H22" s="431"/>
      <c r="I22" s="462"/>
    </row>
    <row r="23" spans="1:9" ht="123" customHeight="1" x14ac:dyDescent="0.2">
      <c r="A23" s="440"/>
      <c r="B23" s="421"/>
      <c r="C23" s="422"/>
      <c r="D23" s="421"/>
      <c r="E23" s="384"/>
      <c r="F23" s="384"/>
      <c r="G23" s="422"/>
      <c r="H23" s="431"/>
      <c r="I23" s="462"/>
    </row>
    <row r="24" spans="1:9" ht="57" customHeight="1" x14ac:dyDescent="0.2">
      <c r="A24" s="161" t="s">
        <v>39</v>
      </c>
      <c r="B24" s="464" t="s">
        <v>1220</v>
      </c>
      <c r="C24" s="465"/>
      <c r="D24" s="464" t="s">
        <v>1221</v>
      </c>
      <c r="E24" s="466"/>
      <c r="F24" s="466"/>
      <c r="G24" s="465"/>
      <c r="H24" s="178"/>
      <c r="I24" s="179"/>
    </row>
    <row r="25" spans="1:9" ht="73.5" customHeight="1" x14ac:dyDescent="0.2">
      <c r="A25" s="51" t="s">
        <v>39</v>
      </c>
      <c r="B25" s="436" t="s">
        <v>1222</v>
      </c>
      <c r="C25" s="438"/>
      <c r="D25" s="436" t="s">
        <v>1223</v>
      </c>
      <c r="E25" s="437"/>
      <c r="F25" s="437"/>
      <c r="G25" s="438"/>
      <c r="H25" s="52"/>
      <c r="I25" s="53"/>
    </row>
    <row r="26" spans="1:9" ht="21.75" customHeight="1" x14ac:dyDescent="0.2">
      <c r="A26" s="51" t="s">
        <v>11</v>
      </c>
      <c r="B26" s="404" t="s">
        <v>78</v>
      </c>
      <c r="C26" s="405"/>
      <c r="D26" s="404" t="s">
        <v>1224</v>
      </c>
      <c r="E26" s="406"/>
      <c r="F26" s="406"/>
      <c r="G26" s="405"/>
      <c r="H26" s="170"/>
      <c r="I26" s="180"/>
    </row>
    <row r="27" spans="1:9" ht="96" customHeight="1" x14ac:dyDescent="0.2">
      <c r="A27" s="24" t="s">
        <v>76</v>
      </c>
      <c r="B27" s="413" t="s">
        <v>1225</v>
      </c>
      <c r="C27" s="414"/>
      <c r="D27" s="415" t="s">
        <v>1226</v>
      </c>
      <c r="E27" s="416"/>
      <c r="F27" s="416"/>
      <c r="G27" s="417"/>
      <c r="H27" s="23" t="s">
        <v>1227</v>
      </c>
      <c r="I27" s="160">
        <f>ROUND((0  + 98.56  * 5.49) * 1 * 0.4 * 0.35 * 1.4 * 1.1,3)</f>
        <v>116.66</v>
      </c>
    </row>
    <row r="28" spans="1:9" ht="15" customHeight="1" x14ac:dyDescent="0.2">
      <c r="A28" s="161" t="s">
        <v>39</v>
      </c>
      <c r="B28" s="398" t="s">
        <v>45</v>
      </c>
      <c r="C28" s="399"/>
      <c r="D28" s="398"/>
      <c r="E28" s="400"/>
      <c r="F28" s="400"/>
      <c r="G28" s="399"/>
      <c r="H28" s="162"/>
      <c r="I28" s="163"/>
    </row>
    <row r="29" spans="1:9" ht="27.75" customHeight="1" x14ac:dyDescent="0.2">
      <c r="A29" s="164" t="s">
        <v>39</v>
      </c>
      <c r="B29" s="459" t="s">
        <v>1200</v>
      </c>
      <c r="C29" s="460"/>
      <c r="D29" s="459" t="s">
        <v>1201</v>
      </c>
      <c r="E29" s="461"/>
      <c r="F29" s="461"/>
      <c r="G29" s="460"/>
      <c r="H29" s="165"/>
      <c r="I29" s="166"/>
    </row>
    <row r="30" spans="1:9" ht="171.75" customHeight="1" x14ac:dyDescent="0.2">
      <c r="A30" s="164" t="s">
        <v>39</v>
      </c>
      <c r="B30" s="459" t="s">
        <v>1228</v>
      </c>
      <c r="C30" s="460"/>
      <c r="D30" s="459" t="s">
        <v>1229</v>
      </c>
      <c r="E30" s="461"/>
      <c r="F30" s="461"/>
      <c r="G30" s="460"/>
      <c r="H30" s="165"/>
      <c r="I30" s="166"/>
    </row>
    <row r="31" spans="1:9" ht="27.75" customHeight="1" x14ac:dyDescent="0.2">
      <c r="A31" s="440" t="s">
        <v>39</v>
      </c>
      <c r="B31" s="421" t="s">
        <v>1216</v>
      </c>
      <c r="C31" s="422"/>
      <c r="D31" s="421" t="s">
        <v>1230</v>
      </c>
      <c r="E31" s="384"/>
      <c r="F31" s="384"/>
      <c r="G31" s="422"/>
      <c r="H31" s="431"/>
      <c r="I31" s="462"/>
    </row>
    <row r="32" spans="1:9" ht="79.5" customHeight="1" x14ac:dyDescent="0.2">
      <c r="A32" s="440"/>
      <c r="B32" s="421"/>
      <c r="C32" s="422"/>
      <c r="D32" s="421"/>
      <c r="E32" s="384"/>
      <c r="F32" s="384"/>
      <c r="G32" s="422"/>
      <c r="H32" s="431"/>
      <c r="I32" s="462"/>
    </row>
    <row r="33" spans="1:9" ht="58.5" customHeight="1" x14ac:dyDescent="0.2">
      <c r="A33" s="175" t="s">
        <v>39</v>
      </c>
      <c r="B33" s="401" t="s">
        <v>1231</v>
      </c>
      <c r="C33" s="402"/>
      <c r="D33" s="401" t="s">
        <v>1232</v>
      </c>
      <c r="E33" s="403"/>
      <c r="F33" s="403"/>
      <c r="G33" s="402"/>
      <c r="H33" s="176"/>
      <c r="I33" s="177"/>
    </row>
    <row r="34" spans="1:9" ht="105" customHeight="1" x14ac:dyDescent="0.2">
      <c r="A34" s="19" t="s">
        <v>75</v>
      </c>
      <c r="B34" s="423" t="s">
        <v>1233</v>
      </c>
      <c r="C34" s="424"/>
      <c r="D34" s="421" t="s">
        <v>1234</v>
      </c>
      <c r="E34" s="384"/>
      <c r="F34" s="384"/>
      <c r="G34" s="422"/>
      <c r="H34" s="18" t="s">
        <v>1235</v>
      </c>
      <c r="I34" s="173">
        <f>ROUND((0  + 98.56  * 4.71) * 1 * 0.4 * 0.35 * 1.4 * 1.1 * 0.3,3)</f>
        <v>30.026</v>
      </c>
    </row>
    <row r="35" spans="1:9" ht="21.75" customHeight="1" x14ac:dyDescent="0.2">
      <c r="A35" s="161" t="s">
        <v>39</v>
      </c>
      <c r="B35" s="398" t="s">
        <v>45</v>
      </c>
      <c r="C35" s="399"/>
      <c r="D35" s="398"/>
      <c r="E35" s="400"/>
      <c r="F35" s="400"/>
      <c r="G35" s="399"/>
      <c r="H35" s="162"/>
      <c r="I35" s="163"/>
    </row>
    <row r="36" spans="1:9" ht="32.25" customHeight="1" x14ac:dyDescent="0.2">
      <c r="A36" s="164" t="s">
        <v>39</v>
      </c>
      <c r="B36" s="459" t="s">
        <v>1200</v>
      </c>
      <c r="C36" s="460"/>
      <c r="D36" s="459" t="s">
        <v>1201</v>
      </c>
      <c r="E36" s="461"/>
      <c r="F36" s="461"/>
      <c r="G36" s="460"/>
      <c r="H36" s="165"/>
      <c r="I36" s="166"/>
    </row>
    <row r="37" spans="1:9" ht="40.5" customHeight="1" x14ac:dyDescent="0.2">
      <c r="A37" s="440" t="s">
        <v>39</v>
      </c>
      <c r="B37" s="421" t="s">
        <v>1228</v>
      </c>
      <c r="C37" s="422"/>
      <c r="D37" s="421" t="s">
        <v>1229</v>
      </c>
      <c r="E37" s="384"/>
      <c r="F37" s="384"/>
      <c r="G37" s="422"/>
      <c r="H37" s="431"/>
      <c r="I37" s="462"/>
    </row>
    <row r="38" spans="1:9" ht="137.25" customHeight="1" x14ac:dyDescent="0.2">
      <c r="A38" s="440"/>
      <c r="B38" s="421"/>
      <c r="C38" s="422"/>
      <c r="D38" s="421"/>
      <c r="E38" s="384"/>
      <c r="F38" s="384"/>
      <c r="G38" s="422"/>
      <c r="H38" s="431"/>
      <c r="I38" s="462"/>
    </row>
    <row r="39" spans="1:9" ht="112.5" customHeight="1" x14ac:dyDescent="0.2">
      <c r="A39" s="161" t="s">
        <v>39</v>
      </c>
      <c r="B39" s="464" t="s">
        <v>1216</v>
      </c>
      <c r="C39" s="465"/>
      <c r="D39" s="464" t="s">
        <v>1230</v>
      </c>
      <c r="E39" s="466"/>
      <c r="F39" s="466"/>
      <c r="G39" s="465"/>
      <c r="H39" s="178"/>
      <c r="I39" s="179"/>
    </row>
    <row r="40" spans="1:9" ht="58.5" customHeight="1" x14ac:dyDescent="0.2">
      <c r="A40" s="164" t="s">
        <v>39</v>
      </c>
      <c r="B40" s="459" t="s">
        <v>1231</v>
      </c>
      <c r="C40" s="460"/>
      <c r="D40" s="459" t="s">
        <v>1232</v>
      </c>
      <c r="E40" s="461"/>
      <c r="F40" s="461"/>
      <c r="G40" s="460"/>
      <c r="H40" s="165"/>
      <c r="I40" s="166"/>
    </row>
    <row r="41" spans="1:9" ht="39" customHeight="1" x14ac:dyDescent="0.2">
      <c r="A41" s="51" t="s">
        <v>39</v>
      </c>
      <c r="B41" s="436" t="s">
        <v>1236</v>
      </c>
      <c r="C41" s="438"/>
      <c r="D41" s="436" t="s">
        <v>1237</v>
      </c>
      <c r="E41" s="437"/>
      <c r="F41" s="437"/>
      <c r="G41" s="438"/>
      <c r="H41" s="52"/>
      <c r="I41" s="53"/>
    </row>
    <row r="42" spans="1:9" ht="25.5" customHeight="1" x14ac:dyDescent="0.2">
      <c r="A42" s="51" t="s">
        <v>73</v>
      </c>
      <c r="B42" s="404" t="s">
        <v>1238</v>
      </c>
      <c r="C42" s="405"/>
      <c r="D42" s="404"/>
      <c r="E42" s="406"/>
      <c r="F42" s="406"/>
      <c r="G42" s="405"/>
      <c r="H42" s="170"/>
      <c r="I42" s="171">
        <f>ROUND((SUM($I$27:$I$34)),3)</f>
        <v>146.68600000000001</v>
      </c>
    </row>
    <row r="43" spans="1:9" ht="25.5" customHeight="1" x14ac:dyDescent="0.2">
      <c r="A43" s="11" t="s">
        <v>353</v>
      </c>
      <c r="B43" s="395" t="s">
        <v>1239</v>
      </c>
      <c r="C43" s="396"/>
      <c r="D43" s="395"/>
      <c r="E43" s="397"/>
      <c r="F43" s="397"/>
      <c r="G43" s="396"/>
      <c r="H43" s="10"/>
      <c r="I43" s="172">
        <f>ROUND(($I$42),3)</f>
        <v>146.68600000000001</v>
      </c>
    </row>
    <row r="44" spans="1:9" ht="12.75" customHeight="1" x14ac:dyDescent="0.2">
      <c r="A44" s="11" t="s">
        <v>13</v>
      </c>
      <c r="B44" s="395" t="s">
        <v>78</v>
      </c>
      <c r="C44" s="396"/>
      <c r="D44" s="395" t="s">
        <v>1240</v>
      </c>
      <c r="E44" s="397"/>
      <c r="F44" s="397"/>
      <c r="G44" s="396"/>
      <c r="H44" s="10"/>
      <c r="I44" s="35"/>
    </row>
    <row r="45" spans="1:9" ht="120.75" customHeight="1" x14ac:dyDescent="0.2">
      <c r="A45" s="24" t="s">
        <v>292</v>
      </c>
      <c r="B45" s="413" t="s">
        <v>543</v>
      </c>
      <c r="C45" s="414"/>
      <c r="D45" s="415" t="s">
        <v>1241</v>
      </c>
      <c r="E45" s="416"/>
      <c r="F45" s="416"/>
      <c r="G45" s="417"/>
      <c r="H45" s="23" t="s">
        <v>1242</v>
      </c>
      <c r="I45" s="160">
        <f>ROUND((29.05  + 7.4  * 5.49) * 1 * 0.4 * 0.35 * 1.4 * 1.1 * 0.9,3)</f>
        <v>13.52</v>
      </c>
    </row>
    <row r="46" spans="1:9" ht="36.75" customHeight="1" x14ac:dyDescent="0.2">
      <c r="A46" s="161" t="s">
        <v>39</v>
      </c>
      <c r="B46" s="398" t="s">
        <v>45</v>
      </c>
      <c r="C46" s="399"/>
      <c r="D46" s="398"/>
      <c r="E46" s="400"/>
      <c r="F46" s="400"/>
      <c r="G46" s="399"/>
      <c r="H46" s="162"/>
      <c r="I46" s="163"/>
    </row>
    <row r="47" spans="1:9" ht="24.75" customHeight="1" x14ac:dyDescent="0.2">
      <c r="A47" s="164" t="s">
        <v>39</v>
      </c>
      <c r="B47" s="459" t="s">
        <v>1200</v>
      </c>
      <c r="C47" s="460"/>
      <c r="D47" s="459" t="s">
        <v>1201</v>
      </c>
      <c r="E47" s="461"/>
      <c r="F47" s="461"/>
      <c r="G47" s="460"/>
      <c r="H47" s="165"/>
      <c r="I47" s="166"/>
    </row>
    <row r="48" spans="1:9" ht="35.25" customHeight="1" x14ac:dyDescent="0.2">
      <c r="A48" s="440" t="s">
        <v>39</v>
      </c>
      <c r="B48" s="421" t="s">
        <v>1228</v>
      </c>
      <c r="C48" s="422"/>
      <c r="D48" s="421" t="s">
        <v>1229</v>
      </c>
      <c r="E48" s="384"/>
      <c r="F48" s="384"/>
      <c r="G48" s="422"/>
      <c r="H48" s="431"/>
      <c r="I48" s="462"/>
    </row>
    <row r="49" spans="1:9" ht="140.25" customHeight="1" x14ac:dyDescent="0.2">
      <c r="A49" s="440"/>
      <c r="B49" s="421"/>
      <c r="C49" s="422"/>
      <c r="D49" s="421"/>
      <c r="E49" s="384"/>
      <c r="F49" s="384"/>
      <c r="G49" s="422"/>
      <c r="H49" s="431"/>
      <c r="I49" s="462"/>
    </row>
    <row r="50" spans="1:9" ht="111" customHeight="1" x14ac:dyDescent="0.2">
      <c r="A50" s="161" t="s">
        <v>39</v>
      </c>
      <c r="B50" s="464" t="s">
        <v>1216</v>
      </c>
      <c r="C50" s="465"/>
      <c r="D50" s="464" t="s">
        <v>1230</v>
      </c>
      <c r="E50" s="466"/>
      <c r="F50" s="466"/>
      <c r="G50" s="465"/>
      <c r="H50" s="178"/>
      <c r="I50" s="179"/>
    </row>
    <row r="51" spans="1:9" ht="61.5" customHeight="1" x14ac:dyDescent="0.2">
      <c r="A51" s="164" t="s">
        <v>39</v>
      </c>
      <c r="B51" s="459" t="s">
        <v>1231</v>
      </c>
      <c r="C51" s="460"/>
      <c r="D51" s="459" t="s">
        <v>1232</v>
      </c>
      <c r="E51" s="461"/>
      <c r="F51" s="461"/>
      <c r="G51" s="460"/>
      <c r="H51" s="165"/>
      <c r="I51" s="166"/>
    </row>
    <row r="52" spans="1:9" ht="62.25" customHeight="1" x14ac:dyDescent="0.2">
      <c r="A52" s="51" t="s">
        <v>39</v>
      </c>
      <c r="B52" s="436" t="s">
        <v>1243</v>
      </c>
      <c r="C52" s="438"/>
      <c r="D52" s="436" t="s">
        <v>1244</v>
      </c>
      <c r="E52" s="437"/>
      <c r="F52" s="437"/>
      <c r="G52" s="438"/>
      <c r="H52" s="52"/>
      <c r="I52" s="53"/>
    </row>
    <row r="53" spans="1:9" ht="94.35" customHeight="1" x14ac:dyDescent="0.2">
      <c r="A53" s="440" t="s">
        <v>293</v>
      </c>
      <c r="B53" s="423" t="s">
        <v>545</v>
      </c>
      <c r="C53" s="424"/>
      <c r="D53" s="421" t="s">
        <v>1245</v>
      </c>
      <c r="E53" s="384"/>
      <c r="F53" s="384"/>
      <c r="G53" s="422"/>
      <c r="H53" s="431" t="s">
        <v>1403</v>
      </c>
      <c r="I53" s="467">
        <f>ROUND((29.05  + 7.4  * 4.71) * 1 * 0.4 * 0.35 * 1.4 * 1.1 * 0.9*0.3,3)</f>
        <v>3.72</v>
      </c>
    </row>
    <row r="54" spans="1:9" ht="1.5" customHeight="1" x14ac:dyDescent="0.2">
      <c r="A54" s="440"/>
      <c r="B54" s="423"/>
      <c r="C54" s="424"/>
      <c r="D54" s="421"/>
      <c r="E54" s="384"/>
      <c r="F54" s="384"/>
      <c r="G54" s="422"/>
      <c r="H54" s="431"/>
      <c r="I54" s="467"/>
    </row>
    <row r="55" spans="1:9" ht="18" customHeight="1" x14ac:dyDescent="0.2">
      <c r="A55" s="161" t="s">
        <v>39</v>
      </c>
      <c r="B55" s="398" t="s">
        <v>45</v>
      </c>
      <c r="C55" s="399"/>
      <c r="D55" s="398"/>
      <c r="E55" s="400"/>
      <c r="F55" s="400"/>
      <c r="G55" s="399"/>
      <c r="H55" s="162"/>
      <c r="I55" s="163"/>
    </row>
    <row r="56" spans="1:9" ht="27" customHeight="1" x14ac:dyDescent="0.2">
      <c r="A56" s="164" t="s">
        <v>39</v>
      </c>
      <c r="B56" s="459" t="s">
        <v>1200</v>
      </c>
      <c r="C56" s="460"/>
      <c r="D56" s="459" t="s">
        <v>1201</v>
      </c>
      <c r="E56" s="461"/>
      <c r="F56" s="461"/>
      <c r="G56" s="460"/>
      <c r="H56" s="165"/>
      <c r="I56" s="166"/>
    </row>
    <row r="57" spans="1:9" ht="172.5" customHeight="1" x14ac:dyDescent="0.2">
      <c r="A57" s="164" t="s">
        <v>39</v>
      </c>
      <c r="B57" s="459" t="s">
        <v>1228</v>
      </c>
      <c r="C57" s="460"/>
      <c r="D57" s="459" t="s">
        <v>1229</v>
      </c>
      <c r="E57" s="461"/>
      <c r="F57" s="461"/>
      <c r="G57" s="460"/>
      <c r="H57" s="165"/>
      <c r="I57" s="166"/>
    </row>
    <row r="58" spans="1:9" ht="108" customHeight="1" x14ac:dyDescent="0.2">
      <c r="A58" s="164" t="s">
        <v>39</v>
      </c>
      <c r="B58" s="459" t="s">
        <v>1216</v>
      </c>
      <c r="C58" s="460"/>
      <c r="D58" s="459" t="s">
        <v>1230</v>
      </c>
      <c r="E58" s="461"/>
      <c r="F58" s="461"/>
      <c r="G58" s="460"/>
      <c r="H58" s="165"/>
      <c r="I58" s="166"/>
    </row>
    <row r="59" spans="1:9" ht="73.5" customHeight="1" x14ac:dyDescent="0.2">
      <c r="A59" s="164" t="s">
        <v>39</v>
      </c>
      <c r="B59" s="459" t="s">
        <v>1231</v>
      </c>
      <c r="C59" s="460"/>
      <c r="D59" s="459" t="s">
        <v>1232</v>
      </c>
      <c r="E59" s="461"/>
      <c r="F59" s="461"/>
      <c r="G59" s="460"/>
      <c r="H59" s="165"/>
      <c r="I59" s="166"/>
    </row>
    <row r="60" spans="1:9" ht="79.5" customHeight="1" x14ac:dyDescent="0.2">
      <c r="A60" s="51" t="s">
        <v>39</v>
      </c>
      <c r="B60" s="436" t="s">
        <v>1243</v>
      </c>
      <c r="C60" s="438"/>
      <c r="D60" s="436" t="s">
        <v>1244</v>
      </c>
      <c r="E60" s="437"/>
      <c r="F60" s="437"/>
      <c r="G60" s="438"/>
      <c r="H60" s="52"/>
      <c r="I60" s="53"/>
    </row>
    <row r="61" spans="1:9" ht="48" customHeight="1" x14ac:dyDescent="0.2">
      <c r="A61" s="11" t="s">
        <v>39</v>
      </c>
      <c r="B61" s="392" t="s">
        <v>1406</v>
      </c>
      <c r="C61" s="393"/>
      <c r="D61" s="392" t="s">
        <v>1405</v>
      </c>
      <c r="E61" s="394"/>
      <c r="F61" s="394"/>
      <c r="G61" s="393"/>
      <c r="H61" s="10"/>
      <c r="I61" s="35"/>
    </row>
    <row r="62" spans="1:9" ht="17.25" customHeight="1" x14ac:dyDescent="0.2">
      <c r="A62" s="51" t="s">
        <v>294</v>
      </c>
      <c r="B62" s="404" t="s">
        <v>1246</v>
      </c>
      <c r="C62" s="405"/>
      <c r="D62" s="404"/>
      <c r="E62" s="406"/>
      <c r="F62" s="406"/>
      <c r="G62" s="405"/>
      <c r="H62" s="170"/>
      <c r="I62" s="171">
        <f>ROUND((SUM($I$45:$I$53)),3)</f>
        <v>17.239999999999998</v>
      </c>
    </row>
    <row r="63" spans="1:9" ht="24.75" customHeight="1" x14ac:dyDescent="0.2">
      <c r="A63" s="11" t="s">
        <v>296</v>
      </c>
      <c r="B63" s="395" t="s">
        <v>1247</v>
      </c>
      <c r="C63" s="396"/>
      <c r="D63" s="395"/>
      <c r="E63" s="397"/>
      <c r="F63" s="397"/>
      <c r="G63" s="396"/>
      <c r="H63" s="10"/>
      <c r="I63" s="172">
        <f>ROUND(($I$62),3)</f>
        <v>17.239999999999998</v>
      </c>
    </row>
    <row r="64" spans="1:9" ht="17.25" customHeight="1" x14ac:dyDescent="0.2">
      <c r="A64" s="11" t="s">
        <v>15</v>
      </c>
      <c r="B64" s="395" t="s">
        <v>43</v>
      </c>
      <c r="C64" s="396"/>
      <c r="D64" s="395"/>
      <c r="E64" s="397"/>
      <c r="F64" s="397"/>
      <c r="G64" s="396"/>
      <c r="H64" s="10"/>
      <c r="I64" s="172">
        <f>ROUND(($I$18 + $I$43 + $I$63),3)</f>
        <v>168.13</v>
      </c>
    </row>
    <row r="65" spans="1:9" ht="50.25" customHeight="1" x14ac:dyDescent="0.2">
      <c r="A65" s="11" t="s">
        <v>17</v>
      </c>
      <c r="B65" s="392" t="s">
        <v>1063</v>
      </c>
      <c r="C65" s="393"/>
      <c r="D65" s="392" t="s">
        <v>1064</v>
      </c>
      <c r="E65" s="394"/>
      <c r="F65" s="394"/>
      <c r="G65" s="393"/>
      <c r="H65" s="13" t="s">
        <v>1248</v>
      </c>
      <c r="I65" s="174">
        <f>ROUND(($I$64) * 5.94 * 1,3)</f>
        <v>998.69200000000001</v>
      </c>
    </row>
    <row r="66" spans="1:9" ht="19.5" customHeight="1" x14ac:dyDescent="0.2">
      <c r="A66" s="11" t="s">
        <v>19</v>
      </c>
      <c r="B66" s="395" t="s">
        <v>42</v>
      </c>
      <c r="C66" s="396"/>
      <c r="D66" s="395"/>
      <c r="E66" s="397"/>
      <c r="F66" s="397"/>
      <c r="G66" s="396"/>
      <c r="H66" s="10"/>
      <c r="I66" s="172">
        <f>ROUND(($I$65),3)</f>
        <v>998.69200000000001</v>
      </c>
    </row>
    <row r="67" spans="1:9" ht="12.75" customHeight="1" x14ac:dyDescent="0.2"/>
    <row r="68" spans="1:9" s="8" customFormat="1" ht="24.95" customHeight="1" x14ac:dyDescent="0.2">
      <c r="A68" s="384" t="s">
        <v>725</v>
      </c>
      <c r="B68" s="384"/>
      <c r="C68" s="384"/>
      <c r="D68" s="384" t="str">
        <f>convertNumToStr($I$66,1000,3)</f>
        <v xml:space="preserve">  998.692 (Девятьсот девяносто восемь тысяч шестьсот девяносто два рубля, 00 копеек)</v>
      </c>
      <c r="E68" s="384"/>
      <c r="F68" s="384"/>
      <c r="G68" s="384"/>
      <c r="H68" s="384"/>
      <c r="I68" s="384"/>
    </row>
    <row r="69" spans="1:9" ht="12.75" customHeight="1" x14ac:dyDescent="0.2">
      <c r="D69" s="7"/>
    </row>
    <row r="70" spans="1:9" x14ac:dyDescent="0.2">
      <c r="A70" s="391" t="s">
        <v>0</v>
      </c>
      <c r="B70" s="391"/>
      <c r="C70" s="391"/>
      <c r="D70" s="391"/>
      <c r="E70" s="391"/>
      <c r="F70" s="391"/>
      <c r="G70" s="391"/>
      <c r="H70" s="391"/>
      <c r="I70" s="391"/>
    </row>
    <row r="71" spans="1:9" x14ac:dyDescent="0.2">
      <c r="A71" s="391"/>
      <c r="B71" s="391"/>
      <c r="C71" s="391"/>
      <c r="D71" s="391"/>
      <c r="E71" s="391"/>
      <c r="F71" s="391"/>
      <c r="G71" s="391"/>
      <c r="H71" s="391"/>
      <c r="I71" s="391"/>
    </row>
    <row r="72" spans="1:9" x14ac:dyDescent="0.2">
      <c r="D72" s="389" t="s">
        <v>2</v>
      </c>
      <c r="E72" s="390"/>
      <c r="F72" s="390"/>
      <c r="G72" s="390"/>
      <c r="H72" s="390"/>
      <c r="I72" s="390"/>
    </row>
    <row r="74" spans="1:9" x14ac:dyDescent="0.2">
      <c r="A74" s="391" t="s">
        <v>1</v>
      </c>
      <c r="B74" s="391"/>
      <c r="C74" s="391"/>
      <c r="D74" s="391"/>
      <c r="E74" s="391"/>
      <c r="F74" s="391"/>
      <c r="G74" s="391"/>
      <c r="H74" s="391"/>
      <c r="I74" s="391"/>
    </row>
    <row r="75" spans="1:9" x14ac:dyDescent="0.2">
      <c r="A75" s="391"/>
      <c r="B75" s="391"/>
      <c r="C75" s="391"/>
      <c r="D75" s="391"/>
      <c r="E75" s="391"/>
      <c r="F75" s="391"/>
      <c r="G75" s="391"/>
      <c r="H75" s="391"/>
      <c r="I75" s="391"/>
    </row>
    <row r="76" spans="1:9" x14ac:dyDescent="0.2">
      <c r="D76" s="389" t="s">
        <v>2</v>
      </c>
      <c r="E76" s="390"/>
      <c r="F76" s="390"/>
      <c r="G76" s="390"/>
      <c r="H76" s="390"/>
      <c r="I76" s="390"/>
    </row>
    <row r="78" spans="1:9" x14ac:dyDescent="0.2">
      <c r="A78" s="391" t="s">
        <v>5</v>
      </c>
      <c r="B78" s="391"/>
      <c r="C78" s="391"/>
      <c r="D78" s="391"/>
      <c r="E78" s="391"/>
      <c r="F78" s="391"/>
      <c r="G78" s="6" t="s">
        <v>7</v>
      </c>
      <c r="H78" s="391"/>
      <c r="I78" s="391"/>
    </row>
    <row r="79" spans="1:9" x14ac:dyDescent="0.2">
      <c r="D79" s="389" t="s">
        <v>40</v>
      </c>
      <c r="E79" s="390"/>
      <c r="F79" s="390"/>
      <c r="H79" s="389" t="s">
        <v>2</v>
      </c>
      <c r="I79" s="390"/>
    </row>
    <row r="81" spans="1:9" x14ac:dyDescent="0.2">
      <c r="A81" s="391" t="s">
        <v>3</v>
      </c>
      <c r="B81" s="391"/>
      <c r="C81" s="391"/>
      <c r="D81" s="391"/>
      <c r="E81" s="391"/>
      <c r="F81" s="391"/>
      <c r="G81" s="391"/>
      <c r="H81" s="391"/>
      <c r="I81" s="391"/>
    </row>
    <row r="82" spans="1:9" x14ac:dyDescent="0.2">
      <c r="D82" s="389" t="s">
        <v>6</v>
      </c>
      <c r="E82" s="390"/>
      <c r="F82" s="390"/>
      <c r="G82" s="390"/>
      <c r="H82" s="390"/>
      <c r="I82" s="390"/>
    </row>
  </sheetData>
  <mergeCells count="135">
    <mergeCell ref="D82:I82"/>
    <mergeCell ref="A78:C78"/>
    <mergeCell ref="D78:F78"/>
    <mergeCell ref="H78:I78"/>
    <mergeCell ref="D79:F79"/>
    <mergeCell ref="H79:I79"/>
    <mergeCell ref="A81:C81"/>
    <mergeCell ref="D81:I81"/>
    <mergeCell ref="A70:C71"/>
    <mergeCell ref="D70:I71"/>
    <mergeCell ref="D72:I72"/>
    <mergeCell ref="A74:C75"/>
    <mergeCell ref="D74:I75"/>
    <mergeCell ref="D76:I76"/>
    <mergeCell ref="B65:C65"/>
    <mergeCell ref="D65:G65"/>
    <mergeCell ref="B66:C66"/>
    <mergeCell ref="D66:G66"/>
    <mergeCell ref="A68:C68"/>
    <mergeCell ref="D68:I68"/>
    <mergeCell ref="B62:C62"/>
    <mergeCell ref="D62:G62"/>
    <mergeCell ref="B63:C63"/>
    <mergeCell ref="D63:G63"/>
    <mergeCell ref="B64:C64"/>
    <mergeCell ref="D64:G64"/>
    <mergeCell ref="B58:C58"/>
    <mergeCell ref="D58:G58"/>
    <mergeCell ref="B59:C59"/>
    <mergeCell ref="D59:G59"/>
    <mergeCell ref="B60:C60"/>
    <mergeCell ref="D60:G60"/>
    <mergeCell ref="I53:I54"/>
    <mergeCell ref="B55:C55"/>
    <mergeCell ref="D55:G55"/>
    <mergeCell ref="B56:C56"/>
    <mergeCell ref="D56:G56"/>
    <mergeCell ref="B57:C57"/>
    <mergeCell ref="D57:G57"/>
    <mergeCell ref="B52:C52"/>
    <mergeCell ref="D52:G52"/>
    <mergeCell ref="A53:A54"/>
    <mergeCell ref="B53:C54"/>
    <mergeCell ref="D53:G54"/>
    <mergeCell ref="H53:H54"/>
    <mergeCell ref="H48:H49"/>
    <mergeCell ref="I48:I49"/>
    <mergeCell ref="B50:C50"/>
    <mergeCell ref="D50:G50"/>
    <mergeCell ref="B51:C51"/>
    <mergeCell ref="D51:G51"/>
    <mergeCell ref="B46:C46"/>
    <mergeCell ref="D46:G46"/>
    <mergeCell ref="B47:C47"/>
    <mergeCell ref="D47:G47"/>
    <mergeCell ref="A48:A49"/>
    <mergeCell ref="B48:C49"/>
    <mergeCell ref="D48:G49"/>
    <mergeCell ref="B43:C43"/>
    <mergeCell ref="D43:G43"/>
    <mergeCell ref="B44:C44"/>
    <mergeCell ref="D44:G44"/>
    <mergeCell ref="B45:C45"/>
    <mergeCell ref="D45:G45"/>
    <mergeCell ref="B40:C40"/>
    <mergeCell ref="D40:G40"/>
    <mergeCell ref="B41:C41"/>
    <mergeCell ref="D41:G41"/>
    <mergeCell ref="B42:C42"/>
    <mergeCell ref="D42:G42"/>
    <mergeCell ref="A37:A38"/>
    <mergeCell ref="B37:C38"/>
    <mergeCell ref="D37:G38"/>
    <mergeCell ref="H37:H38"/>
    <mergeCell ref="I37:I38"/>
    <mergeCell ref="B39:C39"/>
    <mergeCell ref="D39:G39"/>
    <mergeCell ref="B34:C34"/>
    <mergeCell ref="D34:G34"/>
    <mergeCell ref="B35:C35"/>
    <mergeCell ref="D35:G35"/>
    <mergeCell ref="B36:C36"/>
    <mergeCell ref="D36:G36"/>
    <mergeCell ref="D22:G23"/>
    <mergeCell ref="A31:A32"/>
    <mergeCell ref="B31:C32"/>
    <mergeCell ref="D31:G32"/>
    <mergeCell ref="B24:C24"/>
    <mergeCell ref="D24:G24"/>
    <mergeCell ref="H31:H32"/>
    <mergeCell ref="I31:I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A1:C1"/>
    <mergeCell ref="D1:I1"/>
    <mergeCell ref="A3:I3"/>
    <mergeCell ref="A4:I4"/>
    <mergeCell ref="A6:B6"/>
    <mergeCell ref="C6:I6"/>
    <mergeCell ref="B16:C16"/>
    <mergeCell ref="D16:G16"/>
    <mergeCell ref="B17:C17"/>
    <mergeCell ref="D17:G17"/>
    <mergeCell ref="B61:C61"/>
    <mergeCell ref="D61:G61"/>
    <mergeCell ref="A8:I8"/>
    <mergeCell ref="A10:C10"/>
    <mergeCell ref="D10:I10"/>
    <mergeCell ref="A12:C12"/>
    <mergeCell ref="D12:I12"/>
    <mergeCell ref="A14:I14"/>
    <mergeCell ref="H22:H23"/>
    <mergeCell ref="I22:I23"/>
    <mergeCell ref="B19:C19"/>
    <mergeCell ref="D19:G19"/>
    <mergeCell ref="B20:C20"/>
    <mergeCell ref="D20:G20"/>
    <mergeCell ref="B21:C21"/>
    <mergeCell ref="D21:G21"/>
    <mergeCell ref="B18:C18"/>
    <mergeCell ref="D18:G18"/>
    <mergeCell ref="B26:C26"/>
    <mergeCell ref="D26:G26"/>
    <mergeCell ref="B27:C27"/>
    <mergeCell ref="D27:G27"/>
    <mergeCell ref="A22:A23"/>
    <mergeCell ref="B22:C23"/>
  </mergeCells>
  <pageMargins left="0.39370078740157477" right="0.39370078740157477" top="0.74803149606299213" bottom="0.74803149606299213" header="0.31496062992125984" footer="0.31496062992125984"/>
  <pageSetup paperSize="9" scale="83" orientation="portrait" useFirstPageNumber="1" horizontalDpi="300" verticalDpi="300" r:id="rId1"/>
  <headerFooter alignWithMargins="0">
    <oddFooter>&amp;CСтраница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7"/>
  <dimension ref="A1:J96"/>
  <sheetViews>
    <sheetView view="pageBreakPreview" topLeftCell="A24" zoomScale="60" zoomScaleNormal="100" workbookViewId="0">
      <selection activeCell="I37" sqref="I37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35.5703125" style="6" customWidth="1"/>
    <col min="4" max="4" width="4.42578125" style="6" customWidth="1"/>
    <col min="5" max="6" width="9.28515625" style="6" customWidth="1"/>
    <col min="7" max="7" width="16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1280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51" customHeight="1" x14ac:dyDescent="0.2">
      <c r="A6" s="386" t="s">
        <v>51</v>
      </c>
      <c r="B6" s="386"/>
      <c r="C6" s="384" t="s">
        <v>203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32.25" customHeight="1" x14ac:dyDescent="0.2">
      <c r="A8" s="384" t="s">
        <v>556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39.6" customHeight="1" x14ac:dyDescent="0.2">
      <c r="A18" s="11" t="s">
        <v>10</v>
      </c>
      <c r="B18" s="395" t="s">
        <v>78</v>
      </c>
      <c r="C18" s="396"/>
      <c r="D18" s="395" t="s">
        <v>269</v>
      </c>
      <c r="E18" s="397"/>
      <c r="F18" s="397"/>
      <c r="G18" s="396"/>
      <c r="H18" s="10"/>
      <c r="I18" s="35"/>
    </row>
    <row r="19" spans="1:9" ht="131.25" customHeight="1" x14ac:dyDescent="0.2">
      <c r="A19" s="24" t="s">
        <v>88</v>
      </c>
      <c r="B19" s="413" t="s">
        <v>237</v>
      </c>
      <c r="C19" s="414"/>
      <c r="D19" s="415" t="s">
        <v>233</v>
      </c>
      <c r="E19" s="416"/>
      <c r="F19" s="416"/>
      <c r="G19" s="417"/>
      <c r="H19" s="23" t="s">
        <v>1429</v>
      </c>
      <c r="I19" s="22">
        <f>(0+98560*5.49)*0.6*5.94*1.1*1.4*(0.84*1.29+0.16)</f>
        <v>3693279.4439675906</v>
      </c>
    </row>
    <row r="20" spans="1:9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9" ht="26.45" customHeight="1" x14ac:dyDescent="0.2">
      <c r="A21" s="19" t="s">
        <v>39</v>
      </c>
      <c r="B21" s="421"/>
      <c r="C21" s="422"/>
      <c r="D21" s="421" t="s">
        <v>562</v>
      </c>
      <c r="E21" s="384"/>
      <c r="F21" s="384"/>
      <c r="G21" s="422"/>
      <c r="H21" s="18"/>
      <c r="I21" s="17"/>
    </row>
    <row r="22" spans="1:9" ht="132" hidden="1" customHeight="1" x14ac:dyDescent="0.2">
      <c r="A22" s="19" t="s">
        <v>39</v>
      </c>
      <c r="B22" s="421"/>
      <c r="C22" s="422"/>
      <c r="D22" s="421" t="s">
        <v>192</v>
      </c>
      <c r="E22" s="384"/>
      <c r="F22" s="384"/>
      <c r="G22" s="422"/>
      <c r="H22" s="18"/>
      <c r="I22" s="17"/>
    </row>
    <row r="23" spans="1:9" ht="54.75" customHeight="1" x14ac:dyDescent="0.2">
      <c r="A23" s="19"/>
      <c r="B23" s="425"/>
      <c r="C23" s="426"/>
      <c r="D23" s="421" t="s">
        <v>1074</v>
      </c>
      <c r="E23" s="384"/>
      <c r="F23" s="384"/>
      <c r="G23" s="422"/>
      <c r="H23" s="18"/>
      <c r="I23" s="17"/>
    </row>
    <row r="24" spans="1:9" ht="120.6" customHeight="1" x14ac:dyDescent="0.2">
      <c r="A24" s="19" t="s">
        <v>39</v>
      </c>
      <c r="B24" s="421"/>
      <c r="C24" s="422"/>
      <c r="D24" s="421" t="s">
        <v>571</v>
      </c>
      <c r="E24" s="384"/>
      <c r="F24" s="384"/>
      <c r="G24" s="422"/>
      <c r="H24" s="18"/>
      <c r="I24" s="17"/>
    </row>
    <row r="25" spans="1:9" ht="16.149999999999999" hidden="1" customHeight="1" x14ac:dyDescent="0.2">
      <c r="A25" s="19" t="s">
        <v>39</v>
      </c>
      <c r="B25" s="423"/>
      <c r="C25" s="424"/>
      <c r="D25" s="423" t="s">
        <v>99</v>
      </c>
      <c r="E25" s="418"/>
      <c r="F25" s="418"/>
      <c r="G25" s="424"/>
      <c r="H25" s="21"/>
      <c r="I25" s="20"/>
    </row>
    <row r="26" spans="1:9" ht="26.45" hidden="1" customHeight="1" x14ac:dyDescent="0.2">
      <c r="A26" s="19" t="s">
        <v>39</v>
      </c>
      <c r="B26" s="421"/>
      <c r="C26" s="422"/>
      <c r="D26" s="421" t="s">
        <v>201</v>
      </c>
      <c r="E26" s="384"/>
      <c r="F26" s="384"/>
      <c r="G26" s="422"/>
      <c r="H26" s="18"/>
      <c r="I26" s="17"/>
    </row>
    <row r="27" spans="1:9" ht="26.45" hidden="1" customHeight="1" x14ac:dyDescent="0.2">
      <c r="A27" s="19" t="s">
        <v>39</v>
      </c>
      <c r="B27" s="421"/>
      <c r="C27" s="422"/>
      <c r="D27" s="421" t="s">
        <v>200</v>
      </c>
      <c r="E27" s="384"/>
      <c r="F27" s="384"/>
      <c r="G27" s="422"/>
      <c r="H27" s="18"/>
      <c r="I27" s="17"/>
    </row>
    <row r="28" spans="1:9" ht="66" hidden="1" customHeight="1" x14ac:dyDescent="0.2">
      <c r="A28" s="19" t="s">
        <v>39</v>
      </c>
      <c r="B28" s="421"/>
      <c r="C28" s="422"/>
      <c r="D28" s="421" t="s">
        <v>199</v>
      </c>
      <c r="E28" s="384"/>
      <c r="F28" s="384"/>
      <c r="G28" s="422"/>
      <c r="H28" s="18"/>
      <c r="I28" s="17"/>
    </row>
    <row r="29" spans="1:9" ht="39.6" hidden="1" customHeight="1" x14ac:dyDescent="0.2">
      <c r="A29" s="19" t="s">
        <v>39</v>
      </c>
      <c r="B29" s="421"/>
      <c r="C29" s="422"/>
      <c r="D29" s="421" t="s">
        <v>198</v>
      </c>
      <c r="E29" s="384"/>
      <c r="F29" s="384"/>
      <c r="G29" s="422"/>
      <c r="H29" s="18"/>
      <c r="I29" s="17"/>
    </row>
    <row r="30" spans="1:9" ht="26.45" hidden="1" customHeight="1" x14ac:dyDescent="0.2">
      <c r="A30" s="19" t="s">
        <v>39</v>
      </c>
      <c r="B30" s="421"/>
      <c r="C30" s="422"/>
      <c r="D30" s="421" t="s">
        <v>197</v>
      </c>
      <c r="E30" s="384"/>
      <c r="F30" s="384"/>
      <c r="G30" s="422"/>
      <c r="H30" s="18"/>
      <c r="I30" s="17"/>
    </row>
    <row r="31" spans="1:9" ht="39.6" hidden="1" customHeight="1" x14ac:dyDescent="0.2">
      <c r="A31" s="19" t="s">
        <v>39</v>
      </c>
      <c r="B31" s="421"/>
      <c r="C31" s="422"/>
      <c r="D31" s="421" t="s">
        <v>196</v>
      </c>
      <c r="E31" s="384"/>
      <c r="F31" s="384"/>
      <c r="G31" s="422"/>
      <c r="H31" s="18"/>
      <c r="I31" s="17"/>
    </row>
    <row r="32" spans="1:9" ht="26.45" hidden="1" customHeight="1" x14ac:dyDescent="0.2">
      <c r="A32" s="19" t="s">
        <v>39</v>
      </c>
      <c r="B32" s="421"/>
      <c r="C32" s="422"/>
      <c r="D32" s="421" t="s">
        <v>195</v>
      </c>
      <c r="E32" s="384"/>
      <c r="F32" s="384"/>
      <c r="G32" s="422"/>
      <c r="H32" s="18"/>
      <c r="I32" s="17"/>
    </row>
    <row r="33" spans="1:9" ht="39.6" hidden="1" customHeight="1" x14ac:dyDescent="0.2">
      <c r="A33" s="19" t="s">
        <v>39</v>
      </c>
      <c r="B33" s="421"/>
      <c r="C33" s="422"/>
      <c r="D33" s="421" t="s">
        <v>194</v>
      </c>
      <c r="E33" s="384"/>
      <c r="F33" s="384"/>
      <c r="G33" s="422"/>
      <c r="H33" s="18"/>
      <c r="I33" s="17"/>
    </row>
    <row r="34" spans="1:9" ht="26.45" hidden="1" customHeight="1" x14ac:dyDescent="0.2">
      <c r="A34" s="16" t="s">
        <v>39</v>
      </c>
      <c r="B34" s="427"/>
      <c r="C34" s="428"/>
      <c r="D34" s="427" t="s">
        <v>193</v>
      </c>
      <c r="E34" s="429"/>
      <c r="F34" s="429"/>
      <c r="G34" s="428"/>
      <c r="H34" s="15"/>
      <c r="I34" s="14"/>
    </row>
    <row r="35" spans="1:9" ht="165" customHeight="1" x14ac:dyDescent="0.2">
      <c r="A35" s="19"/>
      <c r="B35" s="425"/>
      <c r="C35" s="426"/>
      <c r="D35" s="421" t="s">
        <v>1427</v>
      </c>
      <c r="E35" s="384"/>
      <c r="F35" s="384"/>
      <c r="G35" s="422"/>
      <c r="H35" s="18"/>
      <c r="I35" s="17"/>
    </row>
    <row r="36" spans="1:9" ht="129" customHeight="1" x14ac:dyDescent="0.2">
      <c r="A36" s="24" t="s">
        <v>85</v>
      </c>
      <c r="B36" s="413" t="s">
        <v>238</v>
      </c>
      <c r="C36" s="414"/>
      <c r="D36" s="415" t="s">
        <v>234</v>
      </c>
      <c r="E36" s="416"/>
      <c r="F36" s="416"/>
      <c r="G36" s="417"/>
      <c r="H36" s="23" t="s">
        <v>1430</v>
      </c>
      <c r="I36" s="22">
        <f>(0+98560*4.71)*1*0.6*5.94*1.1*0.3*1.4*(0.84*1.29+0.16)</f>
        <v>950565.36508674046</v>
      </c>
    </row>
    <row r="37" spans="1:9" ht="16.149999999999999" customHeight="1" x14ac:dyDescent="0.2">
      <c r="A37" s="19" t="s">
        <v>39</v>
      </c>
      <c r="B37" s="423"/>
      <c r="C37" s="424"/>
      <c r="D37" s="423" t="s">
        <v>45</v>
      </c>
      <c r="E37" s="418"/>
      <c r="F37" s="418"/>
      <c r="G37" s="424"/>
      <c r="H37" s="21"/>
      <c r="I37" s="20"/>
    </row>
    <row r="38" spans="1:9" ht="26.45" customHeight="1" x14ac:dyDescent="0.2">
      <c r="A38" s="19" t="s">
        <v>39</v>
      </c>
      <c r="B38" s="421"/>
      <c r="C38" s="422"/>
      <c r="D38" s="421" t="s">
        <v>562</v>
      </c>
      <c r="E38" s="384"/>
      <c r="F38" s="384"/>
      <c r="G38" s="422"/>
      <c r="H38" s="18"/>
      <c r="I38" s="17"/>
    </row>
    <row r="39" spans="1:9" ht="132" hidden="1" customHeight="1" x14ac:dyDescent="0.2">
      <c r="A39" s="19" t="s">
        <v>39</v>
      </c>
      <c r="B39" s="421"/>
      <c r="C39" s="422"/>
      <c r="D39" s="421" t="s">
        <v>192</v>
      </c>
      <c r="E39" s="384"/>
      <c r="F39" s="384"/>
      <c r="G39" s="422"/>
      <c r="H39" s="18"/>
      <c r="I39" s="17"/>
    </row>
    <row r="40" spans="1:9" ht="54.75" customHeight="1" x14ac:dyDescent="0.2">
      <c r="A40" s="19"/>
      <c r="B40" s="425"/>
      <c r="C40" s="426"/>
      <c r="D40" s="421" t="s">
        <v>1074</v>
      </c>
      <c r="E40" s="384"/>
      <c r="F40" s="384"/>
      <c r="G40" s="422"/>
      <c r="H40" s="18"/>
      <c r="I40" s="17"/>
    </row>
    <row r="41" spans="1:9" ht="79.150000000000006" customHeight="1" x14ac:dyDescent="0.2">
      <c r="A41" s="19" t="s">
        <v>39</v>
      </c>
      <c r="B41" s="421"/>
      <c r="C41" s="422"/>
      <c r="D41" s="421" t="s">
        <v>191</v>
      </c>
      <c r="E41" s="384"/>
      <c r="F41" s="384"/>
      <c r="G41" s="422"/>
      <c r="H41" s="18"/>
      <c r="I41" s="17"/>
    </row>
    <row r="42" spans="1:9" ht="52.9" customHeight="1" x14ac:dyDescent="0.2">
      <c r="A42" s="19" t="s">
        <v>39</v>
      </c>
      <c r="B42" s="421"/>
      <c r="C42" s="422"/>
      <c r="D42" s="421" t="s">
        <v>573</v>
      </c>
      <c r="E42" s="384"/>
      <c r="F42" s="384"/>
      <c r="G42" s="422"/>
      <c r="H42" s="18"/>
      <c r="I42" s="17"/>
    </row>
    <row r="43" spans="1:9" ht="16.149999999999999" hidden="1" customHeight="1" x14ac:dyDescent="0.2">
      <c r="A43" s="19" t="s">
        <v>39</v>
      </c>
      <c r="B43" s="423"/>
      <c r="C43" s="424"/>
      <c r="D43" s="423" t="s">
        <v>99</v>
      </c>
      <c r="E43" s="418"/>
      <c r="F43" s="418"/>
      <c r="G43" s="424"/>
      <c r="H43" s="21"/>
      <c r="I43" s="20"/>
    </row>
    <row r="44" spans="1:9" ht="26.45" hidden="1" customHeight="1" x14ac:dyDescent="0.2">
      <c r="A44" s="19" t="s">
        <v>39</v>
      </c>
      <c r="B44" s="421"/>
      <c r="C44" s="422"/>
      <c r="D44" s="421" t="s">
        <v>190</v>
      </c>
      <c r="E44" s="384"/>
      <c r="F44" s="384"/>
      <c r="G44" s="422"/>
      <c r="H44" s="18"/>
      <c r="I44" s="17"/>
    </row>
    <row r="45" spans="1:9" ht="66" hidden="1" customHeight="1" x14ac:dyDescent="0.2">
      <c r="A45" s="19" t="s">
        <v>39</v>
      </c>
      <c r="B45" s="421"/>
      <c r="C45" s="422"/>
      <c r="D45" s="421" t="s">
        <v>189</v>
      </c>
      <c r="E45" s="384"/>
      <c r="F45" s="384"/>
      <c r="G45" s="422"/>
      <c r="H45" s="18"/>
      <c r="I45" s="17"/>
    </row>
    <row r="46" spans="1:9" ht="39.6" hidden="1" customHeight="1" x14ac:dyDescent="0.2">
      <c r="A46" s="19" t="s">
        <v>39</v>
      </c>
      <c r="B46" s="421"/>
      <c r="C46" s="422"/>
      <c r="D46" s="421" t="s">
        <v>188</v>
      </c>
      <c r="E46" s="384"/>
      <c r="F46" s="384"/>
      <c r="G46" s="422"/>
      <c r="H46" s="18"/>
      <c r="I46" s="17"/>
    </row>
    <row r="47" spans="1:9" ht="26.45" hidden="1" customHeight="1" x14ac:dyDescent="0.2">
      <c r="A47" s="19" t="s">
        <v>39</v>
      </c>
      <c r="B47" s="421"/>
      <c r="C47" s="422"/>
      <c r="D47" s="421" t="s">
        <v>187</v>
      </c>
      <c r="E47" s="384"/>
      <c r="F47" s="384"/>
      <c r="G47" s="422"/>
      <c r="H47" s="18"/>
      <c r="I47" s="17"/>
    </row>
    <row r="48" spans="1:9" ht="39.6" hidden="1" customHeight="1" x14ac:dyDescent="0.2">
      <c r="A48" s="19" t="s">
        <v>39</v>
      </c>
      <c r="B48" s="421"/>
      <c r="C48" s="422"/>
      <c r="D48" s="421" t="s">
        <v>186</v>
      </c>
      <c r="E48" s="384"/>
      <c r="F48" s="384"/>
      <c r="G48" s="422"/>
      <c r="H48" s="18"/>
      <c r="I48" s="17"/>
    </row>
    <row r="49" spans="1:9" ht="39.6" hidden="1" customHeight="1" x14ac:dyDescent="0.2">
      <c r="A49" s="19" t="s">
        <v>39</v>
      </c>
      <c r="B49" s="421"/>
      <c r="C49" s="422"/>
      <c r="D49" s="421" t="s">
        <v>185</v>
      </c>
      <c r="E49" s="384"/>
      <c r="F49" s="384"/>
      <c r="G49" s="422"/>
      <c r="H49" s="18"/>
      <c r="I49" s="17"/>
    </row>
    <row r="50" spans="1:9" ht="13.15" hidden="1" customHeight="1" x14ac:dyDescent="0.2">
      <c r="A50" s="16" t="s">
        <v>39</v>
      </c>
      <c r="B50" s="427"/>
      <c r="C50" s="428"/>
      <c r="D50" s="427" t="s">
        <v>184</v>
      </c>
      <c r="E50" s="429"/>
      <c r="F50" s="429"/>
      <c r="G50" s="428"/>
      <c r="H50" s="15"/>
      <c r="I50" s="14"/>
    </row>
    <row r="51" spans="1:9" ht="159" customHeight="1" x14ac:dyDescent="0.2">
      <c r="A51" s="19"/>
      <c r="B51" s="425"/>
      <c r="C51" s="426"/>
      <c r="D51" s="421" t="s">
        <v>1428</v>
      </c>
      <c r="E51" s="384"/>
      <c r="F51" s="384"/>
      <c r="G51" s="422"/>
      <c r="H51" s="18"/>
      <c r="I51" s="17"/>
    </row>
    <row r="52" spans="1:9" ht="34.5" customHeight="1" x14ac:dyDescent="0.2">
      <c r="A52" s="439" t="s">
        <v>83</v>
      </c>
      <c r="B52" s="413" t="s">
        <v>59</v>
      </c>
      <c r="C52" s="414"/>
      <c r="D52" s="415" t="s">
        <v>539</v>
      </c>
      <c r="E52" s="416"/>
      <c r="F52" s="416"/>
      <c r="G52" s="417"/>
      <c r="H52" s="430" t="s">
        <v>1258</v>
      </c>
      <c r="I52" s="432">
        <f>ROUND((53100 + 186* 2950) * 1 * 0.6 * 1.4 * 1.4,0)*1.4*1.11</f>
        <v>1099792.2180000001</v>
      </c>
    </row>
    <row r="53" spans="1:9" ht="121.5" customHeight="1" x14ac:dyDescent="0.2">
      <c r="A53" s="440"/>
      <c r="B53" s="423"/>
      <c r="C53" s="424"/>
      <c r="D53" s="421"/>
      <c r="E53" s="384"/>
      <c r="F53" s="384"/>
      <c r="G53" s="422"/>
      <c r="H53" s="431"/>
      <c r="I53" s="433"/>
    </row>
    <row r="54" spans="1:9" ht="16.149999999999999" customHeight="1" x14ac:dyDescent="0.2">
      <c r="A54" s="19" t="s">
        <v>39</v>
      </c>
      <c r="B54" s="423"/>
      <c r="C54" s="424"/>
      <c r="D54" s="423" t="s">
        <v>45</v>
      </c>
      <c r="E54" s="418"/>
      <c r="F54" s="418"/>
      <c r="G54" s="424"/>
      <c r="H54" s="21"/>
      <c r="I54" s="20"/>
    </row>
    <row r="55" spans="1:9" ht="26.45" customHeight="1" x14ac:dyDescent="0.2">
      <c r="A55" s="19" t="s">
        <v>39</v>
      </c>
      <c r="B55" s="421"/>
      <c r="C55" s="422"/>
      <c r="D55" s="421" t="s">
        <v>562</v>
      </c>
      <c r="E55" s="384"/>
      <c r="F55" s="384"/>
      <c r="G55" s="422"/>
      <c r="H55" s="18"/>
      <c r="I55" s="17"/>
    </row>
    <row r="56" spans="1:9" ht="54.75" customHeight="1" x14ac:dyDescent="0.2">
      <c r="A56" s="19"/>
      <c r="B56" s="425"/>
      <c r="C56" s="426"/>
      <c r="D56" s="421" t="s">
        <v>1087</v>
      </c>
      <c r="E56" s="384"/>
      <c r="F56" s="384"/>
      <c r="G56" s="422"/>
      <c r="H56" s="18"/>
      <c r="I56" s="17"/>
    </row>
    <row r="57" spans="1:9" ht="97.5" customHeight="1" x14ac:dyDescent="0.2">
      <c r="A57" s="19"/>
      <c r="B57" s="425"/>
      <c r="C57" s="426"/>
      <c r="D57" s="421" t="s">
        <v>565</v>
      </c>
      <c r="E57" s="384"/>
      <c r="F57" s="384"/>
      <c r="G57" s="422"/>
      <c r="H57" s="18"/>
      <c r="I57" s="17"/>
    </row>
    <row r="58" spans="1:9" ht="68.25" customHeight="1" x14ac:dyDescent="0.2">
      <c r="A58" s="19" t="s">
        <v>39</v>
      </c>
      <c r="B58" s="421"/>
      <c r="C58" s="422"/>
      <c r="D58" s="421" t="s">
        <v>1089</v>
      </c>
      <c r="E58" s="384"/>
      <c r="F58" s="384"/>
      <c r="G58" s="422"/>
      <c r="H58" s="18"/>
      <c r="I58" s="17"/>
    </row>
    <row r="59" spans="1:9" ht="16.149999999999999" hidden="1" customHeight="1" x14ac:dyDescent="0.2">
      <c r="A59" s="19" t="s">
        <v>39</v>
      </c>
      <c r="B59" s="423"/>
      <c r="C59" s="424"/>
      <c r="D59" s="423" t="s">
        <v>99</v>
      </c>
      <c r="E59" s="418"/>
      <c r="F59" s="418"/>
      <c r="G59" s="424"/>
      <c r="H59" s="21"/>
      <c r="I59" s="20"/>
    </row>
    <row r="60" spans="1:9" ht="26.45" hidden="1" customHeight="1" x14ac:dyDescent="0.2">
      <c r="A60" s="19" t="s">
        <v>39</v>
      </c>
      <c r="B60" s="421"/>
      <c r="C60" s="422"/>
      <c r="D60" s="421" t="s">
        <v>183</v>
      </c>
      <c r="E60" s="384"/>
      <c r="F60" s="384"/>
      <c r="G60" s="422"/>
      <c r="H60" s="18"/>
      <c r="I60" s="17"/>
    </row>
    <row r="61" spans="1:9" ht="26.45" hidden="1" customHeight="1" x14ac:dyDescent="0.2">
      <c r="A61" s="19" t="s">
        <v>39</v>
      </c>
      <c r="B61" s="421"/>
      <c r="C61" s="422"/>
      <c r="D61" s="421" t="s">
        <v>182</v>
      </c>
      <c r="E61" s="384"/>
      <c r="F61" s="384"/>
      <c r="G61" s="422"/>
      <c r="H61" s="18"/>
      <c r="I61" s="17"/>
    </row>
    <row r="62" spans="1:9" ht="79.150000000000006" hidden="1" customHeight="1" x14ac:dyDescent="0.2">
      <c r="A62" s="19" t="s">
        <v>39</v>
      </c>
      <c r="B62" s="421"/>
      <c r="C62" s="422"/>
      <c r="D62" s="421" t="s">
        <v>181</v>
      </c>
      <c r="E62" s="384"/>
      <c r="F62" s="384"/>
      <c r="G62" s="422"/>
      <c r="H62" s="18"/>
      <c r="I62" s="17"/>
    </row>
    <row r="63" spans="1:9" ht="26.45" hidden="1" customHeight="1" x14ac:dyDescent="0.2">
      <c r="A63" s="19" t="s">
        <v>39</v>
      </c>
      <c r="B63" s="421"/>
      <c r="C63" s="422"/>
      <c r="D63" s="441" t="s">
        <v>180</v>
      </c>
      <c r="E63" s="442"/>
      <c r="F63" s="442"/>
      <c r="G63" s="443"/>
      <c r="H63" s="18"/>
      <c r="I63" s="17"/>
    </row>
    <row r="64" spans="1:9" ht="26.45" hidden="1" customHeight="1" x14ac:dyDescent="0.2">
      <c r="A64" s="19" t="s">
        <v>39</v>
      </c>
      <c r="B64" s="421"/>
      <c r="C64" s="422"/>
      <c r="D64" s="441" t="s">
        <v>179</v>
      </c>
      <c r="E64" s="442"/>
      <c r="F64" s="442"/>
      <c r="G64" s="443"/>
      <c r="H64" s="18"/>
      <c r="I64" s="17"/>
    </row>
    <row r="65" spans="1:9" ht="26.45" hidden="1" customHeight="1" x14ac:dyDescent="0.2">
      <c r="A65" s="19" t="s">
        <v>39</v>
      </c>
      <c r="B65" s="421"/>
      <c r="C65" s="422"/>
      <c r="D65" s="441" t="s">
        <v>178</v>
      </c>
      <c r="E65" s="442"/>
      <c r="F65" s="442"/>
      <c r="G65" s="443"/>
      <c r="H65" s="18"/>
      <c r="I65" s="17"/>
    </row>
    <row r="66" spans="1:9" ht="26.45" hidden="1" customHeight="1" x14ac:dyDescent="0.2">
      <c r="A66" s="19" t="s">
        <v>39</v>
      </c>
      <c r="B66" s="421"/>
      <c r="C66" s="422"/>
      <c r="D66" s="441" t="s">
        <v>177</v>
      </c>
      <c r="E66" s="442"/>
      <c r="F66" s="442"/>
      <c r="G66" s="443"/>
      <c r="H66" s="18"/>
      <c r="I66" s="17"/>
    </row>
    <row r="67" spans="1:9" ht="26.45" hidden="1" customHeight="1" x14ac:dyDescent="0.2">
      <c r="A67" s="19" t="s">
        <v>39</v>
      </c>
      <c r="B67" s="421"/>
      <c r="C67" s="422"/>
      <c r="D67" s="421" t="s">
        <v>176</v>
      </c>
      <c r="E67" s="384"/>
      <c r="F67" s="384"/>
      <c r="G67" s="422"/>
      <c r="H67" s="18"/>
      <c r="I67" s="17"/>
    </row>
    <row r="68" spans="1:9" ht="39.6" hidden="1" customHeight="1" x14ac:dyDescent="0.2">
      <c r="A68" s="19" t="s">
        <v>39</v>
      </c>
      <c r="B68" s="421"/>
      <c r="C68" s="422"/>
      <c r="D68" s="441" t="s">
        <v>175</v>
      </c>
      <c r="E68" s="442"/>
      <c r="F68" s="442"/>
      <c r="G68" s="443"/>
      <c r="H68" s="18"/>
      <c r="I68" s="17"/>
    </row>
    <row r="69" spans="1:9" ht="26.45" hidden="1" customHeight="1" x14ac:dyDescent="0.2">
      <c r="A69" s="19" t="s">
        <v>39</v>
      </c>
      <c r="B69" s="421"/>
      <c r="C69" s="422"/>
      <c r="D69" s="441" t="s">
        <v>174</v>
      </c>
      <c r="E69" s="442"/>
      <c r="F69" s="442"/>
      <c r="G69" s="443"/>
      <c r="H69" s="18"/>
      <c r="I69" s="17"/>
    </row>
    <row r="70" spans="1:9" ht="39.6" hidden="1" customHeight="1" x14ac:dyDescent="0.2">
      <c r="A70" s="19" t="s">
        <v>39</v>
      </c>
      <c r="B70" s="421"/>
      <c r="C70" s="422"/>
      <c r="D70" s="421" t="s">
        <v>173</v>
      </c>
      <c r="E70" s="384"/>
      <c r="F70" s="384"/>
      <c r="G70" s="422"/>
      <c r="H70" s="18"/>
      <c r="I70" s="17"/>
    </row>
    <row r="71" spans="1:9" ht="26.45" hidden="1" customHeight="1" x14ac:dyDescent="0.2">
      <c r="A71" s="19" t="s">
        <v>39</v>
      </c>
      <c r="B71" s="421"/>
      <c r="C71" s="422"/>
      <c r="D71" s="421" t="s">
        <v>172</v>
      </c>
      <c r="E71" s="384"/>
      <c r="F71" s="384"/>
      <c r="G71" s="422"/>
      <c r="H71" s="18"/>
      <c r="I71" s="17"/>
    </row>
    <row r="72" spans="1:9" ht="26.45" hidden="1" customHeight="1" x14ac:dyDescent="0.2">
      <c r="A72" s="19" t="s">
        <v>39</v>
      </c>
      <c r="B72" s="421"/>
      <c r="C72" s="422"/>
      <c r="D72" s="421" t="s">
        <v>171</v>
      </c>
      <c r="E72" s="384"/>
      <c r="F72" s="384"/>
      <c r="G72" s="422"/>
      <c r="H72" s="18"/>
      <c r="I72" s="17"/>
    </row>
    <row r="73" spans="1:9" ht="39.6" hidden="1" customHeight="1" x14ac:dyDescent="0.2">
      <c r="A73" s="19" t="s">
        <v>39</v>
      </c>
      <c r="B73" s="421"/>
      <c r="C73" s="422"/>
      <c r="D73" s="421" t="s">
        <v>170</v>
      </c>
      <c r="E73" s="384"/>
      <c r="F73" s="384"/>
      <c r="G73" s="422"/>
      <c r="H73" s="18"/>
      <c r="I73" s="17"/>
    </row>
    <row r="74" spans="1:9" ht="39.6" hidden="1" customHeight="1" x14ac:dyDescent="0.2">
      <c r="A74" s="19" t="s">
        <v>39</v>
      </c>
      <c r="B74" s="421"/>
      <c r="C74" s="422"/>
      <c r="D74" s="421" t="s">
        <v>169</v>
      </c>
      <c r="E74" s="384"/>
      <c r="F74" s="384"/>
      <c r="G74" s="422"/>
      <c r="H74" s="18"/>
      <c r="I74" s="17"/>
    </row>
    <row r="75" spans="1:9" ht="39" customHeight="1" x14ac:dyDescent="0.2">
      <c r="A75" s="51"/>
      <c r="B75" s="434"/>
      <c r="C75" s="435"/>
      <c r="D75" s="436" t="s">
        <v>1256</v>
      </c>
      <c r="E75" s="437"/>
      <c r="F75" s="437"/>
      <c r="G75" s="438"/>
      <c r="H75" s="52"/>
      <c r="I75" s="53"/>
    </row>
    <row r="76" spans="1:9" ht="26.45" hidden="1" customHeight="1" x14ac:dyDescent="0.2">
      <c r="A76" s="16" t="s">
        <v>39</v>
      </c>
      <c r="B76" s="427"/>
      <c r="C76" s="428"/>
      <c r="D76" s="427" t="s">
        <v>168</v>
      </c>
      <c r="E76" s="429"/>
      <c r="F76" s="429"/>
      <c r="G76" s="428"/>
      <c r="H76" s="15"/>
      <c r="I76" s="14"/>
    </row>
    <row r="77" spans="1:9" ht="39.6" customHeight="1" x14ac:dyDescent="0.2">
      <c r="A77" s="11" t="s">
        <v>81</v>
      </c>
      <c r="B77" s="395" t="s">
        <v>235</v>
      </c>
      <c r="C77" s="396"/>
      <c r="D77" s="395"/>
      <c r="E77" s="397"/>
      <c r="F77" s="397"/>
      <c r="G77" s="396"/>
      <c r="H77" s="10"/>
      <c r="I77" s="9">
        <f>I19+I36+I52</f>
        <v>5743637.0270543313</v>
      </c>
    </row>
    <row r="78" spans="1:9" ht="39.6" customHeight="1" x14ac:dyDescent="0.2">
      <c r="A78" s="11" t="s">
        <v>167</v>
      </c>
      <c r="B78" s="395" t="s">
        <v>236</v>
      </c>
      <c r="C78" s="396"/>
      <c r="D78" s="395"/>
      <c r="E78" s="397"/>
      <c r="F78" s="397"/>
      <c r="G78" s="396"/>
      <c r="H78" s="10" t="s">
        <v>564</v>
      </c>
      <c r="I78" s="9">
        <f>I77</f>
        <v>5743637.0270543313</v>
      </c>
    </row>
    <row r="79" spans="1:9" ht="13.15" customHeight="1" x14ac:dyDescent="0.2">
      <c r="A79" s="11" t="s">
        <v>11</v>
      </c>
      <c r="B79" s="395" t="s">
        <v>43</v>
      </c>
      <c r="C79" s="396"/>
      <c r="D79" s="395"/>
      <c r="E79" s="397"/>
      <c r="F79" s="397"/>
      <c r="G79" s="396"/>
      <c r="H79" s="10"/>
      <c r="I79" s="9">
        <f>I78</f>
        <v>5743637.0270543313</v>
      </c>
    </row>
    <row r="80" spans="1:9" ht="13.15" customHeight="1" x14ac:dyDescent="0.2">
      <c r="A80" s="11" t="s">
        <v>13</v>
      </c>
      <c r="B80" s="395" t="s">
        <v>42</v>
      </c>
      <c r="C80" s="396"/>
      <c r="D80" s="395"/>
      <c r="E80" s="397"/>
      <c r="F80" s="397"/>
      <c r="G80" s="396"/>
      <c r="H80" s="10" t="s">
        <v>164</v>
      </c>
      <c r="I80" s="9">
        <f>I78</f>
        <v>5743637.0270543313</v>
      </c>
    </row>
    <row r="81" spans="1:9" ht="12.75" customHeight="1" x14ac:dyDescent="0.2"/>
    <row r="82" spans="1:9" ht="12.75" customHeight="1" x14ac:dyDescent="0.2">
      <c r="D82" s="7"/>
    </row>
    <row r="83" spans="1:9" x14ac:dyDescent="0.2">
      <c r="A83" s="391" t="s">
        <v>0</v>
      </c>
      <c r="B83" s="391"/>
      <c r="C83" s="391"/>
      <c r="D83" s="391"/>
      <c r="E83" s="391"/>
      <c r="F83" s="391"/>
      <c r="G83" s="391"/>
      <c r="H83" s="391"/>
      <c r="I83" s="391"/>
    </row>
    <row r="84" spans="1:9" ht="12.75" customHeight="1" x14ac:dyDescent="0.2">
      <c r="A84" s="391"/>
      <c r="B84" s="391"/>
      <c r="C84" s="391"/>
      <c r="D84" s="391"/>
      <c r="E84" s="391"/>
      <c r="F84" s="391"/>
      <c r="G84" s="391"/>
      <c r="H84" s="391"/>
      <c r="I84" s="391"/>
    </row>
    <row r="85" spans="1:9" x14ac:dyDescent="0.2">
      <c r="D85" s="389" t="s">
        <v>2</v>
      </c>
      <c r="E85" s="390"/>
      <c r="F85" s="390"/>
      <c r="G85" s="390"/>
      <c r="H85" s="390"/>
      <c r="I85" s="390"/>
    </row>
    <row r="86" spans="1:9" ht="12.75" customHeight="1" x14ac:dyDescent="0.2"/>
    <row r="87" spans="1:9" x14ac:dyDescent="0.2">
      <c r="A87" s="391" t="s">
        <v>1</v>
      </c>
      <c r="B87" s="391"/>
      <c r="C87" s="391"/>
      <c r="D87" s="391"/>
      <c r="E87" s="391"/>
      <c r="F87" s="391"/>
      <c r="G87" s="391"/>
      <c r="H87" s="391"/>
      <c r="I87" s="391"/>
    </row>
    <row r="88" spans="1:9" ht="12.75" customHeight="1" x14ac:dyDescent="0.2">
      <c r="A88" s="391"/>
      <c r="B88" s="391"/>
      <c r="C88" s="391"/>
      <c r="D88" s="391"/>
      <c r="E88" s="391"/>
      <c r="F88" s="391"/>
      <c r="G88" s="391"/>
      <c r="H88" s="391"/>
      <c r="I88" s="391"/>
    </row>
    <row r="89" spans="1:9" x14ac:dyDescent="0.2">
      <c r="D89" s="389" t="s">
        <v>2</v>
      </c>
      <c r="E89" s="390"/>
      <c r="F89" s="390"/>
      <c r="G89" s="390"/>
      <c r="H89" s="390"/>
      <c r="I89" s="390"/>
    </row>
    <row r="90" spans="1:9" ht="12.75" customHeight="1" x14ac:dyDescent="0.2"/>
    <row r="91" spans="1:9" x14ac:dyDescent="0.2">
      <c r="A91" s="391" t="s">
        <v>5</v>
      </c>
      <c r="B91" s="391"/>
      <c r="C91" s="391"/>
      <c r="D91" s="391"/>
      <c r="E91" s="391"/>
      <c r="F91" s="391"/>
      <c r="G91" s="6" t="s">
        <v>7</v>
      </c>
      <c r="H91" s="391"/>
      <c r="I91" s="391"/>
    </row>
    <row r="92" spans="1:9" x14ac:dyDescent="0.2">
      <c r="D92" s="389" t="s">
        <v>40</v>
      </c>
      <c r="E92" s="390"/>
      <c r="F92" s="390"/>
      <c r="H92" s="389" t="s">
        <v>2</v>
      </c>
      <c r="I92" s="390"/>
    </row>
    <row r="93" spans="1:9" ht="12.75" customHeight="1" x14ac:dyDescent="0.2"/>
    <row r="94" spans="1:9" x14ac:dyDescent="0.2">
      <c r="A94" s="391" t="s">
        <v>3</v>
      </c>
      <c r="B94" s="391"/>
      <c r="C94" s="391"/>
      <c r="D94" s="391"/>
      <c r="E94" s="391"/>
      <c r="F94" s="391"/>
      <c r="G94" s="391"/>
      <c r="H94" s="391"/>
      <c r="I94" s="391"/>
    </row>
    <row r="95" spans="1:9" x14ac:dyDescent="0.2">
      <c r="D95" s="389" t="s">
        <v>6</v>
      </c>
      <c r="E95" s="390"/>
      <c r="F95" s="390"/>
      <c r="G95" s="390"/>
      <c r="H95" s="390"/>
      <c r="I95" s="390"/>
    </row>
    <row r="96" spans="1:9" ht="12.75" customHeight="1" x14ac:dyDescent="0.2"/>
  </sheetData>
  <mergeCells count="157">
    <mergeCell ref="D92:F92"/>
    <mergeCell ref="H92:I92"/>
    <mergeCell ref="A94:C94"/>
    <mergeCell ref="D94:I94"/>
    <mergeCell ref="D95:I95"/>
    <mergeCell ref="D85:I85"/>
    <mergeCell ref="A87:C88"/>
    <mergeCell ref="D87:I88"/>
    <mergeCell ref="D89:I89"/>
    <mergeCell ref="A91:C91"/>
    <mergeCell ref="D91:F91"/>
    <mergeCell ref="H91:I91"/>
    <mergeCell ref="B79:C79"/>
    <mergeCell ref="D79:G79"/>
    <mergeCell ref="B80:C80"/>
    <mergeCell ref="D80:G80"/>
    <mergeCell ref="A83:C84"/>
    <mergeCell ref="D83:I84"/>
    <mergeCell ref="B77:C77"/>
    <mergeCell ref="D77:G77"/>
    <mergeCell ref="B78:C78"/>
    <mergeCell ref="D78:G78"/>
    <mergeCell ref="B73:C73"/>
    <mergeCell ref="D73:G73"/>
    <mergeCell ref="B74:C74"/>
    <mergeCell ref="D74:G74"/>
    <mergeCell ref="B76:C76"/>
    <mergeCell ref="D76:G76"/>
    <mergeCell ref="B70:C70"/>
    <mergeCell ref="D70:G70"/>
    <mergeCell ref="B71:C71"/>
    <mergeCell ref="D71:G71"/>
    <mergeCell ref="B72:C72"/>
    <mergeCell ref="D72:G72"/>
    <mergeCell ref="B75:C75"/>
    <mergeCell ref="D75:G75"/>
    <mergeCell ref="B67:C67"/>
    <mergeCell ref="D67:G67"/>
    <mergeCell ref="B68:C68"/>
    <mergeCell ref="D68:G68"/>
    <mergeCell ref="B69:C69"/>
    <mergeCell ref="D69:G69"/>
    <mergeCell ref="B64:C64"/>
    <mergeCell ref="D64:G64"/>
    <mergeCell ref="B65:C65"/>
    <mergeCell ref="D65:G65"/>
    <mergeCell ref="B66:C66"/>
    <mergeCell ref="D66:G66"/>
    <mergeCell ref="B61:C61"/>
    <mergeCell ref="D61:G61"/>
    <mergeCell ref="B62:C62"/>
    <mergeCell ref="D62:G62"/>
    <mergeCell ref="B63:C63"/>
    <mergeCell ref="D63:G63"/>
    <mergeCell ref="B58:C58"/>
    <mergeCell ref="D58:G58"/>
    <mergeCell ref="B59:C59"/>
    <mergeCell ref="D59:G59"/>
    <mergeCell ref="B60:C60"/>
    <mergeCell ref="D60:G60"/>
    <mergeCell ref="H52:H53"/>
    <mergeCell ref="I52:I53"/>
    <mergeCell ref="B54:C54"/>
    <mergeCell ref="D54:G54"/>
    <mergeCell ref="B55:C55"/>
    <mergeCell ref="D55:G55"/>
    <mergeCell ref="B49:C49"/>
    <mergeCell ref="D49:G49"/>
    <mergeCell ref="B50:C50"/>
    <mergeCell ref="D50:G50"/>
    <mergeCell ref="A52:A53"/>
    <mergeCell ref="B52:C53"/>
    <mergeCell ref="D52:G53"/>
    <mergeCell ref="B46:C46"/>
    <mergeCell ref="D46:G46"/>
    <mergeCell ref="B47:C47"/>
    <mergeCell ref="D47:G47"/>
    <mergeCell ref="B48:C48"/>
    <mergeCell ref="D48:G48"/>
    <mergeCell ref="B51:C51"/>
    <mergeCell ref="D51:G51"/>
    <mergeCell ref="B43:C43"/>
    <mergeCell ref="D43:G43"/>
    <mergeCell ref="B44:C44"/>
    <mergeCell ref="D44:G44"/>
    <mergeCell ref="B45:C45"/>
    <mergeCell ref="D45:G45"/>
    <mergeCell ref="B39:C39"/>
    <mergeCell ref="D39:G39"/>
    <mergeCell ref="B41:C41"/>
    <mergeCell ref="D41:G41"/>
    <mergeCell ref="B42:C42"/>
    <mergeCell ref="D42:G42"/>
    <mergeCell ref="B40:C40"/>
    <mergeCell ref="D40:G40"/>
    <mergeCell ref="B36:C36"/>
    <mergeCell ref="D36:G36"/>
    <mergeCell ref="B37:C37"/>
    <mergeCell ref="D37:G37"/>
    <mergeCell ref="B38:C38"/>
    <mergeCell ref="D38:G38"/>
    <mergeCell ref="B32:C32"/>
    <mergeCell ref="D32:G32"/>
    <mergeCell ref="B33:C33"/>
    <mergeCell ref="D33:G33"/>
    <mergeCell ref="B34:C34"/>
    <mergeCell ref="D34:G34"/>
    <mergeCell ref="B35:C35"/>
    <mergeCell ref="D35:G35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2:C22"/>
    <mergeCell ref="D22:G22"/>
    <mergeCell ref="B24:C24"/>
    <mergeCell ref="D24:G24"/>
    <mergeCell ref="B25:C25"/>
    <mergeCell ref="D25:G25"/>
    <mergeCell ref="B19:C19"/>
    <mergeCell ref="D19:G19"/>
    <mergeCell ref="B20:C20"/>
    <mergeCell ref="D20:G20"/>
    <mergeCell ref="B21:C21"/>
    <mergeCell ref="D21:G21"/>
    <mergeCell ref="B56:C56"/>
    <mergeCell ref="D56:G56"/>
    <mergeCell ref="B57:C57"/>
    <mergeCell ref="D57:G57"/>
    <mergeCell ref="A1:C1"/>
    <mergeCell ref="D1:I1"/>
    <mergeCell ref="A3:I3"/>
    <mergeCell ref="A4:I4"/>
    <mergeCell ref="A6:B6"/>
    <mergeCell ref="C6:G6"/>
    <mergeCell ref="B23:C23"/>
    <mergeCell ref="D23:G23"/>
    <mergeCell ref="B16:C16"/>
    <mergeCell ref="D16:G16"/>
    <mergeCell ref="B17:C17"/>
    <mergeCell ref="D17:G17"/>
    <mergeCell ref="B18:C18"/>
    <mergeCell ref="D18:G18"/>
    <mergeCell ref="A8:I8"/>
    <mergeCell ref="A10:C10"/>
    <mergeCell ref="D10:I10"/>
    <mergeCell ref="A12:C12"/>
    <mergeCell ref="D12:I12"/>
    <mergeCell ref="A14:I14"/>
  </mergeCells>
  <pageMargins left="0.39370078740157477" right="0.39370078740157477" top="0.74803149606299213" bottom="0.74803149606299213" header="0.31496062992125984" footer="0.31496062992125984"/>
  <pageSetup paperSize="9" scale="78" orientation="portrait" useFirstPageNumber="1" horizontalDpi="300" verticalDpi="300" r:id="rId1"/>
  <headerFooter alignWithMargins="0">
    <oddFooter>&amp;CСтраница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8"/>
  <dimension ref="A1:J107"/>
  <sheetViews>
    <sheetView view="pageBreakPreview" zoomScale="60" zoomScaleNormal="100" workbookViewId="0">
      <selection activeCell="J90" sqref="J90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25.5" customHeight="1" x14ac:dyDescent="0.2">
      <c r="A1" s="419" t="s">
        <v>55</v>
      </c>
      <c r="B1" s="419"/>
      <c r="C1" s="419"/>
      <c r="D1" s="381" t="s">
        <v>54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1281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29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23.75" customHeight="1" x14ac:dyDescent="0.2">
      <c r="A18" s="24" t="s">
        <v>10</v>
      </c>
      <c r="B18" s="413" t="s">
        <v>543</v>
      </c>
      <c r="C18" s="414"/>
      <c r="D18" s="415" t="s">
        <v>544</v>
      </c>
      <c r="E18" s="416"/>
      <c r="F18" s="416"/>
      <c r="G18" s="417"/>
      <c r="H18" s="23" t="s">
        <v>576</v>
      </c>
      <c r="I18" s="22">
        <f>(29050 + 7400 * 5.49) * 1 * 0.6 * 1.1*0.9*1.4</f>
        <v>57942.561600000001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562</v>
      </c>
      <c r="E20" s="384"/>
      <c r="F20" s="384"/>
      <c r="G20" s="422"/>
      <c r="H20" s="18"/>
      <c r="I20" s="17"/>
    </row>
    <row r="21" spans="1:9" ht="145.15" hidden="1" customHeight="1" x14ac:dyDescent="0.2">
      <c r="A21" s="19" t="s">
        <v>39</v>
      </c>
      <c r="B21" s="421"/>
      <c r="C21" s="422"/>
      <c r="D21" s="421" t="s">
        <v>44</v>
      </c>
      <c r="E21" s="384"/>
      <c r="F21" s="384"/>
      <c r="G21" s="422"/>
      <c r="H21" s="18"/>
      <c r="I21" s="17"/>
    </row>
    <row r="22" spans="1:9" ht="79.150000000000006" customHeight="1" x14ac:dyDescent="0.2">
      <c r="A22" s="19" t="s">
        <v>39</v>
      </c>
      <c r="B22" s="421"/>
      <c r="C22" s="422"/>
      <c r="D22" s="421" t="s">
        <v>160</v>
      </c>
      <c r="E22" s="384"/>
      <c r="F22" s="384"/>
      <c r="G22" s="422"/>
      <c r="H22" s="18"/>
      <c r="I22" s="17"/>
    </row>
    <row r="23" spans="1:9" ht="137.44999999999999" customHeight="1" x14ac:dyDescent="0.2">
      <c r="A23" s="51" t="s">
        <v>39</v>
      </c>
      <c r="B23" s="436"/>
      <c r="C23" s="438"/>
      <c r="D23" s="436" t="s">
        <v>574</v>
      </c>
      <c r="E23" s="437"/>
      <c r="F23" s="437"/>
      <c r="G23" s="438"/>
      <c r="H23" s="52"/>
      <c r="I23" s="53"/>
    </row>
    <row r="24" spans="1:9" ht="26.45" hidden="1" customHeight="1" x14ac:dyDescent="0.2">
      <c r="A24" s="19" t="s">
        <v>39</v>
      </c>
      <c r="B24" s="423"/>
      <c r="C24" s="424"/>
      <c r="D24" s="423" t="s">
        <v>99</v>
      </c>
      <c r="E24" s="418"/>
      <c r="F24" s="418"/>
      <c r="G24" s="424"/>
      <c r="H24" s="21"/>
      <c r="I24" s="20"/>
    </row>
    <row r="25" spans="1:9" ht="39.6" hidden="1" customHeight="1" x14ac:dyDescent="0.2">
      <c r="A25" s="19" t="s">
        <v>39</v>
      </c>
      <c r="B25" s="421"/>
      <c r="C25" s="422"/>
      <c r="D25" s="421" t="s">
        <v>239</v>
      </c>
      <c r="E25" s="384"/>
      <c r="F25" s="384"/>
      <c r="G25" s="422"/>
      <c r="H25" s="18"/>
      <c r="I25" s="17"/>
    </row>
    <row r="26" spans="1:9" ht="26.45" hidden="1" customHeight="1" x14ac:dyDescent="0.2">
      <c r="A26" s="19" t="s">
        <v>39</v>
      </c>
      <c r="B26" s="421"/>
      <c r="C26" s="422"/>
      <c r="D26" s="421" t="s">
        <v>240</v>
      </c>
      <c r="E26" s="384"/>
      <c r="F26" s="384"/>
      <c r="G26" s="422"/>
      <c r="H26" s="18"/>
      <c r="I26" s="17"/>
    </row>
    <row r="27" spans="1:9" ht="39.6" hidden="1" customHeight="1" x14ac:dyDescent="0.2">
      <c r="A27" s="19" t="s">
        <v>39</v>
      </c>
      <c r="B27" s="421"/>
      <c r="C27" s="422"/>
      <c r="D27" s="421" t="s">
        <v>241</v>
      </c>
      <c r="E27" s="384"/>
      <c r="F27" s="384"/>
      <c r="G27" s="422"/>
      <c r="H27" s="18"/>
      <c r="I27" s="17"/>
    </row>
    <row r="28" spans="1:9" ht="52.9" hidden="1" customHeight="1" x14ac:dyDescent="0.2">
      <c r="A28" s="19" t="s">
        <v>39</v>
      </c>
      <c r="B28" s="421"/>
      <c r="C28" s="422"/>
      <c r="D28" s="421" t="s">
        <v>242</v>
      </c>
      <c r="E28" s="384"/>
      <c r="F28" s="384"/>
      <c r="G28" s="422"/>
      <c r="H28" s="18"/>
      <c r="I28" s="17"/>
    </row>
    <row r="29" spans="1:9" ht="26.45" hidden="1" customHeight="1" x14ac:dyDescent="0.2">
      <c r="A29" s="19" t="s">
        <v>39</v>
      </c>
      <c r="B29" s="421"/>
      <c r="C29" s="422"/>
      <c r="D29" s="421" t="s">
        <v>243</v>
      </c>
      <c r="E29" s="384"/>
      <c r="F29" s="384"/>
      <c r="G29" s="422"/>
      <c r="H29" s="18"/>
      <c r="I29" s="17"/>
    </row>
    <row r="30" spans="1:9" ht="26.45" hidden="1" customHeight="1" x14ac:dyDescent="0.2">
      <c r="A30" s="19" t="s">
        <v>39</v>
      </c>
      <c r="B30" s="421"/>
      <c r="C30" s="422"/>
      <c r="D30" s="421" t="s">
        <v>244</v>
      </c>
      <c r="E30" s="384"/>
      <c r="F30" s="384"/>
      <c r="G30" s="422"/>
      <c r="H30" s="18"/>
      <c r="I30" s="17"/>
    </row>
    <row r="31" spans="1:9" ht="26.45" hidden="1" customHeight="1" x14ac:dyDescent="0.2">
      <c r="A31" s="19" t="s">
        <v>39</v>
      </c>
      <c r="B31" s="421"/>
      <c r="C31" s="422"/>
      <c r="D31" s="421" t="s">
        <v>245</v>
      </c>
      <c r="E31" s="384"/>
      <c r="F31" s="384"/>
      <c r="G31" s="422"/>
      <c r="H31" s="18"/>
      <c r="I31" s="17"/>
    </row>
    <row r="32" spans="1:9" ht="39.6" hidden="1" customHeight="1" x14ac:dyDescent="0.2">
      <c r="A32" s="19" t="s">
        <v>39</v>
      </c>
      <c r="B32" s="421"/>
      <c r="C32" s="422"/>
      <c r="D32" s="421" t="s">
        <v>246</v>
      </c>
      <c r="E32" s="384"/>
      <c r="F32" s="384"/>
      <c r="G32" s="422"/>
      <c r="H32" s="18"/>
      <c r="I32" s="17"/>
    </row>
    <row r="33" spans="1:9" ht="13.15" hidden="1" customHeight="1" x14ac:dyDescent="0.2">
      <c r="A33" s="19" t="s">
        <v>39</v>
      </c>
      <c r="B33" s="421"/>
      <c r="C33" s="422"/>
      <c r="D33" s="421" t="s">
        <v>247</v>
      </c>
      <c r="E33" s="384"/>
      <c r="F33" s="384"/>
      <c r="G33" s="422"/>
      <c r="H33" s="18"/>
      <c r="I33" s="17"/>
    </row>
    <row r="34" spans="1:9" ht="26.45" hidden="1" customHeight="1" x14ac:dyDescent="0.2">
      <c r="A34" s="19" t="s">
        <v>39</v>
      </c>
      <c r="B34" s="421"/>
      <c r="C34" s="422"/>
      <c r="D34" s="421" t="s">
        <v>248</v>
      </c>
      <c r="E34" s="384"/>
      <c r="F34" s="384"/>
      <c r="G34" s="422"/>
      <c r="H34" s="18"/>
      <c r="I34" s="17"/>
    </row>
    <row r="35" spans="1:9" ht="26.45" hidden="1" customHeight="1" x14ac:dyDescent="0.2">
      <c r="A35" s="19" t="s">
        <v>39</v>
      </c>
      <c r="B35" s="421"/>
      <c r="C35" s="422"/>
      <c r="D35" s="421" t="s">
        <v>249</v>
      </c>
      <c r="E35" s="384"/>
      <c r="F35" s="384"/>
      <c r="G35" s="422"/>
      <c r="H35" s="18"/>
      <c r="I35" s="17"/>
    </row>
    <row r="36" spans="1:9" ht="26.45" hidden="1" customHeight="1" x14ac:dyDescent="0.2">
      <c r="A36" s="19" t="s">
        <v>39</v>
      </c>
      <c r="B36" s="421"/>
      <c r="C36" s="422"/>
      <c r="D36" s="421" t="s">
        <v>250</v>
      </c>
      <c r="E36" s="384"/>
      <c r="F36" s="384"/>
      <c r="G36" s="422"/>
      <c r="H36" s="18"/>
      <c r="I36" s="17"/>
    </row>
    <row r="37" spans="1:9" ht="26.45" hidden="1" customHeight="1" x14ac:dyDescent="0.2">
      <c r="A37" s="19" t="s">
        <v>39</v>
      </c>
      <c r="B37" s="421"/>
      <c r="C37" s="422"/>
      <c r="D37" s="421" t="s">
        <v>251</v>
      </c>
      <c r="E37" s="384"/>
      <c r="F37" s="384"/>
      <c r="G37" s="422"/>
      <c r="H37" s="18"/>
      <c r="I37" s="17"/>
    </row>
    <row r="38" spans="1:9" ht="39.6" hidden="1" customHeight="1" x14ac:dyDescent="0.2">
      <c r="A38" s="19" t="s">
        <v>39</v>
      </c>
      <c r="B38" s="421"/>
      <c r="C38" s="422"/>
      <c r="D38" s="421" t="s">
        <v>252</v>
      </c>
      <c r="E38" s="384"/>
      <c r="F38" s="384"/>
      <c r="G38" s="422"/>
      <c r="H38" s="18"/>
      <c r="I38" s="17"/>
    </row>
    <row r="39" spans="1:9" ht="26.45" hidden="1" customHeight="1" x14ac:dyDescent="0.2">
      <c r="A39" s="19" t="s">
        <v>39</v>
      </c>
      <c r="B39" s="421"/>
      <c r="C39" s="422"/>
      <c r="D39" s="421" t="s">
        <v>253</v>
      </c>
      <c r="E39" s="384"/>
      <c r="F39" s="384"/>
      <c r="G39" s="422"/>
      <c r="H39" s="18"/>
      <c r="I39" s="17"/>
    </row>
    <row r="40" spans="1:9" ht="26.45" hidden="1" customHeight="1" x14ac:dyDescent="0.2">
      <c r="A40" s="19" t="s">
        <v>39</v>
      </c>
      <c r="B40" s="421"/>
      <c r="C40" s="422"/>
      <c r="D40" s="421" t="s">
        <v>254</v>
      </c>
      <c r="E40" s="384"/>
      <c r="F40" s="384"/>
      <c r="G40" s="422"/>
      <c r="H40" s="18"/>
      <c r="I40" s="17"/>
    </row>
    <row r="41" spans="1:9" ht="123.75" hidden="1" customHeight="1" x14ac:dyDescent="0.2">
      <c r="A41" s="16" t="s">
        <v>39</v>
      </c>
      <c r="B41" s="427"/>
      <c r="C41" s="428"/>
      <c r="D41" s="427" t="s">
        <v>255</v>
      </c>
      <c r="E41" s="429"/>
      <c r="F41" s="429"/>
      <c r="G41" s="428"/>
      <c r="H41" s="15"/>
      <c r="I41" s="14"/>
    </row>
    <row r="42" spans="1:9" ht="123" customHeight="1" x14ac:dyDescent="0.2">
      <c r="A42" s="24" t="s">
        <v>11</v>
      </c>
      <c r="B42" s="413" t="s">
        <v>545</v>
      </c>
      <c r="C42" s="414"/>
      <c r="D42" s="415" t="s">
        <v>546</v>
      </c>
      <c r="E42" s="416"/>
      <c r="F42" s="416"/>
      <c r="G42" s="417"/>
      <c r="H42" s="23" t="s">
        <v>577</v>
      </c>
      <c r="I42" s="22">
        <f>(29050 + 7400 * 4.71) * 1 * 0.6 *  1.1*0.3*0.9*1.4</f>
        <v>15942.769920000002</v>
      </c>
    </row>
    <row r="43" spans="1:9" ht="14.25" customHeight="1" x14ac:dyDescent="0.2">
      <c r="A43" s="19" t="s">
        <v>39</v>
      </c>
      <c r="B43" s="423"/>
      <c r="C43" s="424"/>
      <c r="D43" s="423" t="s">
        <v>45</v>
      </c>
      <c r="E43" s="418"/>
      <c r="F43" s="418"/>
      <c r="G43" s="424"/>
      <c r="H43" s="21"/>
      <c r="I43" s="20"/>
    </row>
    <row r="44" spans="1:9" ht="29.25" customHeight="1" x14ac:dyDescent="0.2">
      <c r="A44" s="19" t="s">
        <v>39</v>
      </c>
      <c r="B44" s="421"/>
      <c r="C44" s="422"/>
      <c r="D44" s="421" t="s">
        <v>562</v>
      </c>
      <c r="E44" s="384"/>
      <c r="F44" s="384"/>
      <c r="G44" s="422"/>
      <c r="H44" s="18"/>
      <c r="I44" s="17"/>
    </row>
    <row r="45" spans="1:9" ht="79.150000000000006" hidden="1" customHeight="1" x14ac:dyDescent="0.2">
      <c r="A45" s="19" t="s">
        <v>39</v>
      </c>
      <c r="B45" s="421"/>
      <c r="C45" s="422"/>
      <c r="D45" s="421" t="s">
        <v>44</v>
      </c>
      <c r="E45" s="384"/>
      <c r="F45" s="384"/>
      <c r="G45" s="422"/>
      <c r="H45" s="18"/>
      <c r="I45" s="17"/>
    </row>
    <row r="46" spans="1:9" ht="85.5" customHeight="1" x14ac:dyDescent="0.2">
      <c r="A46" s="19" t="s">
        <v>39</v>
      </c>
      <c r="B46" s="421"/>
      <c r="C46" s="422"/>
      <c r="D46" s="421" t="s">
        <v>160</v>
      </c>
      <c r="E46" s="384"/>
      <c r="F46" s="384"/>
      <c r="G46" s="422"/>
      <c r="H46" s="18"/>
      <c r="I46" s="17"/>
    </row>
    <row r="47" spans="1:9" ht="140.44999999999999" customHeight="1" x14ac:dyDescent="0.2">
      <c r="A47" s="51" t="s">
        <v>39</v>
      </c>
      <c r="B47" s="436"/>
      <c r="C47" s="438"/>
      <c r="D47" s="436" t="s">
        <v>574</v>
      </c>
      <c r="E47" s="437"/>
      <c r="F47" s="437"/>
      <c r="G47" s="438"/>
      <c r="H47" s="52"/>
      <c r="I47" s="53"/>
    </row>
    <row r="48" spans="1:9" ht="26.45" hidden="1" customHeight="1" x14ac:dyDescent="0.2">
      <c r="A48" s="19" t="s">
        <v>39</v>
      </c>
      <c r="B48" s="423"/>
      <c r="C48" s="424"/>
      <c r="D48" s="423" t="s">
        <v>99</v>
      </c>
      <c r="E48" s="418"/>
      <c r="F48" s="418"/>
      <c r="G48" s="424"/>
      <c r="H48" s="21"/>
      <c r="I48" s="20"/>
    </row>
    <row r="49" spans="1:9" ht="39.6" hidden="1" customHeight="1" x14ac:dyDescent="0.2">
      <c r="A49" s="19" t="s">
        <v>39</v>
      </c>
      <c r="B49" s="421"/>
      <c r="C49" s="422"/>
      <c r="D49" s="421" t="s">
        <v>239</v>
      </c>
      <c r="E49" s="384"/>
      <c r="F49" s="384"/>
      <c r="G49" s="422"/>
      <c r="H49" s="18"/>
      <c r="I49" s="17"/>
    </row>
    <row r="50" spans="1:9" ht="26.45" hidden="1" customHeight="1" x14ac:dyDescent="0.2">
      <c r="A50" s="19" t="s">
        <v>39</v>
      </c>
      <c r="B50" s="421"/>
      <c r="C50" s="422"/>
      <c r="D50" s="421" t="s">
        <v>240</v>
      </c>
      <c r="E50" s="384"/>
      <c r="F50" s="384"/>
      <c r="G50" s="422"/>
      <c r="H50" s="18"/>
      <c r="I50" s="17"/>
    </row>
    <row r="51" spans="1:9" ht="39.6" hidden="1" customHeight="1" x14ac:dyDescent="0.2">
      <c r="A51" s="19" t="s">
        <v>39</v>
      </c>
      <c r="B51" s="421"/>
      <c r="C51" s="422"/>
      <c r="D51" s="421" t="s">
        <v>256</v>
      </c>
      <c r="E51" s="384"/>
      <c r="F51" s="384"/>
      <c r="G51" s="422"/>
      <c r="H51" s="18"/>
      <c r="I51" s="17"/>
    </row>
    <row r="52" spans="1:9" ht="52.9" hidden="1" customHeight="1" x14ac:dyDescent="0.2">
      <c r="A52" s="19" t="s">
        <v>39</v>
      </c>
      <c r="B52" s="421"/>
      <c r="C52" s="422"/>
      <c r="D52" s="421" t="s">
        <v>257</v>
      </c>
      <c r="E52" s="384"/>
      <c r="F52" s="384"/>
      <c r="G52" s="422"/>
      <c r="H52" s="18"/>
      <c r="I52" s="17"/>
    </row>
    <row r="53" spans="1:9" ht="26.45" hidden="1" customHeight="1" x14ac:dyDescent="0.2">
      <c r="A53" s="19" t="s">
        <v>39</v>
      </c>
      <c r="B53" s="421"/>
      <c r="C53" s="422"/>
      <c r="D53" s="421" t="s">
        <v>258</v>
      </c>
      <c r="E53" s="384"/>
      <c r="F53" s="384"/>
      <c r="G53" s="422"/>
      <c r="H53" s="18"/>
      <c r="I53" s="17"/>
    </row>
    <row r="54" spans="1:9" ht="26.45" hidden="1" customHeight="1" x14ac:dyDescent="0.2">
      <c r="A54" s="19" t="s">
        <v>39</v>
      </c>
      <c r="B54" s="421"/>
      <c r="C54" s="422"/>
      <c r="D54" s="421" t="s">
        <v>244</v>
      </c>
      <c r="E54" s="384"/>
      <c r="F54" s="384"/>
      <c r="G54" s="422"/>
      <c r="H54" s="18"/>
      <c r="I54" s="17"/>
    </row>
    <row r="55" spans="1:9" ht="26.45" hidden="1" customHeight="1" x14ac:dyDescent="0.2">
      <c r="A55" s="19" t="s">
        <v>39</v>
      </c>
      <c r="B55" s="421"/>
      <c r="C55" s="422"/>
      <c r="D55" s="421" t="s">
        <v>245</v>
      </c>
      <c r="E55" s="384"/>
      <c r="F55" s="384"/>
      <c r="G55" s="422"/>
      <c r="H55" s="18"/>
      <c r="I55" s="17"/>
    </row>
    <row r="56" spans="1:9" ht="39.6" hidden="1" customHeight="1" x14ac:dyDescent="0.2">
      <c r="A56" s="19" t="s">
        <v>39</v>
      </c>
      <c r="B56" s="421"/>
      <c r="C56" s="422"/>
      <c r="D56" s="421" t="s">
        <v>246</v>
      </c>
      <c r="E56" s="384"/>
      <c r="F56" s="384"/>
      <c r="G56" s="422"/>
      <c r="H56" s="18"/>
      <c r="I56" s="17"/>
    </row>
    <row r="57" spans="1:9" ht="13.15" hidden="1" customHeight="1" x14ac:dyDescent="0.2">
      <c r="A57" s="19" t="s">
        <v>39</v>
      </c>
      <c r="B57" s="421"/>
      <c r="C57" s="422"/>
      <c r="D57" s="421" t="s">
        <v>259</v>
      </c>
      <c r="E57" s="384"/>
      <c r="F57" s="384"/>
      <c r="G57" s="422"/>
      <c r="H57" s="18"/>
      <c r="I57" s="17"/>
    </row>
    <row r="58" spans="1:9" ht="26.45" hidden="1" customHeight="1" x14ac:dyDescent="0.2">
      <c r="A58" s="19" t="s">
        <v>39</v>
      </c>
      <c r="B58" s="421"/>
      <c r="C58" s="422"/>
      <c r="D58" s="421" t="s">
        <v>248</v>
      </c>
      <c r="E58" s="384"/>
      <c r="F58" s="384"/>
      <c r="G58" s="422"/>
      <c r="H58" s="18"/>
      <c r="I58" s="17"/>
    </row>
    <row r="59" spans="1:9" ht="26.45" hidden="1" customHeight="1" x14ac:dyDescent="0.2">
      <c r="A59" s="19" t="s">
        <v>39</v>
      </c>
      <c r="B59" s="421"/>
      <c r="C59" s="422"/>
      <c r="D59" s="421" t="s">
        <v>249</v>
      </c>
      <c r="E59" s="384"/>
      <c r="F59" s="384"/>
      <c r="G59" s="422"/>
      <c r="H59" s="18"/>
      <c r="I59" s="17"/>
    </row>
    <row r="60" spans="1:9" ht="26.45" hidden="1" customHeight="1" x14ac:dyDescent="0.2">
      <c r="A60" s="19" t="s">
        <v>39</v>
      </c>
      <c r="B60" s="421"/>
      <c r="C60" s="422"/>
      <c r="D60" s="421" t="s">
        <v>260</v>
      </c>
      <c r="E60" s="384"/>
      <c r="F60" s="384"/>
      <c r="G60" s="422"/>
      <c r="H60" s="18"/>
      <c r="I60" s="17"/>
    </row>
    <row r="61" spans="1:9" ht="26.45" hidden="1" customHeight="1" x14ac:dyDescent="0.2">
      <c r="A61" s="19" t="s">
        <v>39</v>
      </c>
      <c r="B61" s="421"/>
      <c r="C61" s="422"/>
      <c r="D61" s="421" t="s">
        <v>251</v>
      </c>
      <c r="E61" s="384"/>
      <c r="F61" s="384"/>
      <c r="G61" s="422"/>
      <c r="H61" s="18"/>
      <c r="I61" s="17"/>
    </row>
    <row r="62" spans="1:9" ht="39.6" hidden="1" customHeight="1" x14ac:dyDescent="0.2">
      <c r="A62" s="19" t="s">
        <v>39</v>
      </c>
      <c r="B62" s="421"/>
      <c r="C62" s="422"/>
      <c r="D62" s="421" t="s">
        <v>261</v>
      </c>
      <c r="E62" s="384"/>
      <c r="F62" s="384"/>
      <c r="G62" s="422"/>
      <c r="H62" s="18"/>
      <c r="I62" s="17"/>
    </row>
    <row r="63" spans="1:9" ht="26.45" hidden="1" customHeight="1" x14ac:dyDescent="0.2">
      <c r="A63" s="19" t="s">
        <v>39</v>
      </c>
      <c r="B63" s="421"/>
      <c r="C63" s="422"/>
      <c r="D63" s="421" t="s">
        <v>253</v>
      </c>
      <c r="E63" s="384"/>
      <c r="F63" s="384"/>
      <c r="G63" s="422"/>
      <c r="H63" s="18"/>
      <c r="I63" s="17"/>
    </row>
    <row r="64" spans="1:9" ht="26.45" hidden="1" customHeight="1" x14ac:dyDescent="0.2">
      <c r="A64" s="19" t="s">
        <v>39</v>
      </c>
      <c r="B64" s="421"/>
      <c r="C64" s="422"/>
      <c r="D64" s="421" t="s">
        <v>254</v>
      </c>
      <c r="E64" s="384"/>
      <c r="F64" s="384"/>
      <c r="G64" s="422"/>
      <c r="H64" s="18"/>
      <c r="I64" s="17"/>
    </row>
    <row r="65" spans="1:9" ht="123.75" hidden="1" customHeight="1" x14ac:dyDescent="0.2">
      <c r="A65" s="16" t="s">
        <v>39</v>
      </c>
      <c r="B65" s="427"/>
      <c r="C65" s="428"/>
      <c r="D65" s="427" t="s">
        <v>255</v>
      </c>
      <c r="E65" s="429"/>
      <c r="F65" s="429"/>
      <c r="G65" s="428"/>
      <c r="H65" s="15"/>
      <c r="I65" s="14"/>
    </row>
    <row r="66" spans="1:9" ht="123.75" customHeight="1" x14ac:dyDescent="0.2">
      <c r="A66" s="24" t="s">
        <v>13</v>
      </c>
      <c r="B66" s="413" t="s">
        <v>162</v>
      </c>
      <c r="C66" s="414"/>
      <c r="D66" s="415" t="s">
        <v>161</v>
      </c>
      <c r="E66" s="416"/>
      <c r="F66" s="416"/>
      <c r="G66" s="417"/>
      <c r="H66" s="23" t="s">
        <v>578</v>
      </c>
      <c r="I66" s="22">
        <f>(0  + 5020  * 1) * 6 * 0.6 *  1.1*1.4</f>
        <v>27830.880000000001</v>
      </c>
    </row>
    <row r="67" spans="1:9" ht="26.45" customHeight="1" x14ac:dyDescent="0.2">
      <c r="A67" s="19" t="s">
        <v>39</v>
      </c>
      <c r="B67" s="423"/>
      <c r="C67" s="424"/>
      <c r="D67" s="423" t="s">
        <v>45</v>
      </c>
      <c r="E67" s="418"/>
      <c r="F67" s="418"/>
      <c r="G67" s="424"/>
      <c r="H67" s="21"/>
      <c r="I67" s="20"/>
    </row>
    <row r="68" spans="1:9" ht="29.25" customHeight="1" x14ac:dyDescent="0.2">
      <c r="A68" s="19" t="s">
        <v>39</v>
      </c>
      <c r="B68" s="421"/>
      <c r="C68" s="422"/>
      <c r="D68" s="421" t="s">
        <v>562</v>
      </c>
      <c r="E68" s="384"/>
      <c r="F68" s="384"/>
      <c r="G68" s="422"/>
      <c r="H68" s="18"/>
      <c r="I68" s="17"/>
    </row>
    <row r="69" spans="1:9" ht="79.150000000000006" hidden="1" customHeight="1" x14ac:dyDescent="0.2">
      <c r="A69" s="19" t="s">
        <v>39</v>
      </c>
      <c r="B69" s="421"/>
      <c r="C69" s="422"/>
      <c r="D69" s="421" t="s">
        <v>44</v>
      </c>
      <c r="E69" s="384"/>
      <c r="F69" s="384"/>
      <c r="G69" s="422"/>
      <c r="H69" s="18"/>
      <c r="I69" s="17"/>
    </row>
    <row r="70" spans="1:9" ht="165.6" customHeight="1" x14ac:dyDescent="0.2">
      <c r="A70" s="19" t="s">
        <v>39</v>
      </c>
      <c r="B70" s="421"/>
      <c r="C70" s="422"/>
      <c r="D70" s="421" t="s">
        <v>575</v>
      </c>
      <c r="E70" s="384"/>
      <c r="F70" s="384"/>
      <c r="G70" s="422"/>
      <c r="H70" s="18"/>
      <c r="I70" s="17"/>
    </row>
    <row r="71" spans="1:9" ht="26.45" hidden="1" customHeight="1" x14ac:dyDescent="0.2">
      <c r="A71" s="19" t="s">
        <v>39</v>
      </c>
      <c r="B71" s="423"/>
      <c r="C71" s="424"/>
      <c r="D71" s="423" t="s">
        <v>99</v>
      </c>
      <c r="E71" s="418"/>
      <c r="F71" s="418"/>
      <c r="G71" s="424"/>
      <c r="H71" s="21"/>
      <c r="I71" s="20"/>
    </row>
    <row r="72" spans="1:9" ht="39.6" hidden="1" customHeight="1" x14ac:dyDescent="0.2">
      <c r="A72" s="19" t="s">
        <v>39</v>
      </c>
      <c r="B72" s="421"/>
      <c r="C72" s="422"/>
      <c r="D72" s="421" t="s">
        <v>159</v>
      </c>
      <c r="E72" s="384"/>
      <c r="F72" s="384"/>
      <c r="G72" s="422"/>
      <c r="H72" s="18"/>
      <c r="I72" s="17"/>
    </row>
    <row r="73" spans="1:9" ht="26.45" hidden="1" customHeight="1" x14ac:dyDescent="0.2">
      <c r="A73" s="19" t="s">
        <v>39</v>
      </c>
      <c r="B73" s="421"/>
      <c r="C73" s="422"/>
      <c r="D73" s="421" t="s">
        <v>158</v>
      </c>
      <c r="E73" s="384"/>
      <c r="F73" s="384"/>
      <c r="G73" s="422"/>
      <c r="H73" s="18"/>
      <c r="I73" s="17"/>
    </row>
    <row r="74" spans="1:9" ht="39.6" hidden="1" customHeight="1" x14ac:dyDescent="0.2">
      <c r="A74" s="19" t="s">
        <v>39</v>
      </c>
      <c r="B74" s="421"/>
      <c r="C74" s="422"/>
      <c r="D74" s="421" t="s">
        <v>157</v>
      </c>
      <c r="E74" s="384"/>
      <c r="F74" s="384"/>
      <c r="G74" s="422"/>
      <c r="H74" s="18"/>
      <c r="I74" s="17"/>
    </row>
    <row r="75" spans="1:9" ht="52.9" hidden="1" customHeight="1" x14ac:dyDescent="0.2">
      <c r="A75" s="19" t="s">
        <v>39</v>
      </c>
      <c r="B75" s="421"/>
      <c r="C75" s="422"/>
      <c r="D75" s="421" t="s">
        <v>156</v>
      </c>
      <c r="E75" s="384"/>
      <c r="F75" s="384"/>
      <c r="G75" s="422"/>
      <c r="H75" s="18"/>
      <c r="I75" s="17"/>
    </row>
    <row r="76" spans="1:9" ht="26.45" hidden="1" customHeight="1" x14ac:dyDescent="0.2">
      <c r="A76" s="19" t="s">
        <v>39</v>
      </c>
      <c r="B76" s="421"/>
      <c r="C76" s="422"/>
      <c r="D76" s="421" t="s">
        <v>155</v>
      </c>
      <c r="E76" s="384"/>
      <c r="F76" s="384"/>
      <c r="G76" s="422"/>
      <c r="H76" s="18"/>
      <c r="I76" s="17"/>
    </row>
    <row r="77" spans="1:9" ht="26.45" hidden="1" customHeight="1" x14ac:dyDescent="0.2">
      <c r="A77" s="19" t="s">
        <v>39</v>
      </c>
      <c r="B77" s="421"/>
      <c r="C77" s="422"/>
      <c r="D77" s="421" t="s">
        <v>154</v>
      </c>
      <c r="E77" s="384"/>
      <c r="F77" s="384"/>
      <c r="G77" s="422"/>
      <c r="H77" s="18"/>
      <c r="I77" s="17"/>
    </row>
    <row r="78" spans="1:9" ht="26.45" hidden="1" customHeight="1" x14ac:dyDescent="0.2">
      <c r="A78" s="19" t="s">
        <v>39</v>
      </c>
      <c r="B78" s="421"/>
      <c r="C78" s="422"/>
      <c r="D78" s="421" t="s">
        <v>153</v>
      </c>
      <c r="E78" s="384"/>
      <c r="F78" s="384"/>
      <c r="G78" s="422"/>
      <c r="H78" s="18"/>
      <c r="I78" s="17"/>
    </row>
    <row r="79" spans="1:9" ht="39.6" hidden="1" customHeight="1" x14ac:dyDescent="0.2">
      <c r="A79" s="19" t="s">
        <v>39</v>
      </c>
      <c r="B79" s="421"/>
      <c r="C79" s="422"/>
      <c r="D79" s="421" t="s">
        <v>152</v>
      </c>
      <c r="E79" s="384"/>
      <c r="F79" s="384"/>
      <c r="G79" s="422"/>
      <c r="H79" s="18"/>
      <c r="I79" s="17"/>
    </row>
    <row r="80" spans="1:9" ht="13.15" hidden="1" customHeight="1" x14ac:dyDescent="0.2">
      <c r="A80" s="19" t="s">
        <v>39</v>
      </c>
      <c r="B80" s="421"/>
      <c r="C80" s="422"/>
      <c r="D80" s="421" t="s">
        <v>151</v>
      </c>
      <c r="E80" s="384"/>
      <c r="F80" s="384"/>
      <c r="G80" s="422"/>
      <c r="H80" s="18"/>
      <c r="I80" s="17"/>
    </row>
    <row r="81" spans="1:9" ht="26.45" hidden="1" customHeight="1" x14ac:dyDescent="0.2">
      <c r="A81" s="19" t="s">
        <v>39</v>
      </c>
      <c r="B81" s="421"/>
      <c r="C81" s="422"/>
      <c r="D81" s="421" t="s">
        <v>150</v>
      </c>
      <c r="E81" s="384"/>
      <c r="F81" s="384"/>
      <c r="G81" s="422"/>
      <c r="H81" s="18"/>
      <c r="I81" s="17"/>
    </row>
    <row r="82" spans="1:9" ht="26.45" hidden="1" customHeight="1" x14ac:dyDescent="0.2">
      <c r="A82" s="19" t="s">
        <v>39</v>
      </c>
      <c r="B82" s="421"/>
      <c r="C82" s="422"/>
      <c r="D82" s="421" t="s">
        <v>149</v>
      </c>
      <c r="E82" s="384"/>
      <c r="F82" s="384"/>
      <c r="G82" s="422"/>
      <c r="H82" s="18"/>
      <c r="I82" s="17"/>
    </row>
    <row r="83" spans="1:9" ht="26.45" hidden="1" customHeight="1" x14ac:dyDescent="0.2">
      <c r="A83" s="19" t="s">
        <v>39</v>
      </c>
      <c r="B83" s="421"/>
      <c r="C83" s="422"/>
      <c r="D83" s="421" t="s">
        <v>148</v>
      </c>
      <c r="E83" s="384"/>
      <c r="F83" s="384"/>
      <c r="G83" s="422"/>
      <c r="H83" s="18"/>
      <c r="I83" s="17"/>
    </row>
    <row r="84" spans="1:9" ht="26.45" hidden="1" customHeight="1" x14ac:dyDescent="0.2">
      <c r="A84" s="19" t="s">
        <v>39</v>
      </c>
      <c r="B84" s="421"/>
      <c r="C84" s="422"/>
      <c r="D84" s="421" t="s">
        <v>147</v>
      </c>
      <c r="E84" s="384"/>
      <c r="F84" s="384"/>
      <c r="G84" s="422"/>
      <c r="H84" s="18"/>
      <c r="I84" s="17"/>
    </row>
    <row r="85" spans="1:9" ht="39.6" hidden="1" customHeight="1" x14ac:dyDescent="0.2">
      <c r="A85" s="19" t="s">
        <v>39</v>
      </c>
      <c r="B85" s="421"/>
      <c r="C85" s="422"/>
      <c r="D85" s="421" t="s">
        <v>146</v>
      </c>
      <c r="E85" s="384"/>
      <c r="F85" s="384"/>
      <c r="G85" s="422"/>
      <c r="H85" s="18"/>
      <c r="I85" s="17"/>
    </row>
    <row r="86" spans="1:9" ht="26.45" hidden="1" customHeight="1" x14ac:dyDescent="0.2">
      <c r="A86" s="19" t="s">
        <v>39</v>
      </c>
      <c r="B86" s="421"/>
      <c r="C86" s="422"/>
      <c r="D86" s="421" t="s">
        <v>145</v>
      </c>
      <c r="E86" s="384"/>
      <c r="F86" s="384"/>
      <c r="G86" s="422"/>
      <c r="H86" s="18"/>
      <c r="I86" s="17"/>
    </row>
    <row r="87" spans="1:9" ht="26.45" hidden="1" customHeight="1" x14ac:dyDescent="0.2">
      <c r="A87" s="19" t="s">
        <v>39</v>
      </c>
      <c r="B87" s="421"/>
      <c r="C87" s="422"/>
      <c r="D87" s="421" t="s">
        <v>144</v>
      </c>
      <c r="E87" s="384"/>
      <c r="F87" s="384"/>
      <c r="G87" s="422"/>
      <c r="H87" s="18"/>
      <c r="I87" s="17"/>
    </row>
    <row r="88" spans="1:9" ht="13.15" hidden="1" customHeight="1" x14ac:dyDescent="0.2">
      <c r="A88" s="16" t="s">
        <v>39</v>
      </c>
      <c r="B88" s="427"/>
      <c r="C88" s="428"/>
      <c r="D88" s="427" t="s">
        <v>143</v>
      </c>
      <c r="E88" s="429"/>
      <c r="F88" s="429"/>
      <c r="G88" s="428"/>
      <c r="H88" s="15"/>
      <c r="I88" s="14"/>
    </row>
    <row r="89" spans="1:9" ht="39.6" customHeight="1" x14ac:dyDescent="0.2">
      <c r="A89" s="11" t="s">
        <v>15</v>
      </c>
      <c r="B89" s="395" t="s">
        <v>43</v>
      </c>
      <c r="C89" s="396"/>
      <c r="D89" s="395"/>
      <c r="E89" s="397"/>
      <c r="F89" s="397"/>
      <c r="G89" s="396"/>
      <c r="H89" s="10"/>
      <c r="I89" s="9">
        <f>I18+I42+I66</f>
        <v>101716.21152000001</v>
      </c>
    </row>
    <row r="90" spans="1:9" ht="71.25" customHeight="1" x14ac:dyDescent="0.2">
      <c r="A90" s="11" t="s">
        <v>17</v>
      </c>
      <c r="B90" s="392" t="s">
        <v>1259</v>
      </c>
      <c r="C90" s="393"/>
      <c r="D90" s="392" t="s">
        <v>1431</v>
      </c>
      <c r="E90" s="394"/>
      <c r="F90" s="394"/>
      <c r="G90" s="393"/>
      <c r="H90" s="13" t="s">
        <v>1432</v>
      </c>
      <c r="I90" s="12">
        <f>I89*1.1798</f>
        <v>120004.786351296</v>
      </c>
    </row>
    <row r="91" spans="1:9" ht="72" customHeight="1" x14ac:dyDescent="0.2">
      <c r="A91" s="11" t="s">
        <v>19</v>
      </c>
      <c r="B91" s="392" t="s">
        <v>1075</v>
      </c>
      <c r="C91" s="393"/>
      <c r="D91" s="392" t="s">
        <v>1064</v>
      </c>
      <c r="E91" s="394"/>
      <c r="F91" s="394"/>
      <c r="G91" s="393"/>
      <c r="H91" s="13" t="s">
        <v>1260</v>
      </c>
      <c r="I91" s="12">
        <f>I90*5.94</f>
        <v>712828.43092669826</v>
      </c>
    </row>
    <row r="92" spans="1:9" ht="12.75" customHeight="1" x14ac:dyDescent="0.2">
      <c r="A92" s="11" t="s">
        <v>20</v>
      </c>
      <c r="B92" s="395" t="s">
        <v>42</v>
      </c>
      <c r="C92" s="396"/>
      <c r="D92" s="395"/>
      <c r="E92" s="397"/>
      <c r="F92" s="397"/>
      <c r="G92" s="396"/>
      <c r="H92" s="10"/>
      <c r="I92" s="9">
        <f>I91</f>
        <v>712828.43092669826</v>
      </c>
    </row>
    <row r="93" spans="1:9" ht="12.75" customHeight="1" x14ac:dyDescent="0.2"/>
    <row r="94" spans="1:9" x14ac:dyDescent="0.2">
      <c r="D94" s="7"/>
    </row>
    <row r="95" spans="1:9" ht="12.75" customHeight="1" x14ac:dyDescent="0.2">
      <c r="A95" s="391" t="s">
        <v>0</v>
      </c>
      <c r="B95" s="391"/>
      <c r="C95" s="391"/>
      <c r="D95" s="391"/>
      <c r="E95" s="391"/>
      <c r="F95" s="391"/>
      <c r="G95" s="391"/>
      <c r="H95" s="391"/>
      <c r="I95" s="391"/>
    </row>
    <row r="96" spans="1:9" x14ac:dyDescent="0.2">
      <c r="A96" s="391"/>
      <c r="B96" s="391"/>
      <c r="C96" s="391"/>
      <c r="D96" s="391"/>
      <c r="E96" s="391"/>
      <c r="F96" s="391"/>
      <c r="G96" s="391"/>
      <c r="H96" s="391"/>
      <c r="I96" s="391"/>
    </row>
    <row r="97" spans="1:9" ht="12.75" customHeight="1" x14ac:dyDescent="0.2">
      <c r="D97" s="389" t="s">
        <v>2</v>
      </c>
      <c r="E97" s="390"/>
      <c r="F97" s="390"/>
      <c r="G97" s="390"/>
      <c r="H97" s="390"/>
      <c r="I97" s="390"/>
    </row>
    <row r="99" spans="1:9" ht="12.75" customHeight="1" x14ac:dyDescent="0.2">
      <c r="A99" s="391" t="s">
        <v>1</v>
      </c>
      <c r="B99" s="391"/>
      <c r="C99" s="391"/>
      <c r="D99" s="391"/>
      <c r="E99" s="391"/>
      <c r="F99" s="391"/>
      <c r="G99" s="391"/>
      <c r="H99" s="391"/>
      <c r="I99" s="391"/>
    </row>
    <row r="100" spans="1:9" x14ac:dyDescent="0.2">
      <c r="A100" s="391"/>
      <c r="B100" s="391"/>
      <c r="C100" s="391"/>
      <c r="D100" s="391"/>
      <c r="E100" s="391"/>
      <c r="F100" s="391"/>
      <c r="G100" s="391"/>
      <c r="H100" s="391"/>
      <c r="I100" s="391"/>
    </row>
    <row r="101" spans="1:9" ht="12.75" customHeight="1" x14ac:dyDescent="0.2">
      <c r="D101" s="389" t="s">
        <v>2</v>
      </c>
      <c r="E101" s="390"/>
      <c r="F101" s="390"/>
      <c r="G101" s="390"/>
      <c r="H101" s="390"/>
      <c r="I101" s="390"/>
    </row>
    <row r="103" spans="1:9" x14ac:dyDescent="0.2">
      <c r="A103" s="391" t="s">
        <v>5</v>
      </c>
      <c r="B103" s="391"/>
      <c r="C103" s="391"/>
      <c r="D103" s="391"/>
      <c r="E103" s="391"/>
      <c r="F103" s="391"/>
      <c r="G103" s="6" t="s">
        <v>7</v>
      </c>
      <c r="H103" s="391"/>
      <c r="I103" s="391"/>
    </row>
    <row r="104" spans="1:9" ht="12.75" customHeight="1" x14ac:dyDescent="0.2">
      <c r="D104" s="389" t="s">
        <v>40</v>
      </c>
      <c r="E104" s="390"/>
      <c r="F104" s="390"/>
      <c r="H104" s="389" t="s">
        <v>2</v>
      </c>
      <c r="I104" s="390"/>
    </row>
    <row r="106" spans="1:9" x14ac:dyDescent="0.2">
      <c r="A106" s="391" t="s">
        <v>3</v>
      </c>
      <c r="B106" s="391"/>
      <c r="C106" s="391"/>
      <c r="D106" s="391"/>
      <c r="E106" s="391"/>
      <c r="F106" s="391"/>
      <c r="G106" s="391"/>
      <c r="H106" s="391"/>
      <c r="I106" s="391"/>
    </row>
    <row r="107" spans="1:9" ht="12.75" customHeight="1" x14ac:dyDescent="0.2">
      <c r="D107" s="389" t="s">
        <v>6</v>
      </c>
      <c r="E107" s="390"/>
      <c r="F107" s="390"/>
      <c r="G107" s="390"/>
      <c r="H107" s="390"/>
      <c r="I107" s="390"/>
    </row>
  </sheetData>
  <mergeCells count="180">
    <mergeCell ref="A106:C106"/>
    <mergeCell ref="D106:I106"/>
    <mergeCell ref="D107:I107"/>
    <mergeCell ref="D101:I101"/>
    <mergeCell ref="A103:C103"/>
    <mergeCell ref="D103:F103"/>
    <mergeCell ref="H103:I103"/>
    <mergeCell ref="D104:F104"/>
    <mergeCell ref="H104:I104"/>
    <mergeCell ref="B92:C92"/>
    <mergeCell ref="D92:G92"/>
    <mergeCell ref="A95:C96"/>
    <mergeCell ref="D95:I96"/>
    <mergeCell ref="D97:I97"/>
    <mergeCell ref="A99:C100"/>
    <mergeCell ref="D99:I100"/>
    <mergeCell ref="B88:C88"/>
    <mergeCell ref="D88:G88"/>
    <mergeCell ref="B89:C89"/>
    <mergeCell ref="D89:G89"/>
    <mergeCell ref="B91:C91"/>
    <mergeCell ref="D91:G91"/>
    <mergeCell ref="B90:C90"/>
    <mergeCell ref="D90:G90"/>
    <mergeCell ref="B85:C85"/>
    <mergeCell ref="D85:G85"/>
    <mergeCell ref="B86:C86"/>
    <mergeCell ref="D86:G86"/>
    <mergeCell ref="B87:C87"/>
    <mergeCell ref="D87:G87"/>
    <mergeCell ref="B82:C82"/>
    <mergeCell ref="D82:G82"/>
    <mergeCell ref="B83:C83"/>
    <mergeCell ref="D83:G83"/>
    <mergeCell ref="B84:C84"/>
    <mergeCell ref="D84:G84"/>
    <mergeCell ref="B79:C79"/>
    <mergeCell ref="D79:G79"/>
    <mergeCell ref="B80:C80"/>
    <mergeCell ref="D80:G80"/>
    <mergeCell ref="B81:C81"/>
    <mergeCell ref="D81:G81"/>
    <mergeCell ref="B76:C76"/>
    <mergeCell ref="D76:G76"/>
    <mergeCell ref="B77:C77"/>
    <mergeCell ref="D77:G77"/>
    <mergeCell ref="B78:C78"/>
    <mergeCell ref="D78:G78"/>
    <mergeCell ref="B73:C73"/>
    <mergeCell ref="D73:G73"/>
    <mergeCell ref="B74:C74"/>
    <mergeCell ref="D74:G74"/>
    <mergeCell ref="B75:C75"/>
    <mergeCell ref="D75:G75"/>
    <mergeCell ref="B70:C70"/>
    <mergeCell ref="D70:G70"/>
    <mergeCell ref="B71:C71"/>
    <mergeCell ref="D71:G71"/>
    <mergeCell ref="B72:C72"/>
    <mergeCell ref="D72:G72"/>
    <mergeCell ref="B67:C67"/>
    <mergeCell ref="D67:G67"/>
    <mergeCell ref="B68:C68"/>
    <mergeCell ref="D68:G68"/>
    <mergeCell ref="B69:C69"/>
    <mergeCell ref="D69:G69"/>
    <mergeCell ref="B64:C64"/>
    <mergeCell ref="D64:G64"/>
    <mergeCell ref="B65:C65"/>
    <mergeCell ref="D65:G65"/>
    <mergeCell ref="B66:C66"/>
    <mergeCell ref="D66:G66"/>
    <mergeCell ref="B61:C61"/>
    <mergeCell ref="D61:G61"/>
    <mergeCell ref="B62:C62"/>
    <mergeCell ref="D62:G62"/>
    <mergeCell ref="B63:C63"/>
    <mergeCell ref="D63:G63"/>
    <mergeCell ref="B58:C58"/>
    <mergeCell ref="D58:G58"/>
    <mergeCell ref="B59:C59"/>
    <mergeCell ref="D59:G59"/>
    <mergeCell ref="B60:C60"/>
    <mergeCell ref="D60:G60"/>
    <mergeCell ref="B55:C55"/>
    <mergeCell ref="D55:G55"/>
    <mergeCell ref="B56:C56"/>
    <mergeCell ref="D56:G56"/>
    <mergeCell ref="B57:C57"/>
    <mergeCell ref="D57:G57"/>
    <mergeCell ref="B52:C52"/>
    <mergeCell ref="D52:G52"/>
    <mergeCell ref="B53:C53"/>
    <mergeCell ref="D53:G53"/>
    <mergeCell ref="B54:C54"/>
    <mergeCell ref="D54:G54"/>
    <mergeCell ref="B49:C49"/>
    <mergeCell ref="D49:G49"/>
    <mergeCell ref="B50:C50"/>
    <mergeCell ref="D50:G50"/>
    <mergeCell ref="B51:C51"/>
    <mergeCell ref="D51:G51"/>
    <mergeCell ref="B46:C46"/>
    <mergeCell ref="D46:G46"/>
    <mergeCell ref="B47:C47"/>
    <mergeCell ref="D47:G47"/>
    <mergeCell ref="B48:C48"/>
    <mergeCell ref="D48:G48"/>
    <mergeCell ref="B43:C43"/>
    <mergeCell ref="D43:G43"/>
    <mergeCell ref="B44:C44"/>
    <mergeCell ref="D44:G44"/>
    <mergeCell ref="B45:C45"/>
    <mergeCell ref="D45:G45"/>
    <mergeCell ref="B40:C40"/>
    <mergeCell ref="D40:G40"/>
    <mergeCell ref="B41:C41"/>
    <mergeCell ref="D41:G41"/>
    <mergeCell ref="B42:C42"/>
    <mergeCell ref="D42:G42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B26:C26"/>
    <mergeCell ref="D26:G26"/>
    <mergeCell ref="B27:C27"/>
    <mergeCell ref="D27:G27"/>
    <mergeCell ref="B22:C22"/>
    <mergeCell ref="D22:G22"/>
    <mergeCell ref="B23:C23"/>
    <mergeCell ref="D23:G23"/>
    <mergeCell ref="B24:C24"/>
    <mergeCell ref="D24:G24"/>
    <mergeCell ref="B19:C19"/>
    <mergeCell ref="D19:G19"/>
    <mergeCell ref="B20:C20"/>
    <mergeCell ref="D20:G20"/>
    <mergeCell ref="B21:C21"/>
    <mergeCell ref="D21:G21"/>
    <mergeCell ref="B16:C16"/>
    <mergeCell ref="D16:G16"/>
    <mergeCell ref="B17:C17"/>
    <mergeCell ref="D17:G17"/>
    <mergeCell ref="B18:C18"/>
    <mergeCell ref="D18:G18"/>
    <mergeCell ref="A8:I8"/>
    <mergeCell ref="A10:C10"/>
    <mergeCell ref="D10:I10"/>
    <mergeCell ref="A12:C12"/>
    <mergeCell ref="D12:I12"/>
    <mergeCell ref="A14:I14"/>
    <mergeCell ref="A1:C1"/>
    <mergeCell ref="D1:I1"/>
    <mergeCell ref="A3:I3"/>
    <mergeCell ref="A4:I4"/>
    <mergeCell ref="A6:B6"/>
    <mergeCell ref="C6:G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9"/>
  <dimension ref="A1:J48"/>
  <sheetViews>
    <sheetView view="pageBreakPreview" topLeftCell="A25" zoomScale="60" zoomScaleNormal="100" workbookViewId="0">
      <selection activeCell="U43" sqref="U43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1282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31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1086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97.35" customHeight="1" x14ac:dyDescent="0.2">
      <c r="A18" s="24" t="s">
        <v>10</v>
      </c>
      <c r="B18" s="413" t="s">
        <v>59</v>
      </c>
      <c r="C18" s="414"/>
      <c r="D18" s="415" t="s">
        <v>413</v>
      </c>
      <c r="E18" s="416"/>
      <c r="F18" s="416"/>
      <c r="G18" s="417"/>
      <c r="H18" s="23" t="s">
        <v>1113</v>
      </c>
      <c r="I18" s="22">
        <f>(53100+186*2800)*1*0.6*1.4*1.4</f>
        <v>674906.39999999991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562</v>
      </c>
      <c r="E20" s="384"/>
      <c r="F20" s="384"/>
      <c r="G20" s="422"/>
      <c r="H20" s="18"/>
      <c r="I20" s="17"/>
    </row>
    <row r="21" spans="1:9" ht="184.9" hidden="1" customHeight="1" x14ac:dyDescent="0.2">
      <c r="A21" s="19" t="s">
        <v>39</v>
      </c>
      <c r="B21" s="421"/>
      <c r="C21" s="422"/>
      <c r="D21" s="421" t="s">
        <v>57</v>
      </c>
      <c r="E21" s="384"/>
      <c r="F21" s="384"/>
      <c r="G21" s="422"/>
      <c r="H21" s="18"/>
      <c r="I21" s="17"/>
    </row>
    <row r="22" spans="1:9" ht="105" customHeight="1" x14ac:dyDescent="0.2">
      <c r="A22" s="19"/>
      <c r="B22" s="425"/>
      <c r="C22" s="426"/>
      <c r="D22" s="421" t="s">
        <v>565</v>
      </c>
      <c r="E22" s="384"/>
      <c r="F22" s="384"/>
      <c r="G22" s="422"/>
      <c r="H22" s="18"/>
      <c r="I22" s="17"/>
    </row>
    <row r="23" spans="1:9" ht="73.5" customHeight="1" x14ac:dyDescent="0.2">
      <c r="A23" s="19" t="s">
        <v>39</v>
      </c>
      <c r="B23" s="421"/>
      <c r="C23" s="422"/>
      <c r="D23" s="421" t="s">
        <v>1089</v>
      </c>
      <c r="E23" s="384"/>
      <c r="F23" s="384"/>
      <c r="G23" s="422"/>
      <c r="H23" s="18"/>
      <c r="I23" s="17"/>
    </row>
    <row r="24" spans="1:9" ht="97.35" customHeight="1" x14ac:dyDescent="0.2">
      <c r="A24" s="24" t="s">
        <v>11</v>
      </c>
      <c r="B24" s="413" t="s">
        <v>100</v>
      </c>
      <c r="C24" s="414"/>
      <c r="D24" s="415" t="s">
        <v>262</v>
      </c>
      <c r="E24" s="416"/>
      <c r="F24" s="416"/>
      <c r="G24" s="417"/>
      <c r="H24" s="23" t="s">
        <v>1114</v>
      </c>
      <c r="I24" s="22">
        <f>(21200 + 30176 * 3.429) * 1 * 0.6 * 1.4</f>
        <v>104725.74335999999</v>
      </c>
    </row>
    <row r="25" spans="1:9" ht="16.149999999999999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26.45" customHeight="1" x14ac:dyDescent="0.2">
      <c r="A26" s="19" t="s">
        <v>39</v>
      </c>
      <c r="B26" s="421"/>
      <c r="C26" s="422"/>
      <c r="D26" s="421" t="s">
        <v>562</v>
      </c>
      <c r="E26" s="384"/>
      <c r="F26" s="384"/>
      <c r="G26" s="422"/>
      <c r="H26" s="18"/>
      <c r="I26" s="17"/>
    </row>
    <row r="27" spans="1:9" ht="184.9" hidden="1" customHeight="1" x14ac:dyDescent="0.2">
      <c r="A27" s="19" t="s">
        <v>39</v>
      </c>
      <c r="B27" s="421"/>
      <c r="C27" s="422"/>
      <c r="D27" s="421" t="s">
        <v>57</v>
      </c>
      <c r="E27" s="384"/>
      <c r="F27" s="384"/>
      <c r="G27" s="422"/>
      <c r="H27" s="18"/>
      <c r="I27" s="17"/>
    </row>
    <row r="28" spans="1:9" ht="76.5" customHeight="1" x14ac:dyDescent="0.2">
      <c r="A28" s="19" t="s">
        <v>39</v>
      </c>
      <c r="B28" s="421"/>
      <c r="C28" s="422"/>
      <c r="D28" s="421" t="s">
        <v>1089</v>
      </c>
      <c r="E28" s="384"/>
      <c r="F28" s="384"/>
      <c r="G28" s="422"/>
      <c r="H28" s="18"/>
      <c r="I28" s="17"/>
    </row>
    <row r="29" spans="1:9" ht="13.15" customHeight="1" x14ac:dyDescent="0.2">
      <c r="A29" s="11" t="s">
        <v>13</v>
      </c>
      <c r="B29" s="395" t="s">
        <v>43</v>
      </c>
      <c r="C29" s="396"/>
      <c r="D29" s="395"/>
      <c r="E29" s="397"/>
      <c r="F29" s="397"/>
      <c r="G29" s="396"/>
      <c r="H29" s="10"/>
      <c r="I29" s="9">
        <f>I18+I24</f>
        <v>779632.14335999987</v>
      </c>
    </row>
    <row r="30" spans="1:9" ht="39.6" customHeight="1" x14ac:dyDescent="0.2">
      <c r="A30" s="11" t="s">
        <v>15</v>
      </c>
      <c r="B30" s="392" t="s">
        <v>1076</v>
      </c>
      <c r="C30" s="393"/>
      <c r="D30" s="392" t="s">
        <v>1064</v>
      </c>
      <c r="E30" s="394"/>
      <c r="F30" s="394"/>
      <c r="G30" s="393"/>
      <c r="H30" s="13" t="s">
        <v>1077</v>
      </c>
      <c r="I30" s="12">
        <f>I29*1.4</f>
        <v>1091485.0007039998</v>
      </c>
    </row>
    <row r="31" spans="1:9" ht="13.15" customHeight="1" x14ac:dyDescent="0.2">
      <c r="A31" s="11" t="s">
        <v>17</v>
      </c>
      <c r="B31" s="395" t="s">
        <v>42</v>
      </c>
      <c r="C31" s="396"/>
      <c r="D31" s="395"/>
      <c r="E31" s="397"/>
      <c r="F31" s="397"/>
      <c r="G31" s="396"/>
      <c r="H31" s="10" t="s">
        <v>56</v>
      </c>
      <c r="I31" s="9">
        <f>I30</f>
        <v>1091485.0007039998</v>
      </c>
    </row>
    <row r="32" spans="1:9" ht="12.75" customHeight="1" x14ac:dyDescent="0.2"/>
    <row r="33" spans="1:9" s="8" customFormat="1" ht="25.15" hidden="1" customHeight="1" x14ac:dyDescent="0.2">
      <c r="A33" s="384" t="s">
        <v>41</v>
      </c>
      <c r="B33" s="384"/>
      <c r="C33" s="384"/>
      <c r="D33" s="384" t="s">
        <v>232</v>
      </c>
      <c r="E33" s="384"/>
      <c r="F33" s="384"/>
      <c r="G33" s="384"/>
      <c r="H33" s="384"/>
      <c r="I33" s="384"/>
    </row>
    <row r="34" spans="1:9" ht="12.75" customHeight="1" x14ac:dyDescent="0.2">
      <c r="D34" s="7"/>
    </row>
    <row r="35" spans="1:9" x14ac:dyDescent="0.2">
      <c r="A35" s="391" t="s">
        <v>0</v>
      </c>
      <c r="B35" s="391"/>
      <c r="C35" s="391"/>
      <c r="D35" s="391"/>
      <c r="E35" s="391"/>
      <c r="F35" s="391"/>
      <c r="G35" s="391"/>
      <c r="H35" s="391"/>
      <c r="I35" s="391"/>
    </row>
    <row r="36" spans="1:9" ht="12.75" customHeight="1" x14ac:dyDescent="0.2">
      <c r="A36" s="391"/>
      <c r="B36" s="391"/>
      <c r="C36" s="391"/>
      <c r="D36" s="391"/>
      <c r="E36" s="391"/>
      <c r="F36" s="391"/>
      <c r="G36" s="391"/>
      <c r="H36" s="391"/>
      <c r="I36" s="391"/>
    </row>
    <row r="37" spans="1:9" x14ac:dyDescent="0.2">
      <c r="D37" s="389" t="s">
        <v>2</v>
      </c>
      <c r="E37" s="390"/>
      <c r="F37" s="390"/>
      <c r="G37" s="390"/>
      <c r="H37" s="390"/>
      <c r="I37" s="390"/>
    </row>
    <row r="38" spans="1:9" ht="12.75" customHeight="1" x14ac:dyDescent="0.2"/>
    <row r="39" spans="1:9" x14ac:dyDescent="0.2">
      <c r="A39" s="391" t="s">
        <v>1</v>
      </c>
      <c r="B39" s="391"/>
      <c r="C39" s="391"/>
      <c r="D39" s="391"/>
      <c r="E39" s="391"/>
      <c r="F39" s="391"/>
      <c r="G39" s="391"/>
      <c r="H39" s="391"/>
      <c r="I39" s="391"/>
    </row>
    <row r="40" spans="1:9" ht="12.75" customHeight="1" x14ac:dyDescent="0.2">
      <c r="A40" s="391"/>
      <c r="B40" s="391"/>
      <c r="C40" s="391"/>
      <c r="D40" s="391"/>
      <c r="E40" s="391"/>
      <c r="F40" s="391"/>
      <c r="G40" s="391"/>
      <c r="H40" s="391"/>
      <c r="I40" s="391"/>
    </row>
    <row r="41" spans="1:9" x14ac:dyDescent="0.2">
      <c r="D41" s="389" t="s">
        <v>2</v>
      </c>
      <c r="E41" s="390"/>
      <c r="F41" s="390"/>
      <c r="G41" s="390"/>
      <c r="H41" s="390"/>
      <c r="I41" s="390"/>
    </row>
    <row r="42" spans="1:9" ht="12.75" customHeight="1" x14ac:dyDescent="0.2"/>
    <row r="43" spans="1:9" x14ac:dyDescent="0.2">
      <c r="A43" s="391" t="s">
        <v>5</v>
      </c>
      <c r="B43" s="391"/>
      <c r="C43" s="391"/>
      <c r="D43" s="391"/>
      <c r="E43" s="391"/>
      <c r="F43" s="391"/>
      <c r="G43" s="6" t="s">
        <v>7</v>
      </c>
      <c r="H43" s="391"/>
      <c r="I43" s="391"/>
    </row>
    <row r="44" spans="1:9" x14ac:dyDescent="0.2">
      <c r="D44" s="389" t="s">
        <v>40</v>
      </c>
      <c r="E44" s="390"/>
      <c r="F44" s="390"/>
      <c r="H44" s="389" t="s">
        <v>2</v>
      </c>
      <c r="I44" s="390"/>
    </row>
    <row r="45" spans="1:9" ht="12.75" customHeight="1" x14ac:dyDescent="0.2"/>
    <row r="46" spans="1:9" x14ac:dyDescent="0.2">
      <c r="A46" s="391" t="s">
        <v>3</v>
      </c>
      <c r="B46" s="391"/>
      <c r="C46" s="391"/>
      <c r="D46" s="391"/>
      <c r="E46" s="391"/>
      <c r="F46" s="391"/>
      <c r="G46" s="391"/>
      <c r="H46" s="391"/>
      <c r="I46" s="391"/>
    </row>
    <row r="47" spans="1:9" x14ac:dyDescent="0.2">
      <c r="D47" s="389" t="s">
        <v>6</v>
      </c>
      <c r="E47" s="390"/>
      <c r="F47" s="390"/>
      <c r="G47" s="390"/>
      <c r="H47" s="390"/>
      <c r="I47" s="390"/>
    </row>
    <row r="48" spans="1:9" ht="12.75" customHeight="1" x14ac:dyDescent="0.2"/>
  </sheetData>
  <mergeCells count="60">
    <mergeCell ref="D44:F44"/>
    <mergeCell ref="H44:I44"/>
    <mergeCell ref="A46:C46"/>
    <mergeCell ref="D46:I46"/>
    <mergeCell ref="D47:I47"/>
    <mergeCell ref="A39:C40"/>
    <mergeCell ref="D39:I40"/>
    <mergeCell ref="D41:I41"/>
    <mergeCell ref="A43:C43"/>
    <mergeCell ref="D43:F43"/>
    <mergeCell ref="H43:I43"/>
    <mergeCell ref="A33:C33"/>
    <mergeCell ref="D33:I33"/>
    <mergeCell ref="A35:C36"/>
    <mergeCell ref="D35:I36"/>
    <mergeCell ref="D37:I37"/>
    <mergeCell ref="B29:C29"/>
    <mergeCell ref="D29:G29"/>
    <mergeCell ref="B30:C30"/>
    <mergeCell ref="D30:G30"/>
    <mergeCell ref="B31:C31"/>
    <mergeCell ref="D31:G31"/>
    <mergeCell ref="B28:C28"/>
    <mergeCell ref="D28:G28"/>
    <mergeCell ref="B25:C25"/>
    <mergeCell ref="D25:G25"/>
    <mergeCell ref="B26:C26"/>
    <mergeCell ref="D26:G26"/>
    <mergeCell ref="B27:C27"/>
    <mergeCell ref="D27:G27"/>
    <mergeCell ref="B24:C24"/>
    <mergeCell ref="D24:G24"/>
    <mergeCell ref="B20:C20"/>
    <mergeCell ref="D20:G20"/>
    <mergeCell ref="B21:C21"/>
    <mergeCell ref="D21:G21"/>
    <mergeCell ref="B23:C23"/>
    <mergeCell ref="D23:G23"/>
    <mergeCell ref="B22:C22"/>
    <mergeCell ref="D22:G22"/>
    <mergeCell ref="B17:C17"/>
    <mergeCell ref="D17:G17"/>
    <mergeCell ref="B18:C18"/>
    <mergeCell ref="D18:G18"/>
    <mergeCell ref="B19:C19"/>
    <mergeCell ref="D19:G19"/>
    <mergeCell ref="B16:C16"/>
    <mergeCell ref="D16:G16"/>
    <mergeCell ref="A14:I14"/>
    <mergeCell ref="A1:C1"/>
    <mergeCell ref="D1:I1"/>
    <mergeCell ref="A3:I3"/>
    <mergeCell ref="A4:I4"/>
    <mergeCell ref="A6:B6"/>
    <mergeCell ref="C6:G6"/>
    <mergeCell ref="A8:I8"/>
    <mergeCell ref="A10:C10"/>
    <mergeCell ref="D10:I10"/>
    <mergeCell ref="A12:C12"/>
    <mergeCell ref="D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33"/>
  <dimension ref="A1:M88"/>
  <sheetViews>
    <sheetView view="pageBreakPreview" topLeftCell="A13" zoomScale="60" zoomScaleNormal="100" workbookViewId="0">
      <selection activeCell="M18" sqref="M18:N18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69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33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3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3" ht="110.65" customHeight="1" x14ac:dyDescent="0.2">
      <c r="A18" s="24" t="s">
        <v>10</v>
      </c>
      <c r="B18" s="413" t="s">
        <v>141</v>
      </c>
      <c r="C18" s="414"/>
      <c r="D18" s="415" t="s">
        <v>140</v>
      </c>
      <c r="E18" s="416"/>
      <c r="F18" s="416"/>
      <c r="G18" s="417"/>
      <c r="H18" s="23" t="s">
        <v>1329</v>
      </c>
      <c r="I18" s="22">
        <f>5320  * 21 * 0.8 * 5.94*  1.5 *  1.1*1.4</f>
        <v>1226363.8464000002</v>
      </c>
    </row>
    <row r="19" spans="1:13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3" ht="26.45" customHeight="1" x14ac:dyDescent="0.2">
      <c r="A20" s="19" t="s">
        <v>39</v>
      </c>
      <c r="B20" s="421"/>
      <c r="C20" s="422"/>
      <c r="D20" s="421" t="s">
        <v>1292</v>
      </c>
      <c r="E20" s="384"/>
      <c r="F20" s="384"/>
      <c r="G20" s="422"/>
      <c r="H20" s="18"/>
      <c r="I20" s="17"/>
    </row>
    <row r="21" spans="1:13" ht="52.9" customHeight="1" x14ac:dyDescent="0.2">
      <c r="A21" s="19" t="s">
        <v>39</v>
      </c>
      <c r="B21" s="421"/>
      <c r="C21" s="422"/>
      <c r="D21" s="421" t="s">
        <v>1085</v>
      </c>
      <c r="E21" s="384"/>
      <c r="F21" s="384"/>
      <c r="G21" s="422"/>
      <c r="H21" s="18"/>
      <c r="I21" s="17"/>
    </row>
    <row r="22" spans="1:13" ht="184.9" hidden="1" customHeight="1" x14ac:dyDescent="0.2">
      <c r="A22" s="19" t="s">
        <v>39</v>
      </c>
      <c r="B22" s="421"/>
      <c r="C22" s="422"/>
      <c r="D22" s="421" t="s">
        <v>66</v>
      </c>
      <c r="E22" s="384"/>
      <c r="F22" s="384"/>
      <c r="G22" s="422"/>
      <c r="H22" s="18"/>
      <c r="I22" s="17"/>
    </row>
    <row r="23" spans="1:13" ht="92.25" customHeight="1" x14ac:dyDescent="0.2">
      <c r="A23" s="19"/>
      <c r="B23" s="425"/>
      <c r="C23" s="426"/>
      <c r="D23" s="421" t="s">
        <v>567</v>
      </c>
      <c r="E23" s="384"/>
      <c r="F23" s="384"/>
      <c r="G23" s="422"/>
      <c r="H23" s="18"/>
      <c r="I23" s="17"/>
    </row>
    <row r="24" spans="1:13" ht="168.6" customHeight="1" x14ac:dyDescent="0.2">
      <c r="A24" s="19"/>
      <c r="B24" s="79"/>
      <c r="C24" s="80"/>
      <c r="D24" s="421" t="s">
        <v>1293</v>
      </c>
      <c r="E24" s="384"/>
      <c r="F24" s="384"/>
      <c r="G24" s="422"/>
      <c r="H24" s="18"/>
      <c r="I24" s="17"/>
      <c r="J24" s="81"/>
      <c r="K24" s="81"/>
      <c r="L24" s="81"/>
      <c r="M24" s="81"/>
    </row>
    <row r="25" spans="1:13" ht="69" customHeight="1" x14ac:dyDescent="0.2">
      <c r="A25" s="19" t="s">
        <v>39</v>
      </c>
      <c r="B25" s="423"/>
      <c r="C25" s="424"/>
      <c r="D25" s="423" t="s">
        <v>139</v>
      </c>
      <c r="E25" s="418"/>
      <c r="F25" s="418"/>
      <c r="G25" s="424"/>
      <c r="H25" s="21"/>
      <c r="I25" s="20"/>
    </row>
    <row r="26" spans="1:13" ht="26.45" hidden="1" customHeight="1" x14ac:dyDescent="0.2">
      <c r="A26" s="19" t="s">
        <v>39</v>
      </c>
      <c r="B26" s="421"/>
      <c r="C26" s="422"/>
      <c r="D26" s="421" t="s">
        <v>138</v>
      </c>
      <c r="E26" s="384"/>
      <c r="F26" s="384"/>
      <c r="G26" s="422"/>
      <c r="H26" s="18"/>
      <c r="I26" s="17"/>
    </row>
    <row r="27" spans="1:13" ht="39.6" hidden="1" customHeight="1" x14ac:dyDescent="0.2">
      <c r="A27" s="19" t="s">
        <v>39</v>
      </c>
      <c r="B27" s="421"/>
      <c r="C27" s="422"/>
      <c r="D27" s="421" t="s">
        <v>137</v>
      </c>
      <c r="E27" s="384"/>
      <c r="F27" s="384"/>
      <c r="G27" s="422"/>
      <c r="H27" s="18"/>
      <c r="I27" s="17"/>
    </row>
    <row r="28" spans="1:13" ht="26.45" hidden="1" customHeight="1" x14ac:dyDescent="0.2">
      <c r="A28" s="19" t="s">
        <v>39</v>
      </c>
      <c r="B28" s="421"/>
      <c r="C28" s="422"/>
      <c r="D28" s="421" t="s">
        <v>136</v>
      </c>
      <c r="E28" s="384"/>
      <c r="F28" s="384"/>
      <c r="G28" s="422"/>
      <c r="H28" s="18"/>
      <c r="I28" s="17"/>
    </row>
    <row r="29" spans="1:13" ht="39.6" hidden="1" customHeight="1" x14ac:dyDescent="0.2">
      <c r="A29" s="19" t="s">
        <v>39</v>
      </c>
      <c r="B29" s="421"/>
      <c r="C29" s="422"/>
      <c r="D29" s="421" t="s">
        <v>135</v>
      </c>
      <c r="E29" s="384"/>
      <c r="F29" s="384"/>
      <c r="G29" s="422"/>
      <c r="H29" s="18"/>
      <c r="I29" s="17"/>
    </row>
    <row r="30" spans="1:13" ht="66" hidden="1" customHeight="1" x14ac:dyDescent="0.2">
      <c r="A30" s="19" t="s">
        <v>39</v>
      </c>
      <c r="B30" s="421"/>
      <c r="C30" s="422"/>
      <c r="D30" s="421" t="s">
        <v>134</v>
      </c>
      <c r="E30" s="384"/>
      <c r="F30" s="384"/>
      <c r="G30" s="422"/>
      <c r="H30" s="18"/>
      <c r="I30" s="17"/>
    </row>
    <row r="31" spans="1:13" ht="66" hidden="1" customHeight="1" x14ac:dyDescent="0.2">
      <c r="A31" s="19" t="s">
        <v>39</v>
      </c>
      <c r="B31" s="421"/>
      <c r="C31" s="422"/>
      <c r="D31" s="421" t="s">
        <v>133</v>
      </c>
      <c r="E31" s="384"/>
      <c r="F31" s="384"/>
      <c r="G31" s="422"/>
      <c r="H31" s="18"/>
      <c r="I31" s="17"/>
    </row>
    <row r="32" spans="1:13" ht="66" hidden="1" customHeight="1" x14ac:dyDescent="0.2">
      <c r="A32" s="19" t="s">
        <v>39</v>
      </c>
      <c r="B32" s="421"/>
      <c r="C32" s="422"/>
      <c r="D32" s="421" t="s">
        <v>132</v>
      </c>
      <c r="E32" s="384"/>
      <c r="F32" s="384"/>
      <c r="G32" s="422"/>
      <c r="H32" s="18"/>
      <c r="I32" s="17"/>
    </row>
    <row r="33" spans="1:9" ht="79.150000000000006" hidden="1" customHeight="1" x14ac:dyDescent="0.2">
      <c r="A33" s="19" t="s">
        <v>39</v>
      </c>
      <c r="B33" s="421"/>
      <c r="C33" s="422"/>
      <c r="D33" s="421" t="s">
        <v>131</v>
      </c>
      <c r="E33" s="384"/>
      <c r="F33" s="384"/>
      <c r="G33" s="422"/>
      <c r="H33" s="18"/>
      <c r="I33" s="17"/>
    </row>
    <row r="34" spans="1:9" ht="66" hidden="1" customHeight="1" x14ac:dyDescent="0.2">
      <c r="A34" s="19" t="s">
        <v>39</v>
      </c>
      <c r="B34" s="421"/>
      <c r="C34" s="422"/>
      <c r="D34" s="421" t="s">
        <v>130</v>
      </c>
      <c r="E34" s="384"/>
      <c r="F34" s="384"/>
      <c r="G34" s="422"/>
      <c r="H34" s="18"/>
      <c r="I34" s="17"/>
    </row>
    <row r="35" spans="1:9" ht="66" hidden="1" customHeight="1" x14ac:dyDescent="0.2">
      <c r="A35" s="19" t="s">
        <v>39</v>
      </c>
      <c r="B35" s="421"/>
      <c r="C35" s="422"/>
      <c r="D35" s="421" t="s">
        <v>129</v>
      </c>
      <c r="E35" s="384"/>
      <c r="F35" s="384"/>
      <c r="G35" s="422"/>
      <c r="H35" s="18"/>
      <c r="I35" s="17"/>
    </row>
    <row r="36" spans="1:9" ht="26.45" hidden="1" customHeight="1" x14ac:dyDescent="0.2">
      <c r="A36" s="19" t="s">
        <v>39</v>
      </c>
      <c r="B36" s="421"/>
      <c r="C36" s="422"/>
      <c r="D36" s="421" t="s">
        <v>128</v>
      </c>
      <c r="E36" s="384"/>
      <c r="F36" s="384"/>
      <c r="G36" s="422"/>
      <c r="H36" s="18"/>
      <c r="I36" s="17"/>
    </row>
    <row r="37" spans="1:9" ht="39.6" hidden="1" customHeight="1" x14ac:dyDescent="0.2">
      <c r="A37" s="19" t="s">
        <v>39</v>
      </c>
      <c r="B37" s="421"/>
      <c r="C37" s="422"/>
      <c r="D37" s="421" t="s">
        <v>127</v>
      </c>
      <c r="E37" s="384"/>
      <c r="F37" s="384"/>
      <c r="G37" s="422"/>
      <c r="H37" s="18"/>
      <c r="I37" s="17"/>
    </row>
    <row r="38" spans="1:9" ht="39.6" hidden="1" customHeight="1" x14ac:dyDescent="0.2">
      <c r="A38" s="19" t="s">
        <v>39</v>
      </c>
      <c r="B38" s="421"/>
      <c r="C38" s="422"/>
      <c r="D38" s="421" t="s">
        <v>126</v>
      </c>
      <c r="E38" s="384"/>
      <c r="F38" s="384"/>
      <c r="G38" s="422"/>
      <c r="H38" s="18"/>
      <c r="I38" s="17"/>
    </row>
    <row r="39" spans="1:9" ht="39.6" hidden="1" customHeight="1" x14ac:dyDescent="0.2">
      <c r="A39" s="19" t="s">
        <v>39</v>
      </c>
      <c r="B39" s="421"/>
      <c r="C39" s="422"/>
      <c r="D39" s="421" t="s">
        <v>125</v>
      </c>
      <c r="E39" s="384"/>
      <c r="F39" s="384"/>
      <c r="G39" s="422"/>
      <c r="H39" s="18"/>
      <c r="I39" s="17"/>
    </row>
    <row r="40" spans="1:9" ht="26.45" hidden="1" customHeight="1" x14ac:dyDescent="0.2">
      <c r="A40" s="16" t="s">
        <v>39</v>
      </c>
      <c r="B40" s="427"/>
      <c r="C40" s="428"/>
      <c r="D40" s="427" t="s">
        <v>124</v>
      </c>
      <c r="E40" s="429"/>
      <c r="F40" s="429"/>
      <c r="G40" s="428"/>
      <c r="H40" s="15"/>
      <c r="I40" s="14"/>
    </row>
    <row r="41" spans="1:9" ht="163.35" customHeight="1" x14ac:dyDescent="0.2">
      <c r="A41" s="24" t="s">
        <v>11</v>
      </c>
      <c r="B41" s="413" t="s">
        <v>123</v>
      </c>
      <c r="C41" s="414"/>
      <c r="D41" s="415" t="s">
        <v>122</v>
      </c>
      <c r="E41" s="416"/>
      <c r="F41" s="416"/>
      <c r="G41" s="417"/>
      <c r="H41" s="23" t="s">
        <v>1115</v>
      </c>
      <c r="I41" s="22">
        <f>(437400+64*3460)*1*0.6*1.4*1.2*1.4</f>
        <v>929755.00799999991</v>
      </c>
    </row>
    <row r="42" spans="1:9" ht="16.149999999999999" customHeight="1" x14ac:dyDescent="0.2">
      <c r="A42" s="19" t="s">
        <v>39</v>
      </c>
      <c r="B42" s="423"/>
      <c r="C42" s="424"/>
      <c r="D42" s="423" t="s">
        <v>45</v>
      </c>
      <c r="E42" s="418"/>
      <c r="F42" s="418"/>
      <c r="G42" s="424"/>
      <c r="H42" s="21"/>
      <c r="I42" s="20"/>
    </row>
    <row r="43" spans="1:9" ht="26.45" customHeight="1" x14ac:dyDescent="0.2">
      <c r="A43" s="19" t="s">
        <v>39</v>
      </c>
      <c r="B43" s="421"/>
      <c r="C43" s="422"/>
      <c r="D43" s="421" t="s">
        <v>562</v>
      </c>
      <c r="E43" s="384"/>
      <c r="F43" s="384"/>
      <c r="G43" s="422"/>
      <c r="H43" s="18"/>
      <c r="I43" s="17"/>
    </row>
    <row r="44" spans="1:9" ht="52.9" customHeight="1" x14ac:dyDescent="0.2">
      <c r="A44" s="19" t="s">
        <v>39</v>
      </c>
      <c r="B44" s="421"/>
      <c r="C44" s="422"/>
      <c r="D44" s="421" t="s">
        <v>1082</v>
      </c>
      <c r="E44" s="384"/>
      <c r="F44" s="384"/>
      <c r="G44" s="422"/>
      <c r="H44" s="18"/>
      <c r="I44" s="17"/>
    </row>
    <row r="45" spans="1:9" ht="184.9" hidden="1" customHeight="1" x14ac:dyDescent="0.2">
      <c r="A45" s="19" t="s">
        <v>39</v>
      </c>
      <c r="B45" s="421"/>
      <c r="C45" s="422"/>
      <c r="D45" s="421" t="s">
        <v>66</v>
      </c>
      <c r="E45" s="384"/>
      <c r="F45" s="384"/>
      <c r="G45" s="422"/>
      <c r="H45" s="18"/>
      <c r="I45" s="17"/>
    </row>
    <row r="46" spans="1:9" ht="93.75" customHeight="1" x14ac:dyDescent="0.2">
      <c r="A46" s="19"/>
      <c r="B46" s="425"/>
      <c r="C46" s="426"/>
      <c r="D46" s="421" t="s">
        <v>566</v>
      </c>
      <c r="E46" s="384"/>
      <c r="F46" s="384"/>
      <c r="G46" s="422"/>
      <c r="H46" s="18"/>
      <c r="I46" s="17"/>
    </row>
    <row r="47" spans="1:9" ht="87" customHeight="1" x14ac:dyDescent="0.2">
      <c r="A47" s="19" t="s">
        <v>39</v>
      </c>
      <c r="B47" s="421"/>
      <c r="C47" s="422"/>
      <c r="D47" s="421" t="s">
        <v>1089</v>
      </c>
      <c r="E47" s="384"/>
      <c r="F47" s="384"/>
      <c r="G47" s="422"/>
      <c r="H47" s="18"/>
      <c r="I47" s="17"/>
    </row>
    <row r="48" spans="1:9" ht="42.6" customHeight="1" x14ac:dyDescent="0.2">
      <c r="A48" s="19" t="s">
        <v>39</v>
      </c>
      <c r="B48" s="423"/>
      <c r="C48" s="424"/>
      <c r="D48" s="423" t="s">
        <v>121</v>
      </c>
      <c r="E48" s="418"/>
      <c r="F48" s="418"/>
      <c r="G48" s="424"/>
      <c r="H48" s="21"/>
      <c r="I48" s="20"/>
    </row>
    <row r="49" spans="1:9" ht="26.45" hidden="1" customHeight="1" x14ac:dyDescent="0.2">
      <c r="A49" s="19" t="s">
        <v>39</v>
      </c>
      <c r="B49" s="421"/>
      <c r="C49" s="422"/>
      <c r="D49" s="441" t="s">
        <v>120</v>
      </c>
      <c r="E49" s="442"/>
      <c r="F49" s="442"/>
      <c r="G49" s="443"/>
      <c r="H49" s="18"/>
      <c r="I49" s="17"/>
    </row>
    <row r="50" spans="1:9" ht="26.45" hidden="1" customHeight="1" x14ac:dyDescent="0.2">
      <c r="A50" s="19" t="s">
        <v>39</v>
      </c>
      <c r="B50" s="421"/>
      <c r="C50" s="422"/>
      <c r="D50" s="421" t="s">
        <v>119</v>
      </c>
      <c r="E50" s="384"/>
      <c r="F50" s="384"/>
      <c r="G50" s="422"/>
      <c r="H50" s="18"/>
      <c r="I50" s="17"/>
    </row>
    <row r="51" spans="1:9" ht="52.9" hidden="1" customHeight="1" x14ac:dyDescent="0.2">
      <c r="A51" s="19" t="s">
        <v>39</v>
      </c>
      <c r="B51" s="421"/>
      <c r="C51" s="422"/>
      <c r="D51" s="421" t="s">
        <v>118</v>
      </c>
      <c r="E51" s="384"/>
      <c r="F51" s="384"/>
      <c r="G51" s="422"/>
      <c r="H51" s="18"/>
      <c r="I51" s="17"/>
    </row>
    <row r="52" spans="1:9" ht="26.45" hidden="1" customHeight="1" x14ac:dyDescent="0.2">
      <c r="A52" s="19" t="s">
        <v>39</v>
      </c>
      <c r="B52" s="421"/>
      <c r="C52" s="422"/>
      <c r="D52" s="421" t="s">
        <v>117</v>
      </c>
      <c r="E52" s="384"/>
      <c r="F52" s="384"/>
      <c r="G52" s="422"/>
      <c r="H52" s="18"/>
      <c r="I52" s="17"/>
    </row>
    <row r="53" spans="1:9" ht="39.6" hidden="1" customHeight="1" x14ac:dyDescent="0.2">
      <c r="A53" s="19" t="s">
        <v>39</v>
      </c>
      <c r="B53" s="421"/>
      <c r="C53" s="422"/>
      <c r="D53" s="441" t="s">
        <v>116</v>
      </c>
      <c r="E53" s="442"/>
      <c r="F53" s="442"/>
      <c r="G53" s="443"/>
      <c r="H53" s="18"/>
      <c r="I53" s="17"/>
    </row>
    <row r="54" spans="1:9" ht="39.6" hidden="1" customHeight="1" x14ac:dyDescent="0.2">
      <c r="A54" s="19" t="s">
        <v>39</v>
      </c>
      <c r="B54" s="421"/>
      <c r="C54" s="422"/>
      <c r="D54" s="421" t="s">
        <v>115</v>
      </c>
      <c r="E54" s="384"/>
      <c r="F54" s="384"/>
      <c r="G54" s="422"/>
      <c r="H54" s="18"/>
      <c r="I54" s="17"/>
    </row>
    <row r="55" spans="1:9" ht="26.45" hidden="1" customHeight="1" x14ac:dyDescent="0.2">
      <c r="A55" s="16" t="s">
        <v>39</v>
      </c>
      <c r="B55" s="427"/>
      <c r="C55" s="428"/>
      <c r="D55" s="427" t="s">
        <v>114</v>
      </c>
      <c r="E55" s="429"/>
      <c r="F55" s="429"/>
      <c r="G55" s="428"/>
      <c r="H55" s="15"/>
      <c r="I55" s="14"/>
    </row>
    <row r="56" spans="1:9" ht="163.35" customHeight="1" x14ac:dyDescent="0.2">
      <c r="A56" s="24" t="s">
        <v>13</v>
      </c>
      <c r="B56" s="413" t="s">
        <v>113</v>
      </c>
      <c r="C56" s="414"/>
      <c r="D56" s="415" t="s">
        <v>112</v>
      </c>
      <c r="E56" s="416"/>
      <c r="F56" s="416"/>
      <c r="G56" s="417"/>
      <c r="H56" s="23" t="s">
        <v>1116</v>
      </c>
      <c r="I56" s="22">
        <f>(199600  + 82  * 5220) * 1 * 0.6 * 1.4 * 1.2 * 1.4</f>
        <v>885725.56799999997</v>
      </c>
    </row>
    <row r="57" spans="1:9" ht="16.149999999999999" customHeight="1" x14ac:dyDescent="0.2">
      <c r="A57" s="19" t="s">
        <v>39</v>
      </c>
      <c r="B57" s="423"/>
      <c r="C57" s="424"/>
      <c r="D57" s="423" t="s">
        <v>45</v>
      </c>
      <c r="E57" s="418"/>
      <c r="F57" s="418"/>
      <c r="G57" s="424"/>
      <c r="H57" s="21"/>
      <c r="I57" s="20"/>
    </row>
    <row r="58" spans="1:9" ht="26.45" customHeight="1" x14ac:dyDescent="0.2">
      <c r="A58" s="19" t="s">
        <v>39</v>
      </c>
      <c r="B58" s="421"/>
      <c r="C58" s="422"/>
      <c r="D58" s="421" t="s">
        <v>562</v>
      </c>
      <c r="E58" s="384"/>
      <c r="F58" s="384"/>
      <c r="G58" s="422"/>
      <c r="H58" s="18"/>
      <c r="I58" s="17"/>
    </row>
    <row r="59" spans="1:9" ht="52.9" customHeight="1" x14ac:dyDescent="0.2">
      <c r="A59" s="19" t="s">
        <v>39</v>
      </c>
      <c r="B59" s="421"/>
      <c r="C59" s="422"/>
      <c r="D59" s="421" t="s">
        <v>1082</v>
      </c>
      <c r="E59" s="384"/>
      <c r="F59" s="384"/>
      <c r="G59" s="422"/>
      <c r="H59" s="18"/>
      <c r="I59" s="17"/>
    </row>
    <row r="60" spans="1:9" ht="184.9" hidden="1" customHeight="1" x14ac:dyDescent="0.2">
      <c r="A60" s="19" t="s">
        <v>39</v>
      </c>
      <c r="B60" s="421"/>
      <c r="C60" s="422"/>
      <c r="D60" s="421" t="s">
        <v>66</v>
      </c>
      <c r="E60" s="384"/>
      <c r="F60" s="384"/>
      <c r="G60" s="422"/>
      <c r="H60" s="18"/>
      <c r="I60" s="17"/>
    </row>
    <row r="61" spans="1:9" ht="93.75" customHeight="1" x14ac:dyDescent="0.2">
      <c r="A61" s="19"/>
      <c r="B61" s="425"/>
      <c r="C61" s="426"/>
      <c r="D61" s="421" t="s">
        <v>566</v>
      </c>
      <c r="E61" s="384"/>
      <c r="F61" s="384"/>
      <c r="G61" s="422"/>
      <c r="H61" s="18"/>
      <c r="I61" s="17"/>
    </row>
    <row r="62" spans="1:9" ht="85.5" customHeight="1" x14ac:dyDescent="0.2">
      <c r="A62" s="19" t="s">
        <v>39</v>
      </c>
      <c r="B62" s="421"/>
      <c r="C62" s="422"/>
      <c r="D62" s="421" t="s">
        <v>1089</v>
      </c>
      <c r="E62" s="384"/>
      <c r="F62" s="384"/>
      <c r="G62" s="422"/>
      <c r="H62" s="18"/>
      <c r="I62" s="17"/>
    </row>
    <row r="63" spans="1:9" ht="42.6" customHeight="1" x14ac:dyDescent="0.2">
      <c r="A63" s="19" t="s">
        <v>39</v>
      </c>
      <c r="B63" s="423"/>
      <c r="C63" s="424"/>
      <c r="D63" s="423" t="s">
        <v>111</v>
      </c>
      <c r="E63" s="418"/>
      <c r="F63" s="418"/>
      <c r="G63" s="424"/>
      <c r="H63" s="21"/>
      <c r="I63" s="20"/>
    </row>
    <row r="64" spans="1:9" ht="26.45" hidden="1" customHeight="1" x14ac:dyDescent="0.2">
      <c r="A64" s="19" t="s">
        <v>39</v>
      </c>
      <c r="B64" s="421"/>
      <c r="C64" s="422"/>
      <c r="D64" s="441" t="s">
        <v>110</v>
      </c>
      <c r="E64" s="442"/>
      <c r="F64" s="442"/>
      <c r="G64" s="443"/>
      <c r="H64" s="18"/>
      <c r="I64" s="17"/>
    </row>
    <row r="65" spans="1:9" ht="26.45" hidden="1" customHeight="1" x14ac:dyDescent="0.2">
      <c r="A65" s="19" t="s">
        <v>39</v>
      </c>
      <c r="B65" s="421"/>
      <c r="C65" s="422"/>
      <c r="D65" s="421" t="s">
        <v>109</v>
      </c>
      <c r="E65" s="384"/>
      <c r="F65" s="384"/>
      <c r="G65" s="422"/>
      <c r="H65" s="18"/>
      <c r="I65" s="17"/>
    </row>
    <row r="66" spans="1:9" ht="52.9" hidden="1" customHeight="1" x14ac:dyDescent="0.2">
      <c r="A66" s="19" t="s">
        <v>39</v>
      </c>
      <c r="B66" s="421"/>
      <c r="C66" s="422"/>
      <c r="D66" s="421" t="s">
        <v>108</v>
      </c>
      <c r="E66" s="384"/>
      <c r="F66" s="384"/>
      <c r="G66" s="422"/>
      <c r="H66" s="18"/>
      <c r="I66" s="17"/>
    </row>
    <row r="67" spans="1:9" ht="26.45" hidden="1" customHeight="1" x14ac:dyDescent="0.2">
      <c r="A67" s="19" t="s">
        <v>39</v>
      </c>
      <c r="B67" s="421"/>
      <c r="C67" s="422"/>
      <c r="D67" s="421" t="s">
        <v>107</v>
      </c>
      <c r="E67" s="384"/>
      <c r="F67" s="384"/>
      <c r="G67" s="422"/>
      <c r="H67" s="18"/>
      <c r="I67" s="17"/>
    </row>
    <row r="68" spans="1:9" ht="39.6" hidden="1" customHeight="1" x14ac:dyDescent="0.2">
      <c r="A68" s="19" t="s">
        <v>39</v>
      </c>
      <c r="B68" s="421"/>
      <c r="C68" s="422"/>
      <c r="D68" s="441" t="s">
        <v>106</v>
      </c>
      <c r="E68" s="442"/>
      <c r="F68" s="442"/>
      <c r="G68" s="443"/>
      <c r="H68" s="18"/>
      <c r="I68" s="17"/>
    </row>
    <row r="69" spans="1:9" ht="39.6" hidden="1" customHeight="1" x14ac:dyDescent="0.2">
      <c r="A69" s="19" t="s">
        <v>39</v>
      </c>
      <c r="B69" s="421"/>
      <c r="C69" s="422"/>
      <c r="D69" s="421" t="s">
        <v>105</v>
      </c>
      <c r="E69" s="384"/>
      <c r="F69" s="384"/>
      <c r="G69" s="422"/>
      <c r="H69" s="18"/>
      <c r="I69" s="17"/>
    </row>
    <row r="70" spans="1:9" ht="26.45" hidden="1" customHeight="1" x14ac:dyDescent="0.2">
      <c r="A70" s="16" t="s">
        <v>39</v>
      </c>
      <c r="B70" s="427"/>
      <c r="C70" s="428"/>
      <c r="D70" s="427" t="s">
        <v>104</v>
      </c>
      <c r="E70" s="429"/>
      <c r="F70" s="429"/>
      <c r="G70" s="428"/>
      <c r="H70" s="15"/>
      <c r="I70" s="14"/>
    </row>
    <row r="71" spans="1:9" ht="13.15" customHeight="1" x14ac:dyDescent="0.2">
      <c r="A71" s="11" t="s">
        <v>15</v>
      </c>
      <c r="B71" s="395" t="s">
        <v>43</v>
      </c>
      <c r="C71" s="396"/>
      <c r="D71" s="395"/>
      <c r="E71" s="397"/>
      <c r="F71" s="397"/>
      <c r="G71" s="396"/>
      <c r="H71" s="10"/>
      <c r="I71" s="9">
        <f>I18+I41+I56</f>
        <v>3041844.4224</v>
      </c>
    </row>
    <row r="72" spans="1:9" ht="13.15" customHeight="1" x14ac:dyDescent="0.2">
      <c r="A72" s="11" t="s">
        <v>17</v>
      </c>
      <c r="B72" s="395" t="s">
        <v>42</v>
      </c>
      <c r="C72" s="396"/>
      <c r="D72" s="395"/>
      <c r="E72" s="397"/>
      <c r="F72" s="397"/>
      <c r="G72" s="396"/>
      <c r="H72" s="10"/>
      <c r="I72" s="9">
        <f>I71</f>
        <v>3041844.4224</v>
      </c>
    </row>
    <row r="73" spans="1:9" ht="12.75" customHeight="1" x14ac:dyDescent="0.2"/>
    <row r="74" spans="1:9" ht="12.75" customHeight="1" x14ac:dyDescent="0.2">
      <c r="D74" s="7"/>
    </row>
    <row r="75" spans="1:9" x14ac:dyDescent="0.2">
      <c r="A75" s="391" t="s">
        <v>0</v>
      </c>
      <c r="B75" s="391"/>
      <c r="C75" s="391"/>
      <c r="D75" s="391"/>
      <c r="E75" s="391"/>
      <c r="F75" s="391"/>
      <c r="G75" s="391"/>
      <c r="H75" s="391"/>
      <c r="I75" s="391"/>
    </row>
    <row r="76" spans="1:9" ht="12.75" customHeight="1" x14ac:dyDescent="0.2">
      <c r="A76" s="391"/>
      <c r="B76" s="391"/>
      <c r="C76" s="391"/>
      <c r="D76" s="391"/>
      <c r="E76" s="391"/>
      <c r="F76" s="391"/>
      <c r="G76" s="391"/>
      <c r="H76" s="391"/>
      <c r="I76" s="391"/>
    </row>
    <row r="77" spans="1:9" x14ac:dyDescent="0.2">
      <c r="D77" s="389" t="s">
        <v>2</v>
      </c>
      <c r="E77" s="390"/>
      <c r="F77" s="390"/>
      <c r="G77" s="390"/>
      <c r="H77" s="390"/>
      <c r="I77" s="390"/>
    </row>
    <row r="78" spans="1:9" ht="12.75" customHeight="1" x14ac:dyDescent="0.2"/>
    <row r="79" spans="1:9" x14ac:dyDescent="0.2">
      <c r="A79" s="391" t="s">
        <v>1</v>
      </c>
      <c r="B79" s="391"/>
      <c r="C79" s="391"/>
      <c r="D79" s="391"/>
      <c r="E79" s="391"/>
      <c r="F79" s="391"/>
      <c r="G79" s="391"/>
      <c r="H79" s="391"/>
      <c r="I79" s="391"/>
    </row>
    <row r="80" spans="1:9" ht="12.75" customHeight="1" x14ac:dyDescent="0.2">
      <c r="A80" s="391"/>
      <c r="B80" s="391"/>
      <c r="C80" s="391"/>
      <c r="D80" s="391"/>
      <c r="E80" s="391"/>
      <c r="F80" s="391"/>
      <c r="G80" s="391"/>
      <c r="H80" s="391"/>
      <c r="I80" s="391"/>
    </row>
    <row r="81" spans="1:9" x14ac:dyDescent="0.2">
      <c r="D81" s="389" t="s">
        <v>2</v>
      </c>
      <c r="E81" s="390"/>
      <c r="F81" s="390"/>
      <c r="G81" s="390"/>
      <c r="H81" s="390"/>
      <c r="I81" s="390"/>
    </row>
    <row r="82" spans="1:9" ht="12.75" customHeight="1" x14ac:dyDescent="0.2"/>
    <row r="83" spans="1:9" x14ac:dyDescent="0.2">
      <c r="A83" s="391" t="s">
        <v>5</v>
      </c>
      <c r="B83" s="391"/>
      <c r="C83" s="391"/>
      <c r="D83" s="391"/>
      <c r="E83" s="391"/>
      <c r="F83" s="391"/>
      <c r="G83" s="6" t="s">
        <v>7</v>
      </c>
      <c r="H83" s="391"/>
      <c r="I83" s="391"/>
    </row>
    <row r="84" spans="1:9" x14ac:dyDescent="0.2">
      <c r="D84" s="389" t="s">
        <v>40</v>
      </c>
      <c r="E84" s="390"/>
      <c r="F84" s="390"/>
      <c r="H84" s="389" t="s">
        <v>2</v>
      </c>
      <c r="I84" s="390"/>
    </row>
    <row r="85" spans="1:9" ht="12.75" customHeight="1" x14ac:dyDescent="0.2"/>
    <row r="86" spans="1:9" x14ac:dyDescent="0.2">
      <c r="A86" s="391" t="s">
        <v>3</v>
      </c>
      <c r="B86" s="391"/>
      <c r="C86" s="391"/>
      <c r="D86" s="391"/>
      <c r="E86" s="391"/>
      <c r="F86" s="391"/>
      <c r="G86" s="391"/>
      <c r="H86" s="391"/>
      <c r="I86" s="391"/>
    </row>
    <row r="87" spans="1:9" x14ac:dyDescent="0.2">
      <c r="D87" s="389" t="s">
        <v>6</v>
      </c>
      <c r="E87" s="390"/>
      <c r="F87" s="390"/>
      <c r="G87" s="390"/>
      <c r="H87" s="390"/>
      <c r="I87" s="390"/>
    </row>
    <row r="88" spans="1:9" ht="12.75" customHeight="1" x14ac:dyDescent="0.2"/>
  </sheetData>
  <mergeCells count="139">
    <mergeCell ref="A86:C86"/>
    <mergeCell ref="D86:I86"/>
    <mergeCell ref="D87:I87"/>
    <mergeCell ref="D81:I81"/>
    <mergeCell ref="A83:C83"/>
    <mergeCell ref="D83:F83"/>
    <mergeCell ref="H83:I83"/>
    <mergeCell ref="D84:F84"/>
    <mergeCell ref="H84:I84"/>
    <mergeCell ref="B72:C72"/>
    <mergeCell ref="D72:G72"/>
    <mergeCell ref="A75:C76"/>
    <mergeCell ref="D75:I76"/>
    <mergeCell ref="D77:I77"/>
    <mergeCell ref="A79:C80"/>
    <mergeCell ref="D79:I80"/>
    <mergeCell ref="B69:C69"/>
    <mergeCell ref="D69:G69"/>
    <mergeCell ref="B70:C70"/>
    <mergeCell ref="D70:G70"/>
    <mergeCell ref="B71:C71"/>
    <mergeCell ref="D71:G71"/>
    <mergeCell ref="B66:C66"/>
    <mergeCell ref="D66:G66"/>
    <mergeCell ref="B67:C67"/>
    <mergeCell ref="D67:G67"/>
    <mergeCell ref="B68:C68"/>
    <mergeCell ref="D68:G68"/>
    <mergeCell ref="B63:C63"/>
    <mergeCell ref="D63:G63"/>
    <mergeCell ref="B64:C64"/>
    <mergeCell ref="D64:G64"/>
    <mergeCell ref="B65:C65"/>
    <mergeCell ref="D65:G65"/>
    <mergeCell ref="B59:C59"/>
    <mergeCell ref="D59:G59"/>
    <mergeCell ref="B60:C60"/>
    <mergeCell ref="D60:G60"/>
    <mergeCell ref="B62:C62"/>
    <mergeCell ref="D62:G62"/>
    <mergeCell ref="B56:C56"/>
    <mergeCell ref="D56:G56"/>
    <mergeCell ref="B57:C57"/>
    <mergeCell ref="D57:G57"/>
    <mergeCell ref="B58:C58"/>
    <mergeCell ref="D58:G58"/>
    <mergeCell ref="B61:C61"/>
    <mergeCell ref="D61:G61"/>
    <mergeCell ref="B53:C53"/>
    <mergeCell ref="D53:G53"/>
    <mergeCell ref="B54:C54"/>
    <mergeCell ref="D54:G54"/>
    <mergeCell ref="B55:C55"/>
    <mergeCell ref="D55:G55"/>
    <mergeCell ref="B50:C50"/>
    <mergeCell ref="D50:G50"/>
    <mergeCell ref="B51:C51"/>
    <mergeCell ref="D51:G51"/>
    <mergeCell ref="B52:C52"/>
    <mergeCell ref="D52:G52"/>
    <mergeCell ref="B47:C47"/>
    <mergeCell ref="D47:G47"/>
    <mergeCell ref="B48:C48"/>
    <mergeCell ref="D48:G48"/>
    <mergeCell ref="B49:C49"/>
    <mergeCell ref="D49:G49"/>
    <mergeCell ref="B43:C43"/>
    <mergeCell ref="D43:G43"/>
    <mergeCell ref="B44:C44"/>
    <mergeCell ref="D44:G44"/>
    <mergeCell ref="B45:C45"/>
    <mergeCell ref="D45:G45"/>
    <mergeCell ref="B46:C46"/>
    <mergeCell ref="D46:G46"/>
    <mergeCell ref="B40:C40"/>
    <mergeCell ref="D40:G40"/>
    <mergeCell ref="B41:C41"/>
    <mergeCell ref="D41:G41"/>
    <mergeCell ref="B42:C42"/>
    <mergeCell ref="D42:G42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B26:C26"/>
    <mergeCell ref="D26:G26"/>
    <mergeCell ref="B27:C27"/>
    <mergeCell ref="D27:G27"/>
    <mergeCell ref="D24:G24"/>
    <mergeCell ref="B19:C19"/>
    <mergeCell ref="D19:G19"/>
    <mergeCell ref="B20:C20"/>
    <mergeCell ref="D20:G20"/>
    <mergeCell ref="B21:C21"/>
    <mergeCell ref="D21:G21"/>
    <mergeCell ref="B23:C23"/>
    <mergeCell ref="D23:G23"/>
    <mergeCell ref="B18:C18"/>
    <mergeCell ref="D18:G18"/>
    <mergeCell ref="A8:I8"/>
    <mergeCell ref="A10:C10"/>
    <mergeCell ref="D10:I10"/>
    <mergeCell ref="A12:C12"/>
    <mergeCell ref="D12:I12"/>
    <mergeCell ref="A14:I14"/>
    <mergeCell ref="B22:C22"/>
    <mergeCell ref="D22:G22"/>
    <mergeCell ref="A1:C1"/>
    <mergeCell ref="D1:I1"/>
    <mergeCell ref="A3:I3"/>
    <mergeCell ref="A4:I4"/>
    <mergeCell ref="A6:B6"/>
    <mergeCell ref="C6:G6"/>
    <mergeCell ref="B16:C16"/>
    <mergeCell ref="D16:G16"/>
    <mergeCell ref="B17:C17"/>
    <mergeCell ref="D17:G17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4"/>
  <dimension ref="A1:J60"/>
  <sheetViews>
    <sheetView view="pageBreakPreview" topLeftCell="A19" zoomScale="60" zoomScaleNormal="100" workbookViewId="0">
      <selection activeCell="J23" sqref="J23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25.5" customHeight="1" x14ac:dyDescent="0.2">
      <c r="A1" s="419" t="s">
        <v>55</v>
      </c>
      <c r="B1" s="419"/>
      <c r="C1" s="419"/>
      <c r="D1" s="381" t="s">
        <v>54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1284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51" customHeight="1" x14ac:dyDescent="0.2">
      <c r="A6" s="386" t="s">
        <v>51</v>
      </c>
      <c r="B6" s="386"/>
      <c r="C6" s="384" t="s">
        <v>50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558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0" ht="123.75" customHeight="1" x14ac:dyDescent="0.2">
      <c r="A18" s="24" t="s">
        <v>10</v>
      </c>
      <c r="B18" s="413" t="s">
        <v>412</v>
      </c>
      <c r="C18" s="414"/>
      <c r="D18" s="415" t="s">
        <v>465</v>
      </c>
      <c r="E18" s="416"/>
      <c r="F18" s="416"/>
      <c r="G18" s="417"/>
      <c r="H18" s="23" t="s">
        <v>1415</v>
      </c>
      <c r="I18" s="22">
        <f>(155600 + 15 * (0.4 * 1000 + 0.6 * 3195)) * 1 * 0.4 *    1.15 * 1.1*1.4</f>
        <v>134847.48199999999</v>
      </c>
      <c r="J18" s="78"/>
    </row>
    <row r="19" spans="1:10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0" ht="26.45" customHeight="1" x14ac:dyDescent="0.2">
      <c r="A20" s="67" t="s">
        <v>39</v>
      </c>
      <c r="B20" s="444"/>
      <c r="C20" s="445"/>
      <c r="D20" s="444" t="s">
        <v>1295</v>
      </c>
      <c r="E20" s="446"/>
      <c r="F20" s="446"/>
      <c r="G20" s="445"/>
      <c r="H20" s="68"/>
      <c r="I20" s="69"/>
    </row>
    <row r="21" spans="1:10" ht="26.45" hidden="1" customHeight="1" x14ac:dyDescent="0.2">
      <c r="A21" s="67" t="s">
        <v>39</v>
      </c>
      <c r="B21" s="444"/>
      <c r="C21" s="445"/>
      <c r="D21" s="444" t="s">
        <v>452</v>
      </c>
      <c r="E21" s="446"/>
      <c r="F21" s="446"/>
      <c r="G21" s="445"/>
      <c r="H21" s="68"/>
      <c r="I21" s="69"/>
    </row>
    <row r="22" spans="1:10" ht="26.45" hidden="1" customHeight="1" x14ac:dyDescent="0.2">
      <c r="A22" s="67" t="s">
        <v>39</v>
      </c>
      <c r="B22" s="444"/>
      <c r="C22" s="445"/>
      <c r="D22" s="444" t="s">
        <v>453</v>
      </c>
      <c r="E22" s="446"/>
      <c r="F22" s="446"/>
      <c r="G22" s="445"/>
      <c r="H22" s="68"/>
      <c r="I22" s="69"/>
    </row>
    <row r="23" spans="1:10" ht="104.25" customHeight="1" x14ac:dyDescent="0.2">
      <c r="A23" s="67" t="s">
        <v>39</v>
      </c>
      <c r="B23" s="444"/>
      <c r="C23" s="445"/>
      <c r="D23" s="444" t="s">
        <v>454</v>
      </c>
      <c r="E23" s="446"/>
      <c r="F23" s="446"/>
      <c r="G23" s="445"/>
      <c r="H23" s="68"/>
      <c r="I23" s="69"/>
    </row>
    <row r="24" spans="1:10" ht="166.15" customHeight="1" x14ac:dyDescent="0.2">
      <c r="A24" s="19" t="s">
        <v>39</v>
      </c>
      <c r="B24" s="421"/>
      <c r="C24" s="422"/>
      <c r="D24" s="421" t="s">
        <v>579</v>
      </c>
      <c r="E24" s="384"/>
      <c r="F24" s="384"/>
      <c r="G24" s="422"/>
      <c r="H24" s="18"/>
      <c r="I24" s="17"/>
    </row>
    <row r="25" spans="1:10" ht="68.25" customHeight="1" x14ac:dyDescent="0.2">
      <c r="A25" s="67" t="s">
        <v>39</v>
      </c>
      <c r="B25" s="450"/>
      <c r="C25" s="451"/>
      <c r="D25" s="450" t="s">
        <v>455</v>
      </c>
      <c r="E25" s="452"/>
      <c r="F25" s="452"/>
      <c r="G25" s="451"/>
      <c r="H25" s="70"/>
      <c r="I25" s="71"/>
    </row>
    <row r="26" spans="1:10" ht="43.5" hidden="1" customHeight="1" x14ac:dyDescent="0.2">
      <c r="A26" s="67" t="s">
        <v>39</v>
      </c>
      <c r="B26" s="444"/>
      <c r="C26" s="445"/>
      <c r="D26" s="444" t="s">
        <v>456</v>
      </c>
      <c r="E26" s="446"/>
      <c r="F26" s="446"/>
      <c r="G26" s="445"/>
      <c r="H26" s="68"/>
      <c r="I26" s="69"/>
    </row>
    <row r="27" spans="1:10" ht="43.5" hidden="1" customHeight="1" x14ac:dyDescent="0.2">
      <c r="A27" s="67" t="s">
        <v>39</v>
      </c>
      <c r="B27" s="444"/>
      <c r="C27" s="445"/>
      <c r="D27" s="444" t="s">
        <v>457</v>
      </c>
      <c r="E27" s="446"/>
      <c r="F27" s="446"/>
      <c r="G27" s="445"/>
      <c r="H27" s="68"/>
      <c r="I27" s="69"/>
    </row>
    <row r="28" spans="1:10" ht="43.5" hidden="1" customHeight="1" x14ac:dyDescent="0.2">
      <c r="A28" s="67" t="s">
        <v>39</v>
      </c>
      <c r="B28" s="444"/>
      <c r="C28" s="445"/>
      <c r="D28" s="444" t="s">
        <v>458</v>
      </c>
      <c r="E28" s="446"/>
      <c r="F28" s="446"/>
      <c r="G28" s="445"/>
      <c r="H28" s="68"/>
      <c r="I28" s="69"/>
    </row>
    <row r="29" spans="1:10" ht="43.5" hidden="1" customHeight="1" x14ac:dyDescent="0.2">
      <c r="A29" s="67" t="s">
        <v>39</v>
      </c>
      <c r="B29" s="444"/>
      <c r="C29" s="445"/>
      <c r="D29" s="444" t="s">
        <v>459</v>
      </c>
      <c r="E29" s="446"/>
      <c r="F29" s="446"/>
      <c r="G29" s="445"/>
      <c r="H29" s="68"/>
      <c r="I29" s="69"/>
    </row>
    <row r="30" spans="1:10" ht="43.5" hidden="1" customHeight="1" x14ac:dyDescent="0.2">
      <c r="A30" s="67" t="s">
        <v>39</v>
      </c>
      <c r="B30" s="444"/>
      <c r="C30" s="445"/>
      <c r="D30" s="444" t="s">
        <v>460</v>
      </c>
      <c r="E30" s="446"/>
      <c r="F30" s="446"/>
      <c r="G30" s="445"/>
      <c r="H30" s="68"/>
      <c r="I30" s="69"/>
    </row>
    <row r="31" spans="1:10" ht="43.5" hidden="1" customHeight="1" x14ac:dyDescent="0.2">
      <c r="A31" s="67" t="s">
        <v>39</v>
      </c>
      <c r="B31" s="444"/>
      <c r="C31" s="445"/>
      <c r="D31" s="444" t="s">
        <v>461</v>
      </c>
      <c r="E31" s="446"/>
      <c r="F31" s="446"/>
      <c r="G31" s="445"/>
      <c r="H31" s="68"/>
      <c r="I31" s="69"/>
    </row>
    <row r="32" spans="1:10" ht="43.5" hidden="1" customHeight="1" x14ac:dyDescent="0.2">
      <c r="A32" s="67" t="s">
        <v>39</v>
      </c>
      <c r="B32" s="444"/>
      <c r="C32" s="445"/>
      <c r="D32" s="444" t="s">
        <v>462</v>
      </c>
      <c r="E32" s="446"/>
      <c r="F32" s="446"/>
      <c r="G32" s="445"/>
      <c r="H32" s="68"/>
      <c r="I32" s="69"/>
    </row>
    <row r="33" spans="1:9" ht="43.5" hidden="1" customHeight="1" x14ac:dyDescent="0.2">
      <c r="A33" s="67" t="s">
        <v>39</v>
      </c>
      <c r="B33" s="444"/>
      <c r="C33" s="445"/>
      <c r="D33" s="444" t="s">
        <v>463</v>
      </c>
      <c r="E33" s="446"/>
      <c r="F33" s="446"/>
      <c r="G33" s="445"/>
      <c r="H33" s="68"/>
      <c r="I33" s="69"/>
    </row>
    <row r="34" spans="1:9" ht="43.5" hidden="1" customHeight="1" x14ac:dyDescent="0.2">
      <c r="A34" s="67" t="s">
        <v>39</v>
      </c>
      <c r="B34" s="444"/>
      <c r="C34" s="445"/>
      <c r="D34" s="444" t="s">
        <v>464</v>
      </c>
      <c r="E34" s="446"/>
      <c r="F34" s="446"/>
      <c r="G34" s="445"/>
      <c r="H34" s="68"/>
      <c r="I34" s="69"/>
    </row>
    <row r="35" spans="1:9" ht="43.5" hidden="1" customHeight="1" x14ac:dyDescent="0.2">
      <c r="A35" s="67" t="s">
        <v>39</v>
      </c>
      <c r="B35" s="444"/>
      <c r="C35" s="445"/>
      <c r="D35" s="444" t="s">
        <v>456</v>
      </c>
      <c r="E35" s="446"/>
      <c r="F35" s="446"/>
      <c r="G35" s="445"/>
      <c r="H35" s="68"/>
      <c r="I35" s="69"/>
    </row>
    <row r="36" spans="1:9" ht="43.5" hidden="1" customHeight="1" x14ac:dyDescent="0.2">
      <c r="A36" s="67" t="s">
        <v>39</v>
      </c>
      <c r="B36" s="444"/>
      <c r="C36" s="445"/>
      <c r="D36" s="444" t="s">
        <v>457</v>
      </c>
      <c r="E36" s="446"/>
      <c r="F36" s="446"/>
      <c r="G36" s="445"/>
      <c r="H36" s="68"/>
      <c r="I36" s="69"/>
    </row>
    <row r="37" spans="1:9" ht="43.5" hidden="1" customHeight="1" x14ac:dyDescent="0.2">
      <c r="A37" s="67" t="s">
        <v>39</v>
      </c>
      <c r="B37" s="444"/>
      <c r="C37" s="445"/>
      <c r="D37" s="444" t="s">
        <v>458</v>
      </c>
      <c r="E37" s="446"/>
      <c r="F37" s="446"/>
      <c r="G37" s="445"/>
      <c r="H37" s="68"/>
      <c r="I37" s="69"/>
    </row>
    <row r="38" spans="1:9" ht="43.5" hidden="1" customHeight="1" x14ac:dyDescent="0.2">
      <c r="A38" s="67" t="s">
        <v>39</v>
      </c>
      <c r="B38" s="444"/>
      <c r="C38" s="445"/>
      <c r="D38" s="444" t="s">
        <v>459</v>
      </c>
      <c r="E38" s="446"/>
      <c r="F38" s="446"/>
      <c r="G38" s="445"/>
      <c r="H38" s="68"/>
      <c r="I38" s="69"/>
    </row>
    <row r="39" spans="1:9" ht="43.5" hidden="1" customHeight="1" x14ac:dyDescent="0.2">
      <c r="A39" s="67" t="s">
        <v>39</v>
      </c>
      <c r="B39" s="444"/>
      <c r="C39" s="445"/>
      <c r="D39" s="444" t="s">
        <v>460</v>
      </c>
      <c r="E39" s="446"/>
      <c r="F39" s="446"/>
      <c r="G39" s="445"/>
      <c r="H39" s="68"/>
      <c r="I39" s="69"/>
    </row>
    <row r="40" spans="1:9" ht="43.5" hidden="1" customHeight="1" x14ac:dyDescent="0.2">
      <c r="A40" s="67" t="s">
        <v>39</v>
      </c>
      <c r="B40" s="444"/>
      <c r="C40" s="445"/>
      <c r="D40" s="444" t="s">
        <v>461</v>
      </c>
      <c r="E40" s="446"/>
      <c r="F40" s="446"/>
      <c r="G40" s="445"/>
      <c r="H40" s="68"/>
      <c r="I40" s="69"/>
    </row>
    <row r="41" spans="1:9" ht="43.5" hidden="1" customHeight="1" x14ac:dyDescent="0.2">
      <c r="A41" s="67" t="s">
        <v>39</v>
      </c>
      <c r="B41" s="444"/>
      <c r="C41" s="445"/>
      <c r="D41" s="444" t="s">
        <v>462</v>
      </c>
      <c r="E41" s="446"/>
      <c r="F41" s="446"/>
      <c r="G41" s="445"/>
      <c r="H41" s="68"/>
      <c r="I41" s="69"/>
    </row>
    <row r="42" spans="1:9" ht="43.5" hidden="1" customHeight="1" x14ac:dyDescent="0.2">
      <c r="A42" s="67" t="s">
        <v>39</v>
      </c>
      <c r="B42" s="444"/>
      <c r="C42" s="445"/>
      <c r="D42" s="444" t="s">
        <v>463</v>
      </c>
      <c r="E42" s="446"/>
      <c r="F42" s="446"/>
      <c r="G42" s="445"/>
      <c r="H42" s="68"/>
      <c r="I42" s="69"/>
    </row>
    <row r="43" spans="1:9" ht="43.5" hidden="1" customHeight="1" x14ac:dyDescent="0.2">
      <c r="A43" s="72" t="s">
        <v>39</v>
      </c>
      <c r="B43" s="447"/>
      <c r="C43" s="448"/>
      <c r="D43" s="447" t="s">
        <v>464</v>
      </c>
      <c r="E43" s="449"/>
      <c r="F43" s="449"/>
      <c r="G43" s="448"/>
      <c r="H43" s="73"/>
      <c r="I43" s="74"/>
    </row>
    <row r="44" spans="1:9" ht="43.5" customHeight="1" x14ac:dyDescent="0.2">
      <c r="A44" s="11" t="s">
        <v>11</v>
      </c>
      <c r="B44" s="395" t="s">
        <v>43</v>
      </c>
      <c r="C44" s="396"/>
      <c r="D44" s="395"/>
      <c r="E44" s="397"/>
      <c r="F44" s="397"/>
      <c r="G44" s="396"/>
      <c r="H44" s="10"/>
      <c r="I44" s="9">
        <f>I18</f>
        <v>134847.48199999999</v>
      </c>
    </row>
    <row r="45" spans="1:9" ht="60" customHeight="1" x14ac:dyDescent="0.2">
      <c r="A45" s="11" t="s">
        <v>13</v>
      </c>
      <c r="B45" s="392" t="s">
        <v>1075</v>
      </c>
      <c r="C45" s="393"/>
      <c r="D45" s="392" t="s">
        <v>1064</v>
      </c>
      <c r="E45" s="394"/>
      <c r="F45" s="394"/>
      <c r="G45" s="393"/>
      <c r="H45" s="13" t="s">
        <v>1065</v>
      </c>
      <c r="I45" s="12">
        <f>I44*5.94</f>
        <v>800994.04307999997</v>
      </c>
    </row>
    <row r="46" spans="1:9" x14ac:dyDescent="0.2">
      <c r="A46" s="11" t="s">
        <v>15</v>
      </c>
      <c r="B46" s="395" t="s">
        <v>42</v>
      </c>
      <c r="C46" s="396"/>
      <c r="D46" s="395"/>
      <c r="E46" s="397"/>
      <c r="F46" s="397"/>
      <c r="G46" s="396"/>
      <c r="H46" s="10"/>
      <c r="I46" s="9">
        <f>I45</f>
        <v>800994.04307999997</v>
      </c>
    </row>
    <row r="47" spans="1:9" ht="12.75" customHeight="1" x14ac:dyDescent="0.2">
      <c r="D47" s="7"/>
    </row>
    <row r="48" spans="1:9" x14ac:dyDescent="0.2">
      <c r="A48" s="391" t="s">
        <v>0</v>
      </c>
      <c r="B48" s="391"/>
      <c r="C48" s="391"/>
      <c r="D48" s="391"/>
      <c r="E48" s="391"/>
      <c r="F48" s="391"/>
      <c r="G48" s="391"/>
      <c r="H48" s="391"/>
      <c r="I48" s="391"/>
    </row>
    <row r="49" spans="1:9" ht="12.75" customHeight="1" x14ac:dyDescent="0.2">
      <c r="A49" s="391"/>
      <c r="B49" s="391"/>
      <c r="C49" s="391"/>
      <c r="D49" s="391"/>
      <c r="E49" s="391"/>
      <c r="F49" s="391"/>
      <c r="G49" s="391"/>
      <c r="H49" s="391"/>
      <c r="I49" s="391"/>
    </row>
    <row r="50" spans="1:9" x14ac:dyDescent="0.2">
      <c r="D50" s="389" t="s">
        <v>2</v>
      </c>
      <c r="E50" s="390"/>
      <c r="F50" s="390"/>
      <c r="G50" s="390"/>
      <c r="H50" s="390"/>
      <c r="I50" s="390"/>
    </row>
    <row r="51" spans="1:9" ht="12.75" customHeight="1" x14ac:dyDescent="0.2"/>
    <row r="52" spans="1:9" x14ac:dyDescent="0.2">
      <c r="A52" s="391" t="s">
        <v>1</v>
      </c>
      <c r="B52" s="391"/>
      <c r="C52" s="391"/>
      <c r="D52" s="391"/>
      <c r="E52" s="391"/>
      <c r="F52" s="391"/>
      <c r="G52" s="391"/>
      <c r="H52" s="391"/>
      <c r="I52" s="391"/>
    </row>
    <row r="53" spans="1:9" ht="12.75" customHeight="1" x14ac:dyDescent="0.2">
      <c r="A53" s="391"/>
      <c r="B53" s="391"/>
      <c r="C53" s="391"/>
      <c r="D53" s="391"/>
      <c r="E53" s="391"/>
      <c r="F53" s="391"/>
      <c r="G53" s="391"/>
      <c r="H53" s="391"/>
      <c r="I53" s="391"/>
    </row>
    <row r="54" spans="1:9" x14ac:dyDescent="0.2">
      <c r="D54" s="389" t="s">
        <v>2</v>
      </c>
      <c r="E54" s="390"/>
      <c r="F54" s="390"/>
      <c r="G54" s="390"/>
      <c r="H54" s="390"/>
      <c r="I54" s="390"/>
    </row>
    <row r="56" spans="1:9" ht="12.75" customHeight="1" x14ac:dyDescent="0.2">
      <c r="A56" s="391" t="s">
        <v>5</v>
      </c>
      <c r="B56" s="391"/>
      <c r="C56" s="391"/>
      <c r="D56" s="391"/>
      <c r="E56" s="391"/>
      <c r="F56" s="391"/>
      <c r="G56" s="6" t="s">
        <v>7</v>
      </c>
      <c r="H56" s="391"/>
      <c r="I56" s="391"/>
    </row>
    <row r="57" spans="1:9" x14ac:dyDescent="0.2">
      <c r="D57" s="389" t="s">
        <v>40</v>
      </c>
      <c r="E57" s="390"/>
      <c r="F57" s="390"/>
      <c r="H57" s="389" t="s">
        <v>2</v>
      </c>
      <c r="I57" s="390"/>
    </row>
    <row r="59" spans="1:9" ht="12.75" customHeight="1" x14ac:dyDescent="0.2">
      <c r="A59" s="391" t="s">
        <v>3</v>
      </c>
      <c r="B59" s="391"/>
      <c r="C59" s="391"/>
      <c r="D59" s="391"/>
      <c r="E59" s="391"/>
      <c r="F59" s="391"/>
      <c r="G59" s="391"/>
      <c r="H59" s="391"/>
      <c r="I59" s="391"/>
    </row>
    <row r="60" spans="1:9" x14ac:dyDescent="0.2">
      <c r="D60" s="389" t="s">
        <v>6</v>
      </c>
      <c r="E60" s="390"/>
      <c r="F60" s="390"/>
      <c r="G60" s="390"/>
      <c r="H60" s="390"/>
      <c r="I60" s="390"/>
    </row>
  </sheetData>
  <mergeCells count="88">
    <mergeCell ref="D60:I60"/>
    <mergeCell ref="A56:C56"/>
    <mergeCell ref="D56:F56"/>
    <mergeCell ref="H56:I56"/>
    <mergeCell ref="D57:F57"/>
    <mergeCell ref="H57:I57"/>
    <mergeCell ref="A59:C59"/>
    <mergeCell ref="D59:I59"/>
    <mergeCell ref="B42:C42"/>
    <mergeCell ref="D42:G42"/>
    <mergeCell ref="B43:C43"/>
    <mergeCell ref="D43:G43"/>
    <mergeCell ref="D54:I54"/>
    <mergeCell ref="B44:C44"/>
    <mergeCell ref="D44:G44"/>
    <mergeCell ref="B45:C45"/>
    <mergeCell ref="D45:G45"/>
    <mergeCell ref="B46:C46"/>
    <mergeCell ref="D46:G46"/>
    <mergeCell ref="A48:C49"/>
    <mergeCell ref="D48:I49"/>
    <mergeCell ref="D50:I50"/>
    <mergeCell ref="A52:C53"/>
    <mergeCell ref="D52:I53"/>
    <mergeCell ref="B39:C39"/>
    <mergeCell ref="D39:G39"/>
    <mergeCell ref="B40:C40"/>
    <mergeCell ref="D40:G40"/>
    <mergeCell ref="B41:C41"/>
    <mergeCell ref="D41:G41"/>
    <mergeCell ref="B36:C36"/>
    <mergeCell ref="D36:G36"/>
    <mergeCell ref="B37:C37"/>
    <mergeCell ref="D37:G37"/>
    <mergeCell ref="B38:C38"/>
    <mergeCell ref="D38:G38"/>
    <mergeCell ref="B33:C33"/>
    <mergeCell ref="D33:G33"/>
    <mergeCell ref="B34:C34"/>
    <mergeCell ref="D34:G34"/>
    <mergeCell ref="B35:C35"/>
    <mergeCell ref="D35:G35"/>
    <mergeCell ref="B30:C30"/>
    <mergeCell ref="D30:G30"/>
    <mergeCell ref="B31:C31"/>
    <mergeCell ref="D31:G31"/>
    <mergeCell ref="B32:C32"/>
    <mergeCell ref="D32:G32"/>
    <mergeCell ref="B27:C27"/>
    <mergeCell ref="D27:G27"/>
    <mergeCell ref="B28:C28"/>
    <mergeCell ref="D28:G28"/>
    <mergeCell ref="B29:C29"/>
    <mergeCell ref="D29:G29"/>
    <mergeCell ref="B24:C24"/>
    <mergeCell ref="D24:G24"/>
    <mergeCell ref="B25:C25"/>
    <mergeCell ref="D25:G25"/>
    <mergeCell ref="B26:C26"/>
    <mergeCell ref="D26:G26"/>
    <mergeCell ref="B22:C22"/>
    <mergeCell ref="D22:G22"/>
    <mergeCell ref="B23:C23"/>
    <mergeCell ref="D23:G23"/>
    <mergeCell ref="B19:C19"/>
    <mergeCell ref="D19:G19"/>
    <mergeCell ref="B20:C20"/>
    <mergeCell ref="D20:G20"/>
    <mergeCell ref="B21:C21"/>
    <mergeCell ref="D21:G21"/>
    <mergeCell ref="B16:C16"/>
    <mergeCell ref="D16:G16"/>
    <mergeCell ref="B17:C17"/>
    <mergeCell ref="D17:G17"/>
    <mergeCell ref="B18:C18"/>
    <mergeCell ref="D18:G18"/>
    <mergeCell ref="A14:I14"/>
    <mergeCell ref="A1:C1"/>
    <mergeCell ref="D1:I1"/>
    <mergeCell ref="A3:I3"/>
    <mergeCell ref="A4:I4"/>
    <mergeCell ref="A6:B6"/>
    <mergeCell ref="C6:G6"/>
    <mergeCell ref="A8:I8"/>
    <mergeCell ref="A10:C10"/>
    <mergeCell ref="D10:I10"/>
    <mergeCell ref="A12:C12"/>
    <mergeCell ref="D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8C95-56BE-44DF-9959-063D79F418A1}">
  <sheetPr>
    <tabColor rgb="FF92D050"/>
  </sheetPr>
  <dimension ref="A1:L114"/>
  <sheetViews>
    <sheetView view="pageBreakPreview" zoomScale="60" zoomScaleNormal="100" workbookViewId="0">
      <selection activeCell="C56" sqref="C56:G56"/>
    </sheetView>
  </sheetViews>
  <sheetFormatPr defaultColWidth="14.42578125" defaultRowHeight="12.75" x14ac:dyDescent="0.2"/>
  <cols>
    <col min="1" max="1" width="4.28515625" style="182" customWidth="1"/>
    <col min="2" max="2" width="26.7109375" style="182" customWidth="1"/>
    <col min="3" max="3" width="7.140625" style="182" customWidth="1"/>
    <col min="4" max="4" width="7.28515625" style="182" customWidth="1"/>
    <col min="5" max="5" width="27.7109375" style="182" customWidth="1"/>
    <col min="6" max="6" width="15.5703125" style="182" customWidth="1"/>
    <col min="7" max="7" width="12.42578125" style="194" customWidth="1"/>
    <col min="8" max="10" width="11.5703125" style="182" customWidth="1"/>
    <col min="11" max="11" width="24.42578125" style="182" customWidth="1"/>
    <col min="12" max="12" width="11.5703125" style="182" customWidth="1"/>
    <col min="13" max="256" width="14.42578125" style="182"/>
    <col min="257" max="257" width="4.28515625" style="182" customWidth="1"/>
    <col min="258" max="258" width="26.7109375" style="182" customWidth="1"/>
    <col min="259" max="259" width="7.140625" style="182" customWidth="1"/>
    <col min="260" max="260" width="7.28515625" style="182" customWidth="1"/>
    <col min="261" max="261" width="27.7109375" style="182" customWidth="1"/>
    <col min="262" max="262" width="15.5703125" style="182" customWidth="1"/>
    <col min="263" max="263" width="12.42578125" style="182" customWidth="1"/>
    <col min="264" max="266" width="11.5703125" style="182" customWidth="1"/>
    <col min="267" max="267" width="24.42578125" style="182" customWidth="1"/>
    <col min="268" max="268" width="11.5703125" style="182" customWidth="1"/>
    <col min="269" max="512" width="14.42578125" style="182"/>
    <col min="513" max="513" width="4.28515625" style="182" customWidth="1"/>
    <col min="514" max="514" width="26.7109375" style="182" customWidth="1"/>
    <col min="515" max="515" width="7.140625" style="182" customWidth="1"/>
    <col min="516" max="516" width="7.28515625" style="182" customWidth="1"/>
    <col min="517" max="517" width="27.7109375" style="182" customWidth="1"/>
    <col min="518" max="518" width="15.5703125" style="182" customWidth="1"/>
    <col min="519" max="519" width="12.42578125" style="182" customWidth="1"/>
    <col min="520" max="522" width="11.5703125" style="182" customWidth="1"/>
    <col min="523" max="523" width="24.42578125" style="182" customWidth="1"/>
    <col min="524" max="524" width="11.5703125" style="182" customWidth="1"/>
    <col min="525" max="768" width="14.42578125" style="182"/>
    <col min="769" max="769" width="4.28515625" style="182" customWidth="1"/>
    <col min="770" max="770" width="26.7109375" style="182" customWidth="1"/>
    <col min="771" max="771" width="7.140625" style="182" customWidth="1"/>
    <col min="772" max="772" width="7.28515625" style="182" customWidth="1"/>
    <col min="773" max="773" width="27.7109375" style="182" customWidth="1"/>
    <col min="774" max="774" width="15.5703125" style="182" customWidth="1"/>
    <col min="775" max="775" width="12.42578125" style="182" customWidth="1"/>
    <col min="776" max="778" width="11.5703125" style="182" customWidth="1"/>
    <col min="779" max="779" width="24.42578125" style="182" customWidth="1"/>
    <col min="780" max="780" width="11.5703125" style="182" customWidth="1"/>
    <col min="781" max="1024" width="14.42578125" style="182"/>
    <col min="1025" max="1025" width="4.28515625" style="182" customWidth="1"/>
    <col min="1026" max="1026" width="26.7109375" style="182" customWidth="1"/>
    <col min="1027" max="1027" width="7.140625" style="182" customWidth="1"/>
    <col min="1028" max="1028" width="7.28515625" style="182" customWidth="1"/>
    <col min="1029" max="1029" width="27.7109375" style="182" customWidth="1"/>
    <col min="1030" max="1030" width="15.5703125" style="182" customWidth="1"/>
    <col min="1031" max="1031" width="12.42578125" style="182" customWidth="1"/>
    <col min="1032" max="1034" width="11.5703125" style="182" customWidth="1"/>
    <col min="1035" max="1035" width="24.42578125" style="182" customWidth="1"/>
    <col min="1036" max="1036" width="11.5703125" style="182" customWidth="1"/>
    <col min="1037" max="1280" width="14.42578125" style="182"/>
    <col min="1281" max="1281" width="4.28515625" style="182" customWidth="1"/>
    <col min="1282" max="1282" width="26.7109375" style="182" customWidth="1"/>
    <col min="1283" max="1283" width="7.140625" style="182" customWidth="1"/>
    <col min="1284" max="1284" width="7.28515625" style="182" customWidth="1"/>
    <col min="1285" max="1285" width="27.7109375" style="182" customWidth="1"/>
    <col min="1286" max="1286" width="15.5703125" style="182" customWidth="1"/>
    <col min="1287" max="1287" width="12.42578125" style="182" customWidth="1"/>
    <col min="1288" max="1290" width="11.5703125" style="182" customWidth="1"/>
    <col min="1291" max="1291" width="24.42578125" style="182" customWidth="1"/>
    <col min="1292" max="1292" width="11.5703125" style="182" customWidth="1"/>
    <col min="1293" max="1536" width="14.42578125" style="182"/>
    <col min="1537" max="1537" width="4.28515625" style="182" customWidth="1"/>
    <col min="1538" max="1538" width="26.7109375" style="182" customWidth="1"/>
    <col min="1539" max="1539" width="7.140625" style="182" customWidth="1"/>
    <col min="1540" max="1540" width="7.28515625" style="182" customWidth="1"/>
    <col min="1541" max="1541" width="27.7109375" style="182" customWidth="1"/>
    <col min="1542" max="1542" width="15.5703125" style="182" customWidth="1"/>
    <col min="1543" max="1543" width="12.42578125" style="182" customWidth="1"/>
    <col min="1544" max="1546" width="11.5703125" style="182" customWidth="1"/>
    <col min="1547" max="1547" width="24.42578125" style="182" customWidth="1"/>
    <col min="1548" max="1548" width="11.5703125" style="182" customWidth="1"/>
    <col min="1549" max="1792" width="14.42578125" style="182"/>
    <col min="1793" max="1793" width="4.28515625" style="182" customWidth="1"/>
    <col min="1794" max="1794" width="26.7109375" style="182" customWidth="1"/>
    <col min="1795" max="1795" width="7.140625" style="182" customWidth="1"/>
    <col min="1796" max="1796" width="7.28515625" style="182" customWidth="1"/>
    <col min="1797" max="1797" width="27.7109375" style="182" customWidth="1"/>
    <col min="1798" max="1798" width="15.5703125" style="182" customWidth="1"/>
    <col min="1799" max="1799" width="12.42578125" style="182" customWidth="1"/>
    <col min="1800" max="1802" width="11.5703125" style="182" customWidth="1"/>
    <col min="1803" max="1803" width="24.42578125" style="182" customWidth="1"/>
    <col min="1804" max="1804" width="11.5703125" style="182" customWidth="1"/>
    <col min="1805" max="2048" width="14.42578125" style="182"/>
    <col min="2049" max="2049" width="4.28515625" style="182" customWidth="1"/>
    <col min="2050" max="2050" width="26.7109375" style="182" customWidth="1"/>
    <col min="2051" max="2051" width="7.140625" style="182" customWidth="1"/>
    <col min="2052" max="2052" width="7.28515625" style="182" customWidth="1"/>
    <col min="2053" max="2053" width="27.7109375" style="182" customWidth="1"/>
    <col min="2054" max="2054" width="15.5703125" style="182" customWidth="1"/>
    <col min="2055" max="2055" width="12.42578125" style="182" customWidth="1"/>
    <col min="2056" max="2058" width="11.5703125" style="182" customWidth="1"/>
    <col min="2059" max="2059" width="24.42578125" style="182" customWidth="1"/>
    <col min="2060" max="2060" width="11.5703125" style="182" customWidth="1"/>
    <col min="2061" max="2304" width="14.42578125" style="182"/>
    <col min="2305" max="2305" width="4.28515625" style="182" customWidth="1"/>
    <col min="2306" max="2306" width="26.7109375" style="182" customWidth="1"/>
    <col min="2307" max="2307" width="7.140625" style="182" customWidth="1"/>
    <col min="2308" max="2308" width="7.28515625" style="182" customWidth="1"/>
    <col min="2309" max="2309" width="27.7109375" style="182" customWidth="1"/>
    <col min="2310" max="2310" width="15.5703125" style="182" customWidth="1"/>
    <col min="2311" max="2311" width="12.42578125" style="182" customWidth="1"/>
    <col min="2312" max="2314" width="11.5703125" style="182" customWidth="1"/>
    <col min="2315" max="2315" width="24.42578125" style="182" customWidth="1"/>
    <col min="2316" max="2316" width="11.5703125" style="182" customWidth="1"/>
    <col min="2317" max="2560" width="14.42578125" style="182"/>
    <col min="2561" max="2561" width="4.28515625" style="182" customWidth="1"/>
    <col min="2562" max="2562" width="26.7109375" style="182" customWidth="1"/>
    <col min="2563" max="2563" width="7.140625" style="182" customWidth="1"/>
    <col min="2564" max="2564" width="7.28515625" style="182" customWidth="1"/>
    <col min="2565" max="2565" width="27.7109375" style="182" customWidth="1"/>
    <col min="2566" max="2566" width="15.5703125" style="182" customWidth="1"/>
    <col min="2567" max="2567" width="12.42578125" style="182" customWidth="1"/>
    <col min="2568" max="2570" width="11.5703125" style="182" customWidth="1"/>
    <col min="2571" max="2571" width="24.42578125" style="182" customWidth="1"/>
    <col min="2572" max="2572" width="11.5703125" style="182" customWidth="1"/>
    <col min="2573" max="2816" width="14.42578125" style="182"/>
    <col min="2817" max="2817" width="4.28515625" style="182" customWidth="1"/>
    <col min="2818" max="2818" width="26.7109375" style="182" customWidth="1"/>
    <col min="2819" max="2819" width="7.140625" style="182" customWidth="1"/>
    <col min="2820" max="2820" width="7.28515625" style="182" customWidth="1"/>
    <col min="2821" max="2821" width="27.7109375" style="182" customWidth="1"/>
    <col min="2822" max="2822" width="15.5703125" style="182" customWidth="1"/>
    <col min="2823" max="2823" width="12.42578125" style="182" customWidth="1"/>
    <col min="2824" max="2826" width="11.5703125" style="182" customWidth="1"/>
    <col min="2827" max="2827" width="24.42578125" style="182" customWidth="1"/>
    <col min="2828" max="2828" width="11.5703125" style="182" customWidth="1"/>
    <col min="2829" max="3072" width="14.42578125" style="182"/>
    <col min="3073" max="3073" width="4.28515625" style="182" customWidth="1"/>
    <col min="3074" max="3074" width="26.7109375" style="182" customWidth="1"/>
    <col min="3075" max="3075" width="7.140625" style="182" customWidth="1"/>
    <col min="3076" max="3076" width="7.28515625" style="182" customWidth="1"/>
    <col min="3077" max="3077" width="27.7109375" style="182" customWidth="1"/>
    <col min="3078" max="3078" width="15.5703125" style="182" customWidth="1"/>
    <col min="3079" max="3079" width="12.42578125" style="182" customWidth="1"/>
    <col min="3080" max="3082" width="11.5703125" style="182" customWidth="1"/>
    <col min="3083" max="3083" width="24.42578125" style="182" customWidth="1"/>
    <col min="3084" max="3084" width="11.5703125" style="182" customWidth="1"/>
    <col min="3085" max="3328" width="14.42578125" style="182"/>
    <col min="3329" max="3329" width="4.28515625" style="182" customWidth="1"/>
    <col min="3330" max="3330" width="26.7109375" style="182" customWidth="1"/>
    <col min="3331" max="3331" width="7.140625" style="182" customWidth="1"/>
    <col min="3332" max="3332" width="7.28515625" style="182" customWidth="1"/>
    <col min="3333" max="3333" width="27.7109375" style="182" customWidth="1"/>
    <col min="3334" max="3334" width="15.5703125" style="182" customWidth="1"/>
    <col min="3335" max="3335" width="12.42578125" style="182" customWidth="1"/>
    <col min="3336" max="3338" width="11.5703125" style="182" customWidth="1"/>
    <col min="3339" max="3339" width="24.42578125" style="182" customWidth="1"/>
    <col min="3340" max="3340" width="11.5703125" style="182" customWidth="1"/>
    <col min="3341" max="3584" width="14.42578125" style="182"/>
    <col min="3585" max="3585" width="4.28515625" style="182" customWidth="1"/>
    <col min="3586" max="3586" width="26.7109375" style="182" customWidth="1"/>
    <col min="3587" max="3587" width="7.140625" style="182" customWidth="1"/>
    <col min="3588" max="3588" width="7.28515625" style="182" customWidth="1"/>
    <col min="3589" max="3589" width="27.7109375" style="182" customWidth="1"/>
    <col min="3590" max="3590" width="15.5703125" style="182" customWidth="1"/>
    <col min="3591" max="3591" width="12.42578125" style="182" customWidth="1"/>
    <col min="3592" max="3594" width="11.5703125" style="182" customWidth="1"/>
    <col min="3595" max="3595" width="24.42578125" style="182" customWidth="1"/>
    <col min="3596" max="3596" width="11.5703125" style="182" customWidth="1"/>
    <col min="3597" max="3840" width="14.42578125" style="182"/>
    <col min="3841" max="3841" width="4.28515625" style="182" customWidth="1"/>
    <col min="3842" max="3842" width="26.7109375" style="182" customWidth="1"/>
    <col min="3843" max="3843" width="7.140625" style="182" customWidth="1"/>
    <col min="3844" max="3844" width="7.28515625" style="182" customWidth="1"/>
    <col min="3845" max="3845" width="27.7109375" style="182" customWidth="1"/>
    <col min="3846" max="3846" width="15.5703125" style="182" customWidth="1"/>
    <col min="3847" max="3847" width="12.42578125" style="182" customWidth="1"/>
    <col min="3848" max="3850" width="11.5703125" style="182" customWidth="1"/>
    <col min="3851" max="3851" width="24.42578125" style="182" customWidth="1"/>
    <col min="3852" max="3852" width="11.5703125" style="182" customWidth="1"/>
    <col min="3853" max="4096" width="14.42578125" style="182"/>
    <col min="4097" max="4097" width="4.28515625" style="182" customWidth="1"/>
    <col min="4098" max="4098" width="26.7109375" style="182" customWidth="1"/>
    <col min="4099" max="4099" width="7.140625" style="182" customWidth="1"/>
    <col min="4100" max="4100" width="7.28515625" style="182" customWidth="1"/>
    <col min="4101" max="4101" width="27.7109375" style="182" customWidth="1"/>
    <col min="4102" max="4102" width="15.5703125" style="182" customWidth="1"/>
    <col min="4103" max="4103" width="12.42578125" style="182" customWidth="1"/>
    <col min="4104" max="4106" width="11.5703125" style="182" customWidth="1"/>
    <col min="4107" max="4107" width="24.42578125" style="182" customWidth="1"/>
    <col min="4108" max="4108" width="11.5703125" style="182" customWidth="1"/>
    <col min="4109" max="4352" width="14.42578125" style="182"/>
    <col min="4353" max="4353" width="4.28515625" style="182" customWidth="1"/>
    <col min="4354" max="4354" width="26.7109375" style="182" customWidth="1"/>
    <col min="4355" max="4355" width="7.140625" style="182" customWidth="1"/>
    <col min="4356" max="4356" width="7.28515625" style="182" customWidth="1"/>
    <col min="4357" max="4357" width="27.7109375" style="182" customWidth="1"/>
    <col min="4358" max="4358" width="15.5703125" style="182" customWidth="1"/>
    <col min="4359" max="4359" width="12.42578125" style="182" customWidth="1"/>
    <col min="4360" max="4362" width="11.5703125" style="182" customWidth="1"/>
    <col min="4363" max="4363" width="24.42578125" style="182" customWidth="1"/>
    <col min="4364" max="4364" width="11.5703125" style="182" customWidth="1"/>
    <col min="4365" max="4608" width="14.42578125" style="182"/>
    <col min="4609" max="4609" width="4.28515625" style="182" customWidth="1"/>
    <col min="4610" max="4610" width="26.7109375" style="182" customWidth="1"/>
    <col min="4611" max="4611" width="7.140625" style="182" customWidth="1"/>
    <col min="4612" max="4612" width="7.28515625" style="182" customWidth="1"/>
    <col min="4613" max="4613" width="27.7109375" style="182" customWidth="1"/>
    <col min="4614" max="4614" width="15.5703125" style="182" customWidth="1"/>
    <col min="4615" max="4615" width="12.42578125" style="182" customWidth="1"/>
    <col min="4616" max="4618" width="11.5703125" style="182" customWidth="1"/>
    <col min="4619" max="4619" width="24.42578125" style="182" customWidth="1"/>
    <col min="4620" max="4620" width="11.5703125" style="182" customWidth="1"/>
    <col min="4621" max="4864" width="14.42578125" style="182"/>
    <col min="4865" max="4865" width="4.28515625" style="182" customWidth="1"/>
    <col min="4866" max="4866" width="26.7109375" style="182" customWidth="1"/>
    <col min="4867" max="4867" width="7.140625" style="182" customWidth="1"/>
    <col min="4868" max="4868" width="7.28515625" style="182" customWidth="1"/>
    <col min="4869" max="4869" width="27.7109375" style="182" customWidth="1"/>
    <col min="4870" max="4870" width="15.5703125" style="182" customWidth="1"/>
    <col min="4871" max="4871" width="12.42578125" style="182" customWidth="1"/>
    <col min="4872" max="4874" width="11.5703125" style="182" customWidth="1"/>
    <col min="4875" max="4875" width="24.42578125" style="182" customWidth="1"/>
    <col min="4876" max="4876" width="11.5703125" style="182" customWidth="1"/>
    <col min="4877" max="5120" width="14.42578125" style="182"/>
    <col min="5121" max="5121" width="4.28515625" style="182" customWidth="1"/>
    <col min="5122" max="5122" width="26.7109375" style="182" customWidth="1"/>
    <col min="5123" max="5123" width="7.140625" style="182" customWidth="1"/>
    <col min="5124" max="5124" width="7.28515625" style="182" customWidth="1"/>
    <col min="5125" max="5125" width="27.7109375" style="182" customWidth="1"/>
    <col min="5126" max="5126" width="15.5703125" style="182" customWidth="1"/>
    <col min="5127" max="5127" width="12.42578125" style="182" customWidth="1"/>
    <col min="5128" max="5130" width="11.5703125" style="182" customWidth="1"/>
    <col min="5131" max="5131" width="24.42578125" style="182" customWidth="1"/>
    <col min="5132" max="5132" width="11.5703125" style="182" customWidth="1"/>
    <col min="5133" max="5376" width="14.42578125" style="182"/>
    <col min="5377" max="5377" width="4.28515625" style="182" customWidth="1"/>
    <col min="5378" max="5378" width="26.7109375" style="182" customWidth="1"/>
    <col min="5379" max="5379" width="7.140625" style="182" customWidth="1"/>
    <col min="5380" max="5380" width="7.28515625" style="182" customWidth="1"/>
    <col min="5381" max="5381" width="27.7109375" style="182" customWidth="1"/>
    <col min="5382" max="5382" width="15.5703125" style="182" customWidth="1"/>
    <col min="5383" max="5383" width="12.42578125" style="182" customWidth="1"/>
    <col min="5384" max="5386" width="11.5703125" style="182" customWidth="1"/>
    <col min="5387" max="5387" width="24.42578125" style="182" customWidth="1"/>
    <col min="5388" max="5388" width="11.5703125" style="182" customWidth="1"/>
    <col min="5389" max="5632" width="14.42578125" style="182"/>
    <col min="5633" max="5633" width="4.28515625" style="182" customWidth="1"/>
    <col min="5634" max="5634" width="26.7109375" style="182" customWidth="1"/>
    <col min="5635" max="5635" width="7.140625" style="182" customWidth="1"/>
    <col min="5636" max="5636" width="7.28515625" style="182" customWidth="1"/>
    <col min="5637" max="5637" width="27.7109375" style="182" customWidth="1"/>
    <col min="5638" max="5638" width="15.5703125" style="182" customWidth="1"/>
    <col min="5639" max="5639" width="12.42578125" style="182" customWidth="1"/>
    <col min="5640" max="5642" width="11.5703125" style="182" customWidth="1"/>
    <col min="5643" max="5643" width="24.42578125" style="182" customWidth="1"/>
    <col min="5644" max="5644" width="11.5703125" style="182" customWidth="1"/>
    <col min="5645" max="5888" width="14.42578125" style="182"/>
    <col min="5889" max="5889" width="4.28515625" style="182" customWidth="1"/>
    <col min="5890" max="5890" width="26.7109375" style="182" customWidth="1"/>
    <col min="5891" max="5891" width="7.140625" style="182" customWidth="1"/>
    <col min="5892" max="5892" width="7.28515625" style="182" customWidth="1"/>
    <col min="5893" max="5893" width="27.7109375" style="182" customWidth="1"/>
    <col min="5894" max="5894" width="15.5703125" style="182" customWidth="1"/>
    <col min="5895" max="5895" width="12.42578125" style="182" customWidth="1"/>
    <col min="5896" max="5898" width="11.5703125" style="182" customWidth="1"/>
    <col min="5899" max="5899" width="24.42578125" style="182" customWidth="1"/>
    <col min="5900" max="5900" width="11.5703125" style="182" customWidth="1"/>
    <col min="5901" max="6144" width="14.42578125" style="182"/>
    <col min="6145" max="6145" width="4.28515625" style="182" customWidth="1"/>
    <col min="6146" max="6146" width="26.7109375" style="182" customWidth="1"/>
    <col min="6147" max="6147" width="7.140625" style="182" customWidth="1"/>
    <col min="6148" max="6148" width="7.28515625" style="182" customWidth="1"/>
    <col min="6149" max="6149" width="27.7109375" style="182" customWidth="1"/>
    <col min="6150" max="6150" width="15.5703125" style="182" customWidth="1"/>
    <col min="6151" max="6151" width="12.42578125" style="182" customWidth="1"/>
    <col min="6152" max="6154" width="11.5703125" style="182" customWidth="1"/>
    <col min="6155" max="6155" width="24.42578125" style="182" customWidth="1"/>
    <col min="6156" max="6156" width="11.5703125" style="182" customWidth="1"/>
    <col min="6157" max="6400" width="14.42578125" style="182"/>
    <col min="6401" max="6401" width="4.28515625" style="182" customWidth="1"/>
    <col min="6402" max="6402" width="26.7109375" style="182" customWidth="1"/>
    <col min="6403" max="6403" width="7.140625" style="182" customWidth="1"/>
    <col min="6404" max="6404" width="7.28515625" style="182" customWidth="1"/>
    <col min="6405" max="6405" width="27.7109375" style="182" customWidth="1"/>
    <col min="6406" max="6406" width="15.5703125" style="182" customWidth="1"/>
    <col min="6407" max="6407" width="12.42578125" style="182" customWidth="1"/>
    <col min="6408" max="6410" width="11.5703125" style="182" customWidth="1"/>
    <col min="6411" max="6411" width="24.42578125" style="182" customWidth="1"/>
    <col min="6412" max="6412" width="11.5703125" style="182" customWidth="1"/>
    <col min="6413" max="6656" width="14.42578125" style="182"/>
    <col min="6657" max="6657" width="4.28515625" style="182" customWidth="1"/>
    <col min="6658" max="6658" width="26.7109375" style="182" customWidth="1"/>
    <col min="6659" max="6659" width="7.140625" style="182" customWidth="1"/>
    <col min="6660" max="6660" width="7.28515625" style="182" customWidth="1"/>
    <col min="6661" max="6661" width="27.7109375" style="182" customWidth="1"/>
    <col min="6662" max="6662" width="15.5703125" style="182" customWidth="1"/>
    <col min="6663" max="6663" width="12.42578125" style="182" customWidth="1"/>
    <col min="6664" max="6666" width="11.5703125" style="182" customWidth="1"/>
    <col min="6667" max="6667" width="24.42578125" style="182" customWidth="1"/>
    <col min="6668" max="6668" width="11.5703125" style="182" customWidth="1"/>
    <col min="6669" max="6912" width="14.42578125" style="182"/>
    <col min="6913" max="6913" width="4.28515625" style="182" customWidth="1"/>
    <col min="6914" max="6914" width="26.7109375" style="182" customWidth="1"/>
    <col min="6915" max="6915" width="7.140625" style="182" customWidth="1"/>
    <col min="6916" max="6916" width="7.28515625" style="182" customWidth="1"/>
    <col min="6917" max="6917" width="27.7109375" style="182" customWidth="1"/>
    <col min="6918" max="6918" width="15.5703125" style="182" customWidth="1"/>
    <col min="6919" max="6919" width="12.42578125" style="182" customWidth="1"/>
    <col min="6920" max="6922" width="11.5703125" style="182" customWidth="1"/>
    <col min="6923" max="6923" width="24.42578125" style="182" customWidth="1"/>
    <col min="6924" max="6924" width="11.5703125" style="182" customWidth="1"/>
    <col min="6925" max="7168" width="14.42578125" style="182"/>
    <col min="7169" max="7169" width="4.28515625" style="182" customWidth="1"/>
    <col min="7170" max="7170" width="26.7109375" style="182" customWidth="1"/>
    <col min="7171" max="7171" width="7.140625" style="182" customWidth="1"/>
    <col min="7172" max="7172" width="7.28515625" style="182" customWidth="1"/>
    <col min="7173" max="7173" width="27.7109375" style="182" customWidth="1"/>
    <col min="7174" max="7174" width="15.5703125" style="182" customWidth="1"/>
    <col min="7175" max="7175" width="12.42578125" style="182" customWidth="1"/>
    <col min="7176" max="7178" width="11.5703125" style="182" customWidth="1"/>
    <col min="7179" max="7179" width="24.42578125" style="182" customWidth="1"/>
    <col min="7180" max="7180" width="11.5703125" style="182" customWidth="1"/>
    <col min="7181" max="7424" width="14.42578125" style="182"/>
    <col min="7425" max="7425" width="4.28515625" style="182" customWidth="1"/>
    <col min="7426" max="7426" width="26.7109375" style="182" customWidth="1"/>
    <col min="7427" max="7427" width="7.140625" style="182" customWidth="1"/>
    <col min="7428" max="7428" width="7.28515625" style="182" customWidth="1"/>
    <col min="7429" max="7429" width="27.7109375" style="182" customWidth="1"/>
    <col min="7430" max="7430" width="15.5703125" style="182" customWidth="1"/>
    <col min="7431" max="7431" width="12.42578125" style="182" customWidth="1"/>
    <col min="7432" max="7434" width="11.5703125" style="182" customWidth="1"/>
    <col min="7435" max="7435" width="24.42578125" style="182" customWidth="1"/>
    <col min="7436" max="7436" width="11.5703125" style="182" customWidth="1"/>
    <col min="7437" max="7680" width="14.42578125" style="182"/>
    <col min="7681" max="7681" width="4.28515625" style="182" customWidth="1"/>
    <col min="7682" max="7682" width="26.7109375" style="182" customWidth="1"/>
    <col min="7683" max="7683" width="7.140625" style="182" customWidth="1"/>
    <col min="7684" max="7684" width="7.28515625" style="182" customWidth="1"/>
    <col min="7685" max="7685" width="27.7109375" style="182" customWidth="1"/>
    <col min="7686" max="7686" width="15.5703125" style="182" customWidth="1"/>
    <col min="7687" max="7687" width="12.42578125" style="182" customWidth="1"/>
    <col min="7688" max="7690" width="11.5703125" style="182" customWidth="1"/>
    <col min="7691" max="7691" width="24.42578125" style="182" customWidth="1"/>
    <col min="7692" max="7692" width="11.5703125" style="182" customWidth="1"/>
    <col min="7693" max="7936" width="14.42578125" style="182"/>
    <col min="7937" max="7937" width="4.28515625" style="182" customWidth="1"/>
    <col min="7938" max="7938" width="26.7109375" style="182" customWidth="1"/>
    <col min="7939" max="7939" width="7.140625" style="182" customWidth="1"/>
    <col min="7940" max="7940" width="7.28515625" style="182" customWidth="1"/>
    <col min="7941" max="7941" width="27.7109375" style="182" customWidth="1"/>
    <col min="7942" max="7942" width="15.5703125" style="182" customWidth="1"/>
    <col min="7943" max="7943" width="12.42578125" style="182" customWidth="1"/>
    <col min="7944" max="7946" width="11.5703125" style="182" customWidth="1"/>
    <col min="7947" max="7947" width="24.42578125" style="182" customWidth="1"/>
    <col min="7948" max="7948" width="11.5703125" style="182" customWidth="1"/>
    <col min="7949" max="8192" width="14.42578125" style="182"/>
    <col min="8193" max="8193" width="4.28515625" style="182" customWidth="1"/>
    <col min="8194" max="8194" width="26.7109375" style="182" customWidth="1"/>
    <col min="8195" max="8195" width="7.140625" style="182" customWidth="1"/>
    <col min="8196" max="8196" width="7.28515625" style="182" customWidth="1"/>
    <col min="8197" max="8197" width="27.7109375" style="182" customWidth="1"/>
    <col min="8198" max="8198" width="15.5703125" style="182" customWidth="1"/>
    <col min="8199" max="8199" width="12.42578125" style="182" customWidth="1"/>
    <col min="8200" max="8202" width="11.5703125" style="182" customWidth="1"/>
    <col min="8203" max="8203" width="24.42578125" style="182" customWidth="1"/>
    <col min="8204" max="8204" width="11.5703125" style="182" customWidth="1"/>
    <col min="8205" max="8448" width="14.42578125" style="182"/>
    <col min="8449" max="8449" width="4.28515625" style="182" customWidth="1"/>
    <col min="8450" max="8450" width="26.7109375" style="182" customWidth="1"/>
    <col min="8451" max="8451" width="7.140625" style="182" customWidth="1"/>
    <col min="8452" max="8452" width="7.28515625" style="182" customWidth="1"/>
    <col min="8453" max="8453" width="27.7109375" style="182" customWidth="1"/>
    <col min="8454" max="8454" width="15.5703125" style="182" customWidth="1"/>
    <col min="8455" max="8455" width="12.42578125" style="182" customWidth="1"/>
    <col min="8456" max="8458" width="11.5703125" style="182" customWidth="1"/>
    <col min="8459" max="8459" width="24.42578125" style="182" customWidth="1"/>
    <col min="8460" max="8460" width="11.5703125" style="182" customWidth="1"/>
    <col min="8461" max="8704" width="14.42578125" style="182"/>
    <col min="8705" max="8705" width="4.28515625" style="182" customWidth="1"/>
    <col min="8706" max="8706" width="26.7109375" style="182" customWidth="1"/>
    <col min="8707" max="8707" width="7.140625" style="182" customWidth="1"/>
    <col min="8708" max="8708" width="7.28515625" style="182" customWidth="1"/>
    <col min="8709" max="8709" width="27.7109375" style="182" customWidth="1"/>
    <col min="8710" max="8710" width="15.5703125" style="182" customWidth="1"/>
    <col min="8711" max="8711" width="12.42578125" style="182" customWidth="1"/>
    <col min="8712" max="8714" width="11.5703125" style="182" customWidth="1"/>
    <col min="8715" max="8715" width="24.42578125" style="182" customWidth="1"/>
    <col min="8716" max="8716" width="11.5703125" style="182" customWidth="1"/>
    <col min="8717" max="8960" width="14.42578125" style="182"/>
    <col min="8961" max="8961" width="4.28515625" style="182" customWidth="1"/>
    <col min="8962" max="8962" width="26.7109375" style="182" customWidth="1"/>
    <col min="8963" max="8963" width="7.140625" style="182" customWidth="1"/>
    <col min="8964" max="8964" width="7.28515625" style="182" customWidth="1"/>
    <col min="8965" max="8965" width="27.7109375" style="182" customWidth="1"/>
    <col min="8966" max="8966" width="15.5703125" style="182" customWidth="1"/>
    <col min="8967" max="8967" width="12.42578125" style="182" customWidth="1"/>
    <col min="8968" max="8970" width="11.5703125" style="182" customWidth="1"/>
    <col min="8971" max="8971" width="24.42578125" style="182" customWidth="1"/>
    <col min="8972" max="8972" width="11.5703125" style="182" customWidth="1"/>
    <col min="8973" max="9216" width="14.42578125" style="182"/>
    <col min="9217" max="9217" width="4.28515625" style="182" customWidth="1"/>
    <col min="9218" max="9218" width="26.7109375" style="182" customWidth="1"/>
    <col min="9219" max="9219" width="7.140625" style="182" customWidth="1"/>
    <col min="9220" max="9220" width="7.28515625" style="182" customWidth="1"/>
    <col min="9221" max="9221" width="27.7109375" style="182" customWidth="1"/>
    <col min="9222" max="9222" width="15.5703125" style="182" customWidth="1"/>
    <col min="9223" max="9223" width="12.42578125" style="182" customWidth="1"/>
    <col min="9224" max="9226" width="11.5703125" style="182" customWidth="1"/>
    <col min="9227" max="9227" width="24.42578125" style="182" customWidth="1"/>
    <col min="9228" max="9228" width="11.5703125" style="182" customWidth="1"/>
    <col min="9229" max="9472" width="14.42578125" style="182"/>
    <col min="9473" max="9473" width="4.28515625" style="182" customWidth="1"/>
    <col min="9474" max="9474" width="26.7109375" style="182" customWidth="1"/>
    <col min="9475" max="9475" width="7.140625" style="182" customWidth="1"/>
    <col min="9476" max="9476" width="7.28515625" style="182" customWidth="1"/>
    <col min="9477" max="9477" width="27.7109375" style="182" customWidth="1"/>
    <col min="9478" max="9478" width="15.5703125" style="182" customWidth="1"/>
    <col min="9479" max="9479" width="12.42578125" style="182" customWidth="1"/>
    <col min="9480" max="9482" width="11.5703125" style="182" customWidth="1"/>
    <col min="9483" max="9483" width="24.42578125" style="182" customWidth="1"/>
    <col min="9484" max="9484" width="11.5703125" style="182" customWidth="1"/>
    <col min="9485" max="9728" width="14.42578125" style="182"/>
    <col min="9729" max="9729" width="4.28515625" style="182" customWidth="1"/>
    <col min="9730" max="9730" width="26.7109375" style="182" customWidth="1"/>
    <col min="9731" max="9731" width="7.140625" style="182" customWidth="1"/>
    <col min="9732" max="9732" width="7.28515625" style="182" customWidth="1"/>
    <col min="9733" max="9733" width="27.7109375" style="182" customWidth="1"/>
    <col min="9734" max="9734" width="15.5703125" style="182" customWidth="1"/>
    <col min="9735" max="9735" width="12.42578125" style="182" customWidth="1"/>
    <col min="9736" max="9738" width="11.5703125" style="182" customWidth="1"/>
    <col min="9739" max="9739" width="24.42578125" style="182" customWidth="1"/>
    <col min="9740" max="9740" width="11.5703125" style="182" customWidth="1"/>
    <col min="9741" max="9984" width="14.42578125" style="182"/>
    <col min="9985" max="9985" width="4.28515625" style="182" customWidth="1"/>
    <col min="9986" max="9986" width="26.7109375" style="182" customWidth="1"/>
    <col min="9987" max="9987" width="7.140625" style="182" customWidth="1"/>
    <col min="9988" max="9988" width="7.28515625" style="182" customWidth="1"/>
    <col min="9989" max="9989" width="27.7109375" style="182" customWidth="1"/>
    <col min="9990" max="9990" width="15.5703125" style="182" customWidth="1"/>
    <col min="9991" max="9991" width="12.42578125" style="182" customWidth="1"/>
    <col min="9992" max="9994" width="11.5703125" style="182" customWidth="1"/>
    <col min="9995" max="9995" width="24.42578125" style="182" customWidth="1"/>
    <col min="9996" max="9996" width="11.5703125" style="182" customWidth="1"/>
    <col min="9997" max="10240" width="14.42578125" style="182"/>
    <col min="10241" max="10241" width="4.28515625" style="182" customWidth="1"/>
    <col min="10242" max="10242" width="26.7109375" style="182" customWidth="1"/>
    <col min="10243" max="10243" width="7.140625" style="182" customWidth="1"/>
    <col min="10244" max="10244" width="7.28515625" style="182" customWidth="1"/>
    <col min="10245" max="10245" width="27.7109375" style="182" customWidth="1"/>
    <col min="10246" max="10246" width="15.5703125" style="182" customWidth="1"/>
    <col min="10247" max="10247" width="12.42578125" style="182" customWidth="1"/>
    <col min="10248" max="10250" width="11.5703125" style="182" customWidth="1"/>
    <col min="10251" max="10251" width="24.42578125" style="182" customWidth="1"/>
    <col min="10252" max="10252" width="11.5703125" style="182" customWidth="1"/>
    <col min="10253" max="10496" width="14.42578125" style="182"/>
    <col min="10497" max="10497" width="4.28515625" style="182" customWidth="1"/>
    <col min="10498" max="10498" width="26.7109375" style="182" customWidth="1"/>
    <col min="10499" max="10499" width="7.140625" style="182" customWidth="1"/>
    <col min="10500" max="10500" width="7.28515625" style="182" customWidth="1"/>
    <col min="10501" max="10501" width="27.7109375" style="182" customWidth="1"/>
    <col min="10502" max="10502" width="15.5703125" style="182" customWidth="1"/>
    <col min="10503" max="10503" width="12.42578125" style="182" customWidth="1"/>
    <col min="10504" max="10506" width="11.5703125" style="182" customWidth="1"/>
    <col min="10507" max="10507" width="24.42578125" style="182" customWidth="1"/>
    <col min="10508" max="10508" width="11.5703125" style="182" customWidth="1"/>
    <col min="10509" max="10752" width="14.42578125" style="182"/>
    <col min="10753" max="10753" width="4.28515625" style="182" customWidth="1"/>
    <col min="10754" max="10754" width="26.7109375" style="182" customWidth="1"/>
    <col min="10755" max="10755" width="7.140625" style="182" customWidth="1"/>
    <col min="10756" max="10756" width="7.28515625" style="182" customWidth="1"/>
    <col min="10757" max="10757" width="27.7109375" style="182" customWidth="1"/>
    <col min="10758" max="10758" width="15.5703125" style="182" customWidth="1"/>
    <col min="10759" max="10759" width="12.42578125" style="182" customWidth="1"/>
    <col min="10760" max="10762" width="11.5703125" style="182" customWidth="1"/>
    <col min="10763" max="10763" width="24.42578125" style="182" customWidth="1"/>
    <col min="10764" max="10764" width="11.5703125" style="182" customWidth="1"/>
    <col min="10765" max="11008" width="14.42578125" style="182"/>
    <col min="11009" max="11009" width="4.28515625" style="182" customWidth="1"/>
    <col min="11010" max="11010" width="26.7109375" style="182" customWidth="1"/>
    <col min="11011" max="11011" width="7.140625" style="182" customWidth="1"/>
    <col min="11012" max="11012" width="7.28515625" style="182" customWidth="1"/>
    <col min="11013" max="11013" width="27.7109375" style="182" customWidth="1"/>
    <col min="11014" max="11014" width="15.5703125" style="182" customWidth="1"/>
    <col min="11015" max="11015" width="12.42578125" style="182" customWidth="1"/>
    <col min="11016" max="11018" width="11.5703125" style="182" customWidth="1"/>
    <col min="11019" max="11019" width="24.42578125" style="182" customWidth="1"/>
    <col min="11020" max="11020" width="11.5703125" style="182" customWidth="1"/>
    <col min="11021" max="11264" width="14.42578125" style="182"/>
    <col min="11265" max="11265" width="4.28515625" style="182" customWidth="1"/>
    <col min="11266" max="11266" width="26.7109375" style="182" customWidth="1"/>
    <col min="11267" max="11267" width="7.140625" style="182" customWidth="1"/>
    <col min="11268" max="11268" width="7.28515625" style="182" customWidth="1"/>
    <col min="11269" max="11269" width="27.7109375" style="182" customWidth="1"/>
    <col min="11270" max="11270" width="15.5703125" style="182" customWidth="1"/>
    <col min="11271" max="11271" width="12.42578125" style="182" customWidth="1"/>
    <col min="11272" max="11274" width="11.5703125" style="182" customWidth="1"/>
    <col min="11275" max="11275" width="24.42578125" style="182" customWidth="1"/>
    <col min="11276" max="11276" width="11.5703125" style="182" customWidth="1"/>
    <col min="11277" max="11520" width="14.42578125" style="182"/>
    <col min="11521" max="11521" width="4.28515625" style="182" customWidth="1"/>
    <col min="11522" max="11522" width="26.7109375" style="182" customWidth="1"/>
    <col min="11523" max="11523" width="7.140625" style="182" customWidth="1"/>
    <col min="11524" max="11524" width="7.28515625" style="182" customWidth="1"/>
    <col min="11525" max="11525" width="27.7109375" style="182" customWidth="1"/>
    <col min="11526" max="11526" width="15.5703125" style="182" customWidth="1"/>
    <col min="11527" max="11527" width="12.42578125" style="182" customWidth="1"/>
    <col min="11528" max="11530" width="11.5703125" style="182" customWidth="1"/>
    <col min="11531" max="11531" width="24.42578125" style="182" customWidth="1"/>
    <col min="11532" max="11532" width="11.5703125" style="182" customWidth="1"/>
    <col min="11533" max="11776" width="14.42578125" style="182"/>
    <col min="11777" max="11777" width="4.28515625" style="182" customWidth="1"/>
    <col min="11778" max="11778" width="26.7109375" style="182" customWidth="1"/>
    <col min="11779" max="11779" width="7.140625" style="182" customWidth="1"/>
    <col min="11780" max="11780" width="7.28515625" style="182" customWidth="1"/>
    <col min="11781" max="11781" width="27.7109375" style="182" customWidth="1"/>
    <col min="11782" max="11782" width="15.5703125" style="182" customWidth="1"/>
    <col min="11783" max="11783" width="12.42578125" style="182" customWidth="1"/>
    <col min="11784" max="11786" width="11.5703125" style="182" customWidth="1"/>
    <col min="11787" max="11787" width="24.42578125" style="182" customWidth="1"/>
    <col min="11788" max="11788" width="11.5703125" style="182" customWidth="1"/>
    <col min="11789" max="12032" width="14.42578125" style="182"/>
    <col min="12033" max="12033" width="4.28515625" style="182" customWidth="1"/>
    <col min="12034" max="12034" width="26.7109375" style="182" customWidth="1"/>
    <col min="12035" max="12035" width="7.140625" style="182" customWidth="1"/>
    <col min="12036" max="12036" width="7.28515625" style="182" customWidth="1"/>
    <col min="12037" max="12037" width="27.7109375" style="182" customWidth="1"/>
    <col min="12038" max="12038" width="15.5703125" style="182" customWidth="1"/>
    <col min="12039" max="12039" width="12.42578125" style="182" customWidth="1"/>
    <col min="12040" max="12042" width="11.5703125" style="182" customWidth="1"/>
    <col min="12043" max="12043" width="24.42578125" style="182" customWidth="1"/>
    <col min="12044" max="12044" width="11.5703125" style="182" customWidth="1"/>
    <col min="12045" max="12288" width="14.42578125" style="182"/>
    <col min="12289" max="12289" width="4.28515625" style="182" customWidth="1"/>
    <col min="12290" max="12290" width="26.7109375" style="182" customWidth="1"/>
    <col min="12291" max="12291" width="7.140625" style="182" customWidth="1"/>
    <col min="12292" max="12292" width="7.28515625" style="182" customWidth="1"/>
    <col min="12293" max="12293" width="27.7109375" style="182" customWidth="1"/>
    <col min="12294" max="12294" width="15.5703125" style="182" customWidth="1"/>
    <col min="12295" max="12295" width="12.42578125" style="182" customWidth="1"/>
    <col min="12296" max="12298" width="11.5703125" style="182" customWidth="1"/>
    <col min="12299" max="12299" width="24.42578125" style="182" customWidth="1"/>
    <col min="12300" max="12300" width="11.5703125" style="182" customWidth="1"/>
    <col min="12301" max="12544" width="14.42578125" style="182"/>
    <col min="12545" max="12545" width="4.28515625" style="182" customWidth="1"/>
    <col min="12546" max="12546" width="26.7109375" style="182" customWidth="1"/>
    <col min="12547" max="12547" width="7.140625" style="182" customWidth="1"/>
    <col min="12548" max="12548" width="7.28515625" style="182" customWidth="1"/>
    <col min="12549" max="12549" width="27.7109375" style="182" customWidth="1"/>
    <col min="12550" max="12550" width="15.5703125" style="182" customWidth="1"/>
    <col min="12551" max="12551" width="12.42578125" style="182" customWidth="1"/>
    <col min="12552" max="12554" width="11.5703125" style="182" customWidth="1"/>
    <col min="12555" max="12555" width="24.42578125" style="182" customWidth="1"/>
    <col min="12556" max="12556" width="11.5703125" style="182" customWidth="1"/>
    <col min="12557" max="12800" width="14.42578125" style="182"/>
    <col min="12801" max="12801" width="4.28515625" style="182" customWidth="1"/>
    <col min="12802" max="12802" width="26.7109375" style="182" customWidth="1"/>
    <col min="12803" max="12803" width="7.140625" style="182" customWidth="1"/>
    <col min="12804" max="12804" width="7.28515625" style="182" customWidth="1"/>
    <col min="12805" max="12805" width="27.7109375" style="182" customWidth="1"/>
    <col min="12806" max="12806" width="15.5703125" style="182" customWidth="1"/>
    <col min="12807" max="12807" width="12.42578125" style="182" customWidth="1"/>
    <col min="12808" max="12810" width="11.5703125" style="182" customWidth="1"/>
    <col min="12811" max="12811" width="24.42578125" style="182" customWidth="1"/>
    <col min="12812" max="12812" width="11.5703125" style="182" customWidth="1"/>
    <col min="12813" max="13056" width="14.42578125" style="182"/>
    <col min="13057" max="13057" width="4.28515625" style="182" customWidth="1"/>
    <col min="13058" max="13058" width="26.7109375" style="182" customWidth="1"/>
    <col min="13059" max="13059" width="7.140625" style="182" customWidth="1"/>
    <col min="13060" max="13060" width="7.28515625" style="182" customWidth="1"/>
    <col min="13061" max="13061" width="27.7109375" style="182" customWidth="1"/>
    <col min="13062" max="13062" width="15.5703125" style="182" customWidth="1"/>
    <col min="13063" max="13063" width="12.42578125" style="182" customWidth="1"/>
    <col min="13064" max="13066" width="11.5703125" style="182" customWidth="1"/>
    <col min="13067" max="13067" width="24.42578125" style="182" customWidth="1"/>
    <col min="13068" max="13068" width="11.5703125" style="182" customWidth="1"/>
    <col min="13069" max="13312" width="14.42578125" style="182"/>
    <col min="13313" max="13313" width="4.28515625" style="182" customWidth="1"/>
    <col min="13314" max="13314" width="26.7109375" style="182" customWidth="1"/>
    <col min="13315" max="13315" width="7.140625" style="182" customWidth="1"/>
    <col min="13316" max="13316" width="7.28515625" style="182" customWidth="1"/>
    <col min="13317" max="13317" width="27.7109375" style="182" customWidth="1"/>
    <col min="13318" max="13318" width="15.5703125" style="182" customWidth="1"/>
    <col min="13319" max="13319" width="12.42578125" style="182" customWidth="1"/>
    <col min="13320" max="13322" width="11.5703125" style="182" customWidth="1"/>
    <col min="13323" max="13323" width="24.42578125" style="182" customWidth="1"/>
    <col min="13324" max="13324" width="11.5703125" style="182" customWidth="1"/>
    <col min="13325" max="13568" width="14.42578125" style="182"/>
    <col min="13569" max="13569" width="4.28515625" style="182" customWidth="1"/>
    <col min="13570" max="13570" width="26.7109375" style="182" customWidth="1"/>
    <col min="13571" max="13571" width="7.140625" style="182" customWidth="1"/>
    <col min="13572" max="13572" width="7.28515625" style="182" customWidth="1"/>
    <col min="13573" max="13573" width="27.7109375" style="182" customWidth="1"/>
    <col min="13574" max="13574" width="15.5703125" style="182" customWidth="1"/>
    <col min="13575" max="13575" width="12.42578125" style="182" customWidth="1"/>
    <col min="13576" max="13578" width="11.5703125" style="182" customWidth="1"/>
    <col min="13579" max="13579" width="24.42578125" style="182" customWidth="1"/>
    <col min="13580" max="13580" width="11.5703125" style="182" customWidth="1"/>
    <col min="13581" max="13824" width="14.42578125" style="182"/>
    <col min="13825" max="13825" width="4.28515625" style="182" customWidth="1"/>
    <col min="13826" max="13826" width="26.7109375" style="182" customWidth="1"/>
    <col min="13827" max="13827" width="7.140625" style="182" customWidth="1"/>
    <col min="13828" max="13828" width="7.28515625" style="182" customWidth="1"/>
    <col min="13829" max="13829" width="27.7109375" style="182" customWidth="1"/>
    <col min="13830" max="13830" width="15.5703125" style="182" customWidth="1"/>
    <col min="13831" max="13831" width="12.42578125" style="182" customWidth="1"/>
    <col min="13832" max="13834" width="11.5703125" style="182" customWidth="1"/>
    <col min="13835" max="13835" width="24.42578125" style="182" customWidth="1"/>
    <col min="13836" max="13836" width="11.5703125" style="182" customWidth="1"/>
    <col min="13837" max="14080" width="14.42578125" style="182"/>
    <col min="14081" max="14081" width="4.28515625" style="182" customWidth="1"/>
    <col min="14082" max="14082" width="26.7109375" style="182" customWidth="1"/>
    <col min="14083" max="14083" width="7.140625" style="182" customWidth="1"/>
    <col min="14084" max="14084" width="7.28515625" style="182" customWidth="1"/>
    <col min="14085" max="14085" width="27.7109375" style="182" customWidth="1"/>
    <col min="14086" max="14086" width="15.5703125" style="182" customWidth="1"/>
    <col min="14087" max="14087" width="12.42578125" style="182" customWidth="1"/>
    <col min="14088" max="14090" width="11.5703125" style="182" customWidth="1"/>
    <col min="14091" max="14091" width="24.42578125" style="182" customWidth="1"/>
    <col min="14092" max="14092" width="11.5703125" style="182" customWidth="1"/>
    <col min="14093" max="14336" width="14.42578125" style="182"/>
    <col min="14337" max="14337" width="4.28515625" style="182" customWidth="1"/>
    <col min="14338" max="14338" width="26.7109375" style="182" customWidth="1"/>
    <col min="14339" max="14339" width="7.140625" style="182" customWidth="1"/>
    <col min="14340" max="14340" width="7.28515625" style="182" customWidth="1"/>
    <col min="14341" max="14341" width="27.7109375" style="182" customWidth="1"/>
    <col min="14342" max="14342" width="15.5703125" style="182" customWidth="1"/>
    <col min="14343" max="14343" width="12.42578125" style="182" customWidth="1"/>
    <col min="14344" max="14346" width="11.5703125" style="182" customWidth="1"/>
    <col min="14347" max="14347" width="24.42578125" style="182" customWidth="1"/>
    <col min="14348" max="14348" width="11.5703125" style="182" customWidth="1"/>
    <col min="14349" max="14592" width="14.42578125" style="182"/>
    <col min="14593" max="14593" width="4.28515625" style="182" customWidth="1"/>
    <col min="14594" max="14594" width="26.7109375" style="182" customWidth="1"/>
    <col min="14595" max="14595" width="7.140625" style="182" customWidth="1"/>
    <col min="14596" max="14596" width="7.28515625" style="182" customWidth="1"/>
    <col min="14597" max="14597" width="27.7109375" style="182" customWidth="1"/>
    <col min="14598" max="14598" width="15.5703125" style="182" customWidth="1"/>
    <col min="14599" max="14599" width="12.42578125" style="182" customWidth="1"/>
    <col min="14600" max="14602" width="11.5703125" style="182" customWidth="1"/>
    <col min="14603" max="14603" width="24.42578125" style="182" customWidth="1"/>
    <col min="14604" max="14604" width="11.5703125" style="182" customWidth="1"/>
    <col min="14605" max="14848" width="14.42578125" style="182"/>
    <col min="14849" max="14849" width="4.28515625" style="182" customWidth="1"/>
    <col min="14850" max="14850" width="26.7109375" style="182" customWidth="1"/>
    <col min="14851" max="14851" width="7.140625" style="182" customWidth="1"/>
    <col min="14852" max="14852" width="7.28515625" style="182" customWidth="1"/>
    <col min="14853" max="14853" width="27.7109375" style="182" customWidth="1"/>
    <col min="14854" max="14854" width="15.5703125" style="182" customWidth="1"/>
    <col min="14855" max="14855" width="12.42578125" style="182" customWidth="1"/>
    <col min="14856" max="14858" width="11.5703125" style="182" customWidth="1"/>
    <col min="14859" max="14859" width="24.42578125" style="182" customWidth="1"/>
    <col min="14860" max="14860" width="11.5703125" style="182" customWidth="1"/>
    <col min="14861" max="15104" width="14.42578125" style="182"/>
    <col min="15105" max="15105" width="4.28515625" style="182" customWidth="1"/>
    <col min="15106" max="15106" width="26.7109375" style="182" customWidth="1"/>
    <col min="15107" max="15107" width="7.140625" style="182" customWidth="1"/>
    <col min="15108" max="15108" width="7.28515625" style="182" customWidth="1"/>
    <col min="15109" max="15109" width="27.7109375" style="182" customWidth="1"/>
    <col min="15110" max="15110" width="15.5703125" style="182" customWidth="1"/>
    <col min="15111" max="15111" width="12.42578125" style="182" customWidth="1"/>
    <col min="15112" max="15114" width="11.5703125" style="182" customWidth="1"/>
    <col min="15115" max="15115" width="24.42578125" style="182" customWidth="1"/>
    <col min="15116" max="15116" width="11.5703125" style="182" customWidth="1"/>
    <col min="15117" max="15360" width="14.42578125" style="182"/>
    <col min="15361" max="15361" width="4.28515625" style="182" customWidth="1"/>
    <col min="15362" max="15362" width="26.7109375" style="182" customWidth="1"/>
    <col min="15363" max="15363" width="7.140625" style="182" customWidth="1"/>
    <col min="15364" max="15364" width="7.28515625" style="182" customWidth="1"/>
    <col min="15365" max="15365" width="27.7109375" style="182" customWidth="1"/>
    <col min="15366" max="15366" width="15.5703125" style="182" customWidth="1"/>
    <col min="15367" max="15367" width="12.42578125" style="182" customWidth="1"/>
    <col min="15368" max="15370" width="11.5703125" style="182" customWidth="1"/>
    <col min="15371" max="15371" width="24.42578125" style="182" customWidth="1"/>
    <col min="15372" max="15372" width="11.5703125" style="182" customWidth="1"/>
    <col min="15373" max="15616" width="14.42578125" style="182"/>
    <col min="15617" max="15617" width="4.28515625" style="182" customWidth="1"/>
    <col min="15618" max="15618" width="26.7109375" style="182" customWidth="1"/>
    <col min="15619" max="15619" width="7.140625" style="182" customWidth="1"/>
    <col min="15620" max="15620" width="7.28515625" style="182" customWidth="1"/>
    <col min="15621" max="15621" width="27.7109375" style="182" customWidth="1"/>
    <col min="15622" max="15622" width="15.5703125" style="182" customWidth="1"/>
    <col min="15623" max="15623" width="12.42578125" style="182" customWidth="1"/>
    <col min="15624" max="15626" width="11.5703125" style="182" customWidth="1"/>
    <col min="15627" max="15627" width="24.42578125" style="182" customWidth="1"/>
    <col min="15628" max="15628" width="11.5703125" style="182" customWidth="1"/>
    <col min="15629" max="15872" width="14.42578125" style="182"/>
    <col min="15873" max="15873" width="4.28515625" style="182" customWidth="1"/>
    <col min="15874" max="15874" width="26.7109375" style="182" customWidth="1"/>
    <col min="15875" max="15875" width="7.140625" style="182" customWidth="1"/>
    <col min="15876" max="15876" width="7.28515625" style="182" customWidth="1"/>
    <col min="15877" max="15877" width="27.7109375" style="182" customWidth="1"/>
    <col min="15878" max="15878" width="15.5703125" style="182" customWidth="1"/>
    <col min="15879" max="15879" width="12.42578125" style="182" customWidth="1"/>
    <col min="15880" max="15882" width="11.5703125" style="182" customWidth="1"/>
    <col min="15883" max="15883" width="24.42578125" style="182" customWidth="1"/>
    <col min="15884" max="15884" width="11.5703125" style="182" customWidth="1"/>
    <col min="15885" max="16128" width="14.42578125" style="182"/>
    <col min="16129" max="16129" width="4.28515625" style="182" customWidth="1"/>
    <col min="16130" max="16130" width="26.7109375" style="182" customWidth="1"/>
    <col min="16131" max="16131" width="7.140625" style="182" customWidth="1"/>
    <col min="16132" max="16132" width="7.28515625" style="182" customWidth="1"/>
    <col min="16133" max="16133" width="27.7109375" style="182" customWidth="1"/>
    <col min="16134" max="16134" width="15.5703125" style="182" customWidth="1"/>
    <col min="16135" max="16135" width="12.42578125" style="182" customWidth="1"/>
    <col min="16136" max="16138" width="11.5703125" style="182" customWidth="1"/>
    <col min="16139" max="16139" width="24.42578125" style="182" customWidth="1"/>
    <col min="16140" max="16140" width="11.5703125" style="182" customWidth="1"/>
    <col min="16141" max="16384" width="14.42578125" style="182"/>
  </cols>
  <sheetData>
    <row r="1" spans="1:12" ht="51" customHeight="1" x14ac:dyDescent="0.2">
      <c r="A1" s="340"/>
      <c r="B1" s="327"/>
      <c r="C1" s="341" t="s">
        <v>443</v>
      </c>
      <c r="D1" s="341"/>
      <c r="E1" s="341"/>
      <c r="F1" s="341"/>
      <c r="G1" s="341"/>
      <c r="H1" s="183"/>
      <c r="I1" s="183"/>
      <c r="J1" s="183"/>
      <c r="K1" s="183"/>
      <c r="L1" s="183"/>
    </row>
    <row r="2" spans="1:12" ht="12.75" customHeight="1" x14ac:dyDescent="0.2">
      <c r="A2" s="184"/>
      <c r="B2" s="184"/>
      <c r="C2" s="185"/>
      <c r="D2" s="185"/>
      <c r="E2" s="185"/>
      <c r="F2" s="185"/>
      <c r="G2" s="186"/>
      <c r="H2" s="183"/>
      <c r="I2" s="183"/>
      <c r="J2" s="183"/>
      <c r="K2" s="183"/>
      <c r="L2" s="183"/>
    </row>
    <row r="3" spans="1:12" ht="12.75" customHeight="1" x14ac:dyDescent="0.2">
      <c r="A3" s="184"/>
      <c r="B3" s="184"/>
      <c r="C3" s="185"/>
      <c r="D3" s="185"/>
      <c r="E3" s="185"/>
      <c r="F3" s="185"/>
      <c r="G3" s="186"/>
      <c r="H3" s="183"/>
      <c r="I3" s="183"/>
      <c r="J3" s="183"/>
      <c r="K3" s="183"/>
      <c r="L3" s="183"/>
    </row>
    <row r="4" spans="1:12" ht="16.899999999999999" customHeight="1" x14ac:dyDescent="0.2">
      <c r="A4" s="187"/>
      <c r="B4" s="342" t="s">
        <v>1152</v>
      </c>
      <c r="C4" s="342"/>
      <c r="D4" s="342"/>
      <c r="E4" s="342"/>
      <c r="F4" s="342"/>
      <c r="G4" s="188"/>
      <c r="H4" s="183"/>
      <c r="I4" s="183"/>
      <c r="J4" s="183"/>
      <c r="K4" s="183"/>
      <c r="L4" s="183"/>
    </row>
    <row r="5" spans="1:12" ht="12.75" customHeight="1" x14ac:dyDescent="0.2">
      <c r="A5" s="187"/>
      <c r="B5" s="343" t="s">
        <v>272</v>
      </c>
      <c r="C5" s="343"/>
      <c r="D5" s="343"/>
      <c r="E5" s="343"/>
      <c r="F5" s="343"/>
      <c r="G5" s="188"/>
      <c r="H5" s="183"/>
      <c r="I5" s="183"/>
      <c r="J5" s="183"/>
      <c r="K5" s="183"/>
      <c r="L5" s="183"/>
    </row>
    <row r="6" spans="1:12" ht="12.75" customHeight="1" x14ac:dyDescent="0.2">
      <c r="A6" s="187"/>
      <c r="B6" s="346" t="s">
        <v>726</v>
      </c>
      <c r="C6" s="346"/>
      <c r="D6" s="346"/>
      <c r="E6" s="346"/>
      <c r="F6" s="346"/>
      <c r="G6" s="188"/>
      <c r="H6" s="183"/>
      <c r="I6" s="183"/>
      <c r="J6" s="183"/>
      <c r="K6" s="183"/>
      <c r="L6" s="183"/>
    </row>
    <row r="7" spans="1:12" ht="12.75" customHeight="1" x14ac:dyDescent="0.2">
      <c r="A7" s="187"/>
      <c r="B7" s="187"/>
      <c r="C7" s="184"/>
      <c r="D7" s="184"/>
      <c r="E7" s="184"/>
      <c r="F7" s="187"/>
      <c r="G7" s="188"/>
      <c r="H7" s="183"/>
      <c r="I7" s="183"/>
      <c r="J7" s="183"/>
      <c r="K7" s="183"/>
      <c r="L7" s="183"/>
    </row>
    <row r="8" spans="1:12" ht="116.45" customHeight="1" x14ac:dyDescent="0.2">
      <c r="A8" s="335" t="s">
        <v>273</v>
      </c>
      <c r="B8" s="327"/>
      <c r="C8" s="327"/>
      <c r="D8" s="344" t="s">
        <v>644</v>
      </c>
      <c r="E8" s="345"/>
      <c r="F8" s="345"/>
      <c r="G8" s="345"/>
      <c r="H8" s="183"/>
      <c r="I8" s="183"/>
      <c r="J8" s="183"/>
      <c r="K8" s="183"/>
      <c r="L8" s="183"/>
    </row>
    <row r="9" spans="1:12" x14ac:dyDescent="0.2">
      <c r="A9" s="192"/>
      <c r="D9" s="193"/>
      <c r="G9" s="182"/>
      <c r="H9" s="183"/>
      <c r="I9" s="183"/>
      <c r="J9" s="183"/>
      <c r="K9" s="183"/>
      <c r="L9" s="183"/>
    </row>
    <row r="10" spans="1:12" x14ac:dyDescent="0.2">
      <c r="A10" s="187"/>
      <c r="B10" s="187"/>
      <c r="C10" s="187"/>
      <c r="G10" s="182"/>
      <c r="H10" s="183"/>
      <c r="I10" s="183"/>
      <c r="J10" s="183"/>
      <c r="K10" s="183"/>
      <c r="L10" s="183"/>
    </row>
    <row r="11" spans="1:12" x14ac:dyDescent="0.2">
      <c r="A11" s="337" t="s">
        <v>3</v>
      </c>
      <c r="B11" s="337"/>
      <c r="C11" s="337"/>
      <c r="D11" s="337" t="s">
        <v>645</v>
      </c>
      <c r="E11" s="337"/>
      <c r="F11" s="337"/>
      <c r="G11" s="337"/>
      <c r="H11" s="183"/>
      <c r="I11" s="183"/>
      <c r="J11" s="183"/>
      <c r="K11" s="183"/>
      <c r="L11" s="183"/>
    </row>
    <row r="12" spans="1:12" x14ac:dyDescent="0.2">
      <c r="A12" s="328" t="s">
        <v>646</v>
      </c>
      <c r="B12" s="329"/>
      <c r="C12" s="329"/>
      <c r="D12" s="338" t="s">
        <v>228</v>
      </c>
      <c r="E12" s="339"/>
      <c r="F12" s="339"/>
      <c r="G12" s="339"/>
      <c r="H12" s="183"/>
      <c r="I12" s="183"/>
      <c r="J12" s="183"/>
      <c r="K12" s="183"/>
      <c r="L12" s="183"/>
    </row>
    <row r="13" spans="1:12" x14ac:dyDescent="0.2">
      <c r="A13" s="328" t="s">
        <v>647</v>
      </c>
      <c r="B13" s="328"/>
      <c r="C13" s="328"/>
      <c r="D13" s="338" t="s">
        <v>648</v>
      </c>
      <c r="E13" s="338"/>
      <c r="F13" s="338"/>
      <c r="G13" s="338"/>
      <c r="H13" s="183"/>
      <c r="I13" s="183"/>
      <c r="J13" s="183"/>
      <c r="K13" s="183"/>
      <c r="L13" s="183"/>
    </row>
    <row r="14" spans="1:12" ht="12.75" customHeight="1" x14ac:dyDescent="0.2">
      <c r="A14" s="328" t="s">
        <v>649</v>
      </c>
      <c r="B14" s="329"/>
      <c r="C14" s="329"/>
      <c r="D14" s="330" t="s">
        <v>727</v>
      </c>
      <c r="E14" s="330"/>
      <c r="F14" s="330"/>
      <c r="G14" s="330"/>
      <c r="H14" s="183"/>
      <c r="I14" s="183"/>
      <c r="J14" s="183"/>
      <c r="K14" s="183"/>
      <c r="L14" s="183"/>
    </row>
    <row r="15" spans="1:12" ht="12.75" customHeight="1" x14ac:dyDescent="0.2">
      <c r="A15" s="192"/>
      <c r="D15" s="193"/>
      <c r="H15" s="183"/>
      <c r="I15" s="183"/>
      <c r="J15" s="183"/>
      <c r="K15" s="183"/>
      <c r="L15" s="183"/>
    </row>
    <row r="16" spans="1:12" ht="36" customHeight="1" x14ac:dyDescent="0.2">
      <c r="A16" s="328" t="s">
        <v>651</v>
      </c>
      <c r="B16" s="331"/>
      <c r="C16" s="331"/>
      <c r="D16" s="332" t="s">
        <v>652</v>
      </c>
      <c r="E16" s="332"/>
      <c r="F16" s="332"/>
      <c r="G16" s="332"/>
      <c r="H16" s="183"/>
      <c r="I16" s="195"/>
      <c r="J16" s="196"/>
      <c r="K16" s="183"/>
      <c r="L16" s="183"/>
    </row>
    <row r="17" spans="1:12" ht="25.5" x14ac:dyDescent="0.2">
      <c r="A17" s="197" t="s">
        <v>49</v>
      </c>
      <c r="B17" s="197" t="s">
        <v>278</v>
      </c>
      <c r="C17" s="197" t="s">
        <v>653</v>
      </c>
      <c r="D17" s="197" t="s">
        <v>654</v>
      </c>
      <c r="E17" s="197" t="s">
        <v>279</v>
      </c>
      <c r="F17" s="197" t="s">
        <v>46</v>
      </c>
      <c r="G17" s="198" t="s">
        <v>280</v>
      </c>
      <c r="H17" s="183"/>
      <c r="I17" s="195"/>
      <c r="J17" s="196"/>
      <c r="K17" s="183"/>
      <c r="L17" s="183"/>
    </row>
    <row r="18" spans="1:12" x14ac:dyDescent="0.2">
      <c r="A18" s="199">
        <v>1</v>
      </c>
      <c r="B18" s="200">
        <v>2</v>
      </c>
      <c r="C18" s="200">
        <v>3</v>
      </c>
      <c r="D18" s="200">
        <v>4</v>
      </c>
      <c r="E18" s="200">
        <v>5</v>
      </c>
      <c r="F18" s="200">
        <v>6</v>
      </c>
      <c r="G18" s="200">
        <v>7</v>
      </c>
      <c r="H18" s="183"/>
      <c r="I18" s="195"/>
      <c r="J18" s="196"/>
      <c r="K18" s="183"/>
      <c r="L18" s="183"/>
    </row>
    <row r="19" spans="1:12" ht="12.75" customHeight="1" x14ac:dyDescent="0.2">
      <c r="A19" s="201" t="s">
        <v>10</v>
      </c>
      <c r="B19" s="202" t="s">
        <v>78</v>
      </c>
      <c r="C19" s="202"/>
      <c r="D19" s="202"/>
      <c r="E19" s="202" t="s">
        <v>281</v>
      </c>
      <c r="F19" s="202"/>
      <c r="G19" s="203"/>
      <c r="H19" s="183"/>
      <c r="I19" s="195"/>
      <c r="J19" s="196"/>
      <c r="K19" s="183"/>
      <c r="L19" s="183"/>
    </row>
    <row r="20" spans="1:12" ht="96.6" customHeight="1" x14ac:dyDescent="0.2">
      <c r="A20" s="234" t="s">
        <v>88</v>
      </c>
      <c r="B20" s="235" t="s">
        <v>668</v>
      </c>
      <c r="C20" s="236" t="s">
        <v>669</v>
      </c>
      <c r="D20" s="236">
        <v>0.72</v>
      </c>
      <c r="E20" s="207" t="s">
        <v>728</v>
      </c>
      <c r="F20" s="237" t="s">
        <v>729</v>
      </c>
      <c r="G20" s="208">
        <f>ROUND(4824*D20*1.55*0.65*1.4,2)</f>
        <v>4899.0600000000004</v>
      </c>
      <c r="H20" s="183"/>
      <c r="I20" s="195"/>
      <c r="J20" s="196"/>
      <c r="K20" s="183"/>
      <c r="L20" s="183"/>
    </row>
    <row r="21" spans="1:12" x14ac:dyDescent="0.2">
      <c r="A21" s="238"/>
      <c r="B21" s="228" t="s">
        <v>45</v>
      </c>
      <c r="C21" s="210"/>
      <c r="D21" s="239"/>
      <c r="E21" s="211"/>
      <c r="F21" s="240"/>
      <c r="G21" s="241"/>
      <c r="H21" s="183"/>
      <c r="I21" s="195"/>
      <c r="J21" s="196"/>
      <c r="K21" s="183"/>
      <c r="L21" s="183"/>
    </row>
    <row r="22" spans="1:12" ht="89.25" x14ac:dyDescent="0.2">
      <c r="A22" s="209"/>
      <c r="B22" s="190" t="s">
        <v>672</v>
      </c>
      <c r="C22" s="210"/>
      <c r="D22" s="210"/>
      <c r="E22" s="211" t="s">
        <v>673</v>
      </c>
      <c r="F22" s="211"/>
      <c r="G22" s="212"/>
      <c r="H22" s="183"/>
      <c r="I22" s="195"/>
      <c r="J22" s="196"/>
      <c r="K22" s="183"/>
      <c r="L22" s="183"/>
    </row>
    <row r="23" spans="1:12" ht="63.75" x14ac:dyDescent="0.2">
      <c r="A23" s="209"/>
      <c r="B23" s="190" t="s">
        <v>674</v>
      </c>
      <c r="C23" s="210"/>
      <c r="D23" s="210"/>
      <c r="E23" s="211" t="s">
        <v>675</v>
      </c>
      <c r="F23" s="211"/>
      <c r="G23" s="212"/>
      <c r="H23" s="183"/>
      <c r="I23" s="195"/>
      <c r="J23" s="196"/>
      <c r="K23" s="183"/>
      <c r="L23" s="183"/>
    </row>
    <row r="24" spans="1:12" ht="38.25" x14ac:dyDescent="0.2">
      <c r="A24" s="213"/>
      <c r="B24" s="242" t="s">
        <v>730</v>
      </c>
      <c r="C24" s="215"/>
      <c r="D24" s="215"/>
      <c r="E24" s="217" t="s">
        <v>731</v>
      </c>
      <c r="F24" s="217"/>
      <c r="G24" s="218"/>
      <c r="H24" s="183"/>
      <c r="I24" s="195"/>
      <c r="J24" s="196"/>
      <c r="K24" s="183"/>
      <c r="L24" s="183"/>
    </row>
    <row r="25" spans="1:12" ht="69.599999999999994" customHeight="1" x14ac:dyDescent="0.2">
      <c r="A25" s="209" t="s">
        <v>85</v>
      </c>
      <c r="B25" s="219" t="s">
        <v>732</v>
      </c>
      <c r="C25" s="220" t="s">
        <v>733</v>
      </c>
      <c r="D25" s="220">
        <f>0.72*10</f>
        <v>7.1999999999999993</v>
      </c>
      <c r="E25" s="221" t="s">
        <v>734</v>
      </c>
      <c r="F25" s="222" t="s">
        <v>735</v>
      </c>
      <c r="G25" s="212">
        <f>ROUND(2292  * D25,2)</f>
        <v>16502.400000000001</v>
      </c>
      <c r="H25" s="183"/>
      <c r="I25" s="195"/>
      <c r="J25" s="196"/>
      <c r="K25" s="183"/>
      <c r="L25" s="183"/>
    </row>
    <row r="26" spans="1:12" x14ac:dyDescent="0.2">
      <c r="A26" s="201" t="s">
        <v>83</v>
      </c>
      <c r="B26" s="202" t="s">
        <v>679</v>
      </c>
      <c r="C26" s="202"/>
      <c r="D26" s="243"/>
      <c r="E26" s="202"/>
      <c r="F26" s="202"/>
      <c r="G26" s="203">
        <f>G20+G25</f>
        <v>21401.460000000003</v>
      </c>
      <c r="H26" s="183"/>
      <c r="I26" s="195"/>
      <c r="J26" s="196"/>
      <c r="K26" s="183"/>
      <c r="L26" s="183"/>
    </row>
    <row r="27" spans="1:12" ht="76.5" x14ac:dyDescent="0.2">
      <c r="A27" s="272" t="s">
        <v>81</v>
      </c>
      <c r="B27" s="266" t="s">
        <v>736</v>
      </c>
      <c r="C27" s="266"/>
      <c r="D27" s="197"/>
      <c r="E27" s="266" t="s">
        <v>737</v>
      </c>
      <c r="F27" s="273">
        <v>0.85</v>
      </c>
      <c r="G27" s="267">
        <f>G26*0.85</f>
        <v>18191.241000000002</v>
      </c>
      <c r="H27" s="183"/>
      <c r="I27" s="195"/>
      <c r="J27" s="196"/>
      <c r="K27" s="183"/>
      <c r="L27" s="183"/>
    </row>
    <row r="28" spans="1:12" ht="63.75" x14ac:dyDescent="0.2">
      <c r="A28" s="272" t="s">
        <v>167</v>
      </c>
      <c r="B28" s="266" t="s">
        <v>680</v>
      </c>
      <c r="C28" s="266"/>
      <c r="D28" s="197"/>
      <c r="E28" s="266" t="s">
        <v>681</v>
      </c>
      <c r="F28" s="273">
        <v>0.3</v>
      </c>
      <c r="G28" s="267">
        <f>G27*F28</f>
        <v>5457.3723</v>
      </c>
      <c r="H28" s="183"/>
      <c r="I28" s="195"/>
      <c r="J28" s="196"/>
      <c r="K28" s="183"/>
      <c r="L28" s="183"/>
    </row>
    <row r="29" spans="1:12" ht="25.5" x14ac:dyDescent="0.2">
      <c r="A29" s="201" t="s">
        <v>166</v>
      </c>
      <c r="B29" s="202" t="s">
        <v>682</v>
      </c>
      <c r="C29" s="202"/>
      <c r="D29" s="243"/>
      <c r="E29" s="202"/>
      <c r="F29" s="202" t="s">
        <v>738</v>
      </c>
      <c r="G29" s="203">
        <f>G27+G28</f>
        <v>23648.613300000001</v>
      </c>
      <c r="H29" s="183"/>
      <c r="I29" s="195"/>
      <c r="J29" s="196"/>
      <c r="K29" s="183"/>
      <c r="L29" s="183"/>
    </row>
    <row r="30" spans="1:12" x14ac:dyDescent="0.2">
      <c r="A30" s="204" t="s">
        <v>11</v>
      </c>
      <c r="B30" s="230" t="s">
        <v>78</v>
      </c>
      <c r="C30" s="230"/>
      <c r="D30" s="245"/>
      <c r="E30" s="230" t="s">
        <v>291</v>
      </c>
      <c r="F30" s="230"/>
      <c r="G30" s="246"/>
      <c r="H30" s="183"/>
      <c r="I30" s="195"/>
      <c r="J30" s="196"/>
      <c r="K30" s="183"/>
      <c r="L30" s="183"/>
    </row>
    <row r="31" spans="1:12" ht="76.5" x14ac:dyDescent="0.2">
      <c r="A31" s="204" t="s">
        <v>76</v>
      </c>
      <c r="B31" s="235" t="s">
        <v>691</v>
      </c>
      <c r="C31" s="206" t="s">
        <v>669</v>
      </c>
      <c r="D31" s="206">
        <f>D20</f>
        <v>0.72</v>
      </c>
      <c r="E31" s="207" t="s">
        <v>739</v>
      </c>
      <c r="F31" s="207" t="s">
        <v>740</v>
      </c>
      <c r="G31" s="208">
        <f>ROUND(1559*D31*1.55*1.2 * 1.1*0.65,2)</f>
        <v>1492.79</v>
      </c>
      <c r="H31" s="183"/>
      <c r="I31" s="195"/>
      <c r="J31" s="196"/>
      <c r="K31" s="183"/>
      <c r="L31" s="183"/>
    </row>
    <row r="32" spans="1:12" x14ac:dyDescent="0.2">
      <c r="A32" s="224" t="s">
        <v>39</v>
      </c>
      <c r="B32" s="228" t="s">
        <v>45</v>
      </c>
      <c r="C32" s="228"/>
      <c r="D32" s="227"/>
      <c r="E32" s="228"/>
      <c r="F32" s="226"/>
      <c r="G32" s="258"/>
      <c r="H32" s="183"/>
      <c r="I32" s="195"/>
      <c r="J32" s="196"/>
      <c r="K32" s="183"/>
      <c r="L32" s="183"/>
    </row>
    <row r="33" spans="1:12" ht="89.25" x14ac:dyDescent="0.2">
      <c r="A33" s="209" t="s">
        <v>39</v>
      </c>
      <c r="B33" s="211" t="s">
        <v>672</v>
      </c>
      <c r="C33" s="259"/>
      <c r="D33" s="210"/>
      <c r="E33" s="211" t="s">
        <v>694</v>
      </c>
      <c r="F33" s="260"/>
      <c r="G33" s="252"/>
      <c r="H33" s="183"/>
      <c r="I33" s="195"/>
      <c r="J33" s="196"/>
      <c r="K33" s="183"/>
      <c r="L33" s="183"/>
    </row>
    <row r="34" spans="1:12" ht="76.5" x14ac:dyDescent="0.2">
      <c r="A34" s="209"/>
      <c r="B34" s="260" t="s">
        <v>685</v>
      </c>
      <c r="C34" s="211"/>
      <c r="D34" s="210"/>
      <c r="E34" s="211" t="s">
        <v>695</v>
      </c>
      <c r="F34" s="260"/>
      <c r="G34" s="252"/>
      <c r="H34" s="183"/>
      <c r="I34" s="195"/>
      <c r="J34" s="196"/>
      <c r="K34" s="183"/>
      <c r="L34" s="183"/>
    </row>
    <row r="35" spans="1:12" ht="63.75" x14ac:dyDescent="0.2">
      <c r="A35" s="209"/>
      <c r="B35" s="260" t="s">
        <v>674</v>
      </c>
      <c r="C35" s="211"/>
      <c r="D35" s="210"/>
      <c r="E35" s="211" t="s">
        <v>696</v>
      </c>
      <c r="F35" s="260"/>
      <c r="G35" s="252"/>
      <c r="H35" s="183"/>
      <c r="I35" s="195"/>
      <c r="J35" s="196"/>
      <c r="K35" s="183"/>
      <c r="L35" s="183"/>
    </row>
    <row r="36" spans="1:12" ht="51" x14ac:dyDescent="0.2">
      <c r="A36" s="213"/>
      <c r="B36" s="261" t="s">
        <v>697</v>
      </c>
      <c r="C36" s="217"/>
      <c r="D36" s="215"/>
      <c r="E36" s="217" t="s">
        <v>698</v>
      </c>
      <c r="F36" s="261"/>
      <c r="G36" s="254"/>
      <c r="H36" s="183"/>
      <c r="I36" s="195"/>
      <c r="J36" s="196"/>
      <c r="K36" s="183"/>
      <c r="L36" s="183"/>
    </row>
    <row r="37" spans="1:12" ht="63.75" x14ac:dyDescent="0.2">
      <c r="A37" s="213" t="s">
        <v>75</v>
      </c>
      <c r="B37" s="99" t="s">
        <v>702</v>
      </c>
      <c r="C37" s="100" t="s">
        <v>703</v>
      </c>
      <c r="D37" s="100">
        <v>24</v>
      </c>
      <c r="E37" s="217" t="s">
        <v>741</v>
      </c>
      <c r="F37" s="217" t="s">
        <v>742</v>
      </c>
      <c r="G37" s="218">
        <f>ROUND(480*D37,2)</f>
        <v>11520</v>
      </c>
      <c r="H37" s="183"/>
      <c r="I37" s="195"/>
      <c r="J37" s="196"/>
      <c r="K37" s="183"/>
      <c r="L37" s="183"/>
    </row>
    <row r="38" spans="1:12" ht="148.15" customHeight="1" x14ac:dyDescent="0.2">
      <c r="A38" s="204" t="s">
        <v>73</v>
      </c>
      <c r="B38" s="262" t="s">
        <v>706</v>
      </c>
      <c r="C38" s="230"/>
      <c r="D38" s="230"/>
      <c r="E38" s="231" t="s">
        <v>707</v>
      </c>
      <c r="F38" s="207" t="s">
        <v>743</v>
      </c>
      <c r="G38" s="233">
        <f>(G37)*4.3%*1.2</f>
        <v>594.4319999999999</v>
      </c>
      <c r="H38" s="263">
        <f>G37</f>
        <v>11520</v>
      </c>
      <c r="I38" s="195"/>
      <c r="J38" s="196"/>
      <c r="K38" s="183"/>
      <c r="L38" s="183"/>
    </row>
    <row r="39" spans="1:12" ht="12.75" customHeight="1" x14ac:dyDescent="0.2">
      <c r="A39" s="209"/>
      <c r="B39" s="228" t="s">
        <v>45</v>
      </c>
      <c r="C39" s="211"/>
      <c r="D39" s="210"/>
      <c r="E39" s="211"/>
      <c r="F39" s="211"/>
      <c r="G39" s="212"/>
      <c r="H39" s="183"/>
      <c r="I39" s="195"/>
      <c r="J39" s="196"/>
      <c r="K39" s="183"/>
      <c r="L39" s="183"/>
    </row>
    <row r="40" spans="1:12" ht="60" customHeight="1" x14ac:dyDescent="0.2">
      <c r="A40" s="213"/>
      <c r="B40" s="261" t="s">
        <v>685</v>
      </c>
      <c r="C40" s="217"/>
      <c r="D40" s="215"/>
      <c r="E40" s="217" t="s">
        <v>686</v>
      </c>
      <c r="F40" s="261"/>
      <c r="G40" s="254"/>
      <c r="H40" s="183"/>
      <c r="I40" s="195"/>
      <c r="J40" s="196"/>
      <c r="K40" s="183"/>
      <c r="L40" s="183"/>
    </row>
    <row r="41" spans="1:12" ht="140.25" x14ac:dyDescent="0.2">
      <c r="A41" s="204" t="s">
        <v>353</v>
      </c>
      <c r="B41" s="262" t="s">
        <v>709</v>
      </c>
      <c r="C41" s="230"/>
      <c r="D41" s="230"/>
      <c r="E41" s="207" t="s">
        <v>710</v>
      </c>
      <c r="F41" s="207" t="s">
        <v>744</v>
      </c>
      <c r="G41" s="233">
        <f>(G37)*10%*1.2</f>
        <v>1382.3999999999999</v>
      </c>
      <c r="H41" s="263"/>
      <c r="I41" s="195"/>
      <c r="J41" s="196"/>
      <c r="K41" s="183"/>
      <c r="L41" s="183"/>
    </row>
    <row r="42" spans="1:12" x14ac:dyDescent="0.2">
      <c r="A42" s="209"/>
      <c r="B42" s="228" t="s">
        <v>45</v>
      </c>
      <c r="C42" s="211"/>
      <c r="D42" s="210"/>
      <c r="E42" s="211"/>
      <c r="F42" s="211"/>
      <c r="G42" s="212"/>
      <c r="H42" s="263">
        <f>H41+G29</f>
        <v>23648.613300000001</v>
      </c>
      <c r="I42" s="195"/>
      <c r="J42" s="196"/>
      <c r="K42" s="183"/>
      <c r="L42" s="183"/>
    </row>
    <row r="43" spans="1:12" ht="76.5" x14ac:dyDescent="0.2">
      <c r="A43" s="213"/>
      <c r="B43" s="261" t="s">
        <v>685</v>
      </c>
      <c r="C43" s="217"/>
      <c r="D43" s="215"/>
      <c r="E43" s="217" t="s">
        <v>686</v>
      </c>
      <c r="F43" s="261"/>
      <c r="G43" s="254"/>
      <c r="H43" s="183"/>
      <c r="I43" s="195"/>
      <c r="J43" s="196"/>
      <c r="K43" s="183"/>
      <c r="L43" s="183"/>
    </row>
    <row r="44" spans="1:12" ht="12.75" customHeight="1" x14ac:dyDescent="0.2">
      <c r="A44" s="213" t="s">
        <v>357</v>
      </c>
      <c r="B44" s="264" t="s">
        <v>679</v>
      </c>
      <c r="C44" s="264"/>
      <c r="D44" s="264"/>
      <c r="E44" s="264"/>
      <c r="F44" s="264"/>
      <c r="G44" s="265">
        <f>G31+G37+G38+G41</f>
        <v>14989.622000000001</v>
      </c>
      <c r="H44" s="183"/>
      <c r="I44" s="195"/>
      <c r="J44" s="196"/>
      <c r="K44" s="183"/>
      <c r="L44" s="183"/>
    </row>
    <row r="45" spans="1:12" x14ac:dyDescent="0.2">
      <c r="A45" s="201" t="s">
        <v>361</v>
      </c>
      <c r="B45" s="202" t="s">
        <v>682</v>
      </c>
      <c r="C45" s="202"/>
      <c r="D45" s="202"/>
      <c r="E45" s="202"/>
      <c r="F45" s="202" t="s">
        <v>745</v>
      </c>
      <c r="G45" s="203">
        <f>ROUND(($G$44),2)</f>
        <v>14989.62</v>
      </c>
      <c r="H45" s="183"/>
      <c r="I45" s="195"/>
      <c r="J45" s="196"/>
      <c r="K45" s="183"/>
      <c r="L45" s="183"/>
    </row>
    <row r="46" spans="1:12" ht="18" customHeight="1" x14ac:dyDescent="0.2">
      <c r="A46" s="201" t="s">
        <v>13</v>
      </c>
      <c r="B46" s="202" t="s">
        <v>78</v>
      </c>
      <c r="C46" s="202"/>
      <c r="D46" s="243"/>
      <c r="E46" s="202" t="s">
        <v>299</v>
      </c>
      <c r="F46" s="202"/>
      <c r="G46" s="203"/>
      <c r="H46" s="183"/>
      <c r="I46" s="195"/>
      <c r="J46" s="196"/>
      <c r="K46" s="183"/>
      <c r="L46" s="183"/>
    </row>
    <row r="47" spans="1:12" ht="96" customHeight="1" x14ac:dyDescent="0.2">
      <c r="A47" s="204" t="s">
        <v>292</v>
      </c>
      <c r="B47" s="207" t="s">
        <v>746</v>
      </c>
      <c r="C47" s="207"/>
      <c r="D47" s="207"/>
      <c r="E47" s="207" t="s">
        <v>747</v>
      </c>
      <c r="F47" s="207" t="s">
        <v>748</v>
      </c>
      <c r="G47" s="208">
        <f>G29*16.25%</f>
        <v>3842.8996612500005</v>
      </c>
      <c r="H47" s="263">
        <f>G29</f>
        <v>23648.613300000001</v>
      </c>
      <c r="I47" s="268"/>
      <c r="J47" s="196"/>
      <c r="K47" s="183"/>
      <c r="L47" s="183"/>
    </row>
    <row r="48" spans="1:12" ht="49.15" customHeight="1" x14ac:dyDescent="0.2">
      <c r="A48" s="247" t="s">
        <v>293</v>
      </c>
      <c r="B48" s="207" t="s">
        <v>309</v>
      </c>
      <c r="C48" s="249"/>
      <c r="D48" s="207"/>
      <c r="E48" s="249" t="s">
        <v>718</v>
      </c>
      <c r="F48" s="207" t="s">
        <v>749</v>
      </c>
      <c r="G48" s="250">
        <f>ROUND(($G$29+$G$47)*6/100*2.5,2)</f>
        <v>4123.7299999999996</v>
      </c>
      <c r="H48" s="183"/>
      <c r="I48" s="195"/>
      <c r="J48" s="196"/>
      <c r="K48" s="183"/>
      <c r="L48" s="183"/>
    </row>
    <row r="49" spans="1:12" x14ac:dyDescent="0.2">
      <c r="A49" s="251"/>
      <c r="B49" s="228" t="s">
        <v>45</v>
      </c>
      <c r="C49" s="190"/>
      <c r="D49" s="211"/>
      <c r="E49" s="190"/>
      <c r="F49" s="211"/>
      <c r="G49" s="252"/>
      <c r="H49" s="183"/>
      <c r="I49" s="195"/>
      <c r="J49" s="196"/>
      <c r="K49" s="183"/>
      <c r="L49" s="183"/>
    </row>
    <row r="50" spans="1:12" ht="67.900000000000006" customHeight="1" x14ac:dyDescent="0.2">
      <c r="A50" s="253"/>
      <c r="B50" s="217" t="s">
        <v>750</v>
      </c>
      <c r="C50" s="242"/>
      <c r="D50" s="217"/>
      <c r="E50" s="242" t="s">
        <v>751</v>
      </c>
      <c r="F50" s="217"/>
      <c r="G50" s="254"/>
      <c r="H50" s="183"/>
      <c r="I50" s="195"/>
      <c r="J50" s="196"/>
      <c r="K50" s="183"/>
      <c r="L50" s="183"/>
    </row>
    <row r="51" spans="1:12" ht="26.45" customHeight="1" x14ac:dyDescent="0.2">
      <c r="A51" s="213" t="s">
        <v>294</v>
      </c>
      <c r="B51" s="264" t="s">
        <v>720</v>
      </c>
      <c r="C51" s="264"/>
      <c r="D51" s="264"/>
      <c r="E51" s="264"/>
      <c r="F51" s="264" t="s">
        <v>752</v>
      </c>
      <c r="G51" s="265">
        <f>ROUND((SUM($G$47:$G$48)),2)</f>
        <v>7966.63</v>
      </c>
      <c r="H51" s="183"/>
      <c r="I51" s="195"/>
      <c r="J51" s="196"/>
      <c r="K51" s="183"/>
      <c r="L51" s="183"/>
    </row>
    <row r="52" spans="1:12" ht="28.15" customHeight="1" x14ac:dyDescent="0.2">
      <c r="A52" s="201" t="s">
        <v>15</v>
      </c>
      <c r="B52" s="266" t="s">
        <v>722</v>
      </c>
      <c r="C52" s="266"/>
      <c r="D52" s="266"/>
      <c r="E52" s="266"/>
      <c r="F52" s="266" t="s">
        <v>753</v>
      </c>
      <c r="G52" s="267">
        <f>G51+G45+G29</f>
        <v>46604.863299999997</v>
      </c>
      <c r="H52" s="183"/>
      <c r="I52" s="195"/>
      <c r="J52" s="196"/>
      <c r="K52" s="183"/>
      <c r="L52" s="183"/>
    </row>
    <row r="53" spans="1:12" ht="52.9" customHeight="1" x14ac:dyDescent="0.2">
      <c r="A53" s="201" t="s">
        <v>17</v>
      </c>
      <c r="B53" s="101" t="s">
        <v>1068</v>
      </c>
      <c r="C53" s="266"/>
      <c r="D53" s="266"/>
      <c r="E53" s="101" t="s">
        <v>1066</v>
      </c>
      <c r="F53" s="101" t="s">
        <v>1067</v>
      </c>
      <c r="G53" s="267">
        <f>G52*5.96</f>
        <v>277764.98526799999</v>
      </c>
      <c r="H53" s="183"/>
      <c r="I53" s="195"/>
      <c r="J53" s="196"/>
      <c r="K53" s="183"/>
      <c r="L53" s="183"/>
    </row>
    <row r="54" spans="1:12" x14ac:dyDescent="0.2">
      <c r="A54" s="201" t="s">
        <v>19</v>
      </c>
      <c r="B54" s="202" t="s">
        <v>42</v>
      </c>
      <c r="C54" s="202"/>
      <c r="D54" s="202"/>
      <c r="E54" s="202"/>
      <c r="F54" s="202" t="s">
        <v>724</v>
      </c>
      <c r="G54" s="203">
        <f>G53</f>
        <v>277764.98526799999</v>
      </c>
      <c r="H54" s="183"/>
      <c r="I54" s="195"/>
      <c r="J54" s="196"/>
      <c r="K54" s="183"/>
      <c r="L54" s="196"/>
    </row>
    <row r="55" spans="1:12" ht="12.75" customHeight="1" x14ac:dyDescent="0.2">
      <c r="A55" s="187"/>
      <c r="B55" s="187"/>
      <c r="C55" s="187"/>
      <c r="D55" s="187"/>
      <c r="E55" s="187"/>
      <c r="F55" s="187"/>
      <c r="G55" s="188"/>
      <c r="H55" s="183"/>
      <c r="I55" s="195"/>
      <c r="J55" s="196"/>
      <c r="K55" s="183"/>
      <c r="L55" s="183"/>
    </row>
    <row r="56" spans="1:12" s="103" customFormat="1" ht="28.15" customHeight="1" x14ac:dyDescent="0.2">
      <c r="A56" s="333" t="s">
        <v>725</v>
      </c>
      <c r="B56" s="333"/>
      <c r="C56" s="334"/>
      <c r="D56" s="333"/>
      <c r="E56" s="333"/>
      <c r="F56" s="333"/>
      <c r="G56" s="333"/>
    </row>
    <row r="57" spans="1:12" s="103" customFormat="1" ht="31.15" customHeight="1" x14ac:dyDescent="0.2">
      <c r="A57" s="333"/>
      <c r="B57" s="333"/>
      <c r="C57" s="334"/>
      <c r="D57" s="333"/>
      <c r="E57" s="333"/>
      <c r="F57" s="333"/>
      <c r="G57" s="333"/>
    </row>
    <row r="58" spans="1:12" ht="12.75" customHeight="1" x14ac:dyDescent="0.2">
      <c r="A58" s="335"/>
      <c r="B58" s="327"/>
      <c r="C58" s="336"/>
      <c r="D58" s="327"/>
      <c r="E58" s="327"/>
      <c r="F58" s="327"/>
      <c r="G58" s="327"/>
      <c r="H58" s="183"/>
      <c r="I58" s="195"/>
      <c r="J58" s="196"/>
      <c r="K58" s="183"/>
      <c r="L58" s="183"/>
    </row>
    <row r="59" spans="1:12" ht="12.75" customHeight="1" x14ac:dyDescent="0.2">
      <c r="A59" s="269"/>
      <c r="B59" s="269"/>
      <c r="C59" s="269"/>
      <c r="D59" s="269"/>
      <c r="E59" s="269"/>
      <c r="F59" s="269"/>
      <c r="H59" s="183"/>
      <c r="I59" s="195"/>
      <c r="J59" s="196"/>
      <c r="K59" s="183"/>
      <c r="L59" s="183"/>
    </row>
    <row r="60" spans="1:12" ht="12.75" customHeight="1" x14ac:dyDescent="0.2">
      <c r="A60" s="269"/>
      <c r="B60" s="269"/>
      <c r="C60" s="269"/>
      <c r="D60" s="269"/>
      <c r="E60" s="269"/>
      <c r="F60" s="269"/>
      <c r="G60" s="270"/>
      <c r="H60" s="183"/>
      <c r="I60" s="195"/>
      <c r="J60" s="196"/>
      <c r="K60" s="183"/>
      <c r="L60" s="183"/>
    </row>
    <row r="61" spans="1:12" ht="12.75" customHeight="1" x14ac:dyDescent="0.2">
      <c r="A61" s="326"/>
      <c r="B61" s="327"/>
      <c r="C61" s="327"/>
      <c r="D61" s="327"/>
      <c r="E61" s="327"/>
      <c r="F61" s="327"/>
      <c r="G61" s="327"/>
      <c r="H61" s="183"/>
      <c r="I61" s="195"/>
      <c r="J61" s="196"/>
      <c r="K61" s="183"/>
      <c r="L61" s="183"/>
    </row>
    <row r="62" spans="1:12" ht="12.75" customHeight="1" x14ac:dyDescent="0.2">
      <c r="A62" s="326"/>
      <c r="B62" s="327"/>
      <c r="C62" s="327"/>
      <c r="D62" s="327"/>
      <c r="E62" s="327"/>
      <c r="F62" s="327"/>
      <c r="G62" s="327"/>
      <c r="H62" s="183"/>
      <c r="I62" s="195"/>
      <c r="J62" s="196"/>
      <c r="K62" s="183"/>
      <c r="L62" s="183"/>
    </row>
    <row r="63" spans="1:12" ht="12.75" customHeight="1" x14ac:dyDescent="0.2">
      <c r="A63" s="326"/>
      <c r="B63" s="327"/>
      <c r="C63" s="327"/>
      <c r="D63" s="327"/>
      <c r="E63" s="327"/>
      <c r="F63" s="327"/>
      <c r="G63" s="327"/>
      <c r="H63" s="183"/>
      <c r="I63" s="196"/>
      <c r="J63" s="196"/>
      <c r="K63" s="183"/>
      <c r="L63" s="183"/>
    </row>
    <row r="64" spans="1:12" ht="39.75" customHeight="1" x14ac:dyDescent="0.2">
      <c r="A64" s="326"/>
      <c r="B64" s="327"/>
      <c r="C64" s="327"/>
      <c r="D64" s="327"/>
      <c r="E64" s="327"/>
      <c r="F64" s="327"/>
      <c r="G64" s="327"/>
      <c r="H64" s="183"/>
      <c r="I64" s="196"/>
      <c r="J64" s="196"/>
      <c r="K64" s="183"/>
      <c r="L64" s="183"/>
    </row>
    <row r="65" spans="1:12" ht="30" customHeight="1" x14ac:dyDescent="0.2">
      <c r="A65" s="326"/>
      <c r="B65" s="327"/>
      <c r="C65" s="327"/>
      <c r="D65" s="327"/>
      <c r="E65" s="327"/>
      <c r="F65" s="327"/>
      <c r="G65" s="327"/>
      <c r="H65" s="183"/>
      <c r="I65" s="196"/>
      <c r="J65" s="196"/>
      <c r="K65" s="183"/>
      <c r="L65" s="183"/>
    </row>
    <row r="66" spans="1:12" ht="25.5" customHeight="1" x14ac:dyDescent="0.2">
      <c r="A66" s="326"/>
      <c r="B66" s="327"/>
      <c r="C66" s="327"/>
      <c r="D66" s="327"/>
      <c r="E66" s="327"/>
      <c r="F66" s="327"/>
      <c r="G66" s="327"/>
      <c r="H66" s="183"/>
      <c r="I66" s="196"/>
      <c r="J66" s="196"/>
      <c r="K66" s="183"/>
      <c r="L66" s="183"/>
    </row>
    <row r="67" spans="1:12" ht="38.25" customHeight="1" x14ac:dyDescent="0.2">
      <c r="A67" s="326"/>
      <c r="B67" s="327"/>
      <c r="C67" s="327"/>
      <c r="D67" s="327"/>
      <c r="E67" s="327"/>
      <c r="F67" s="327"/>
      <c r="G67" s="327"/>
      <c r="H67" s="183"/>
      <c r="I67" s="196"/>
      <c r="J67" s="196"/>
      <c r="K67" s="183"/>
      <c r="L67" s="183"/>
    </row>
    <row r="68" spans="1:12" ht="12.75" customHeight="1" x14ac:dyDescent="0.2">
      <c r="A68" s="326"/>
      <c r="B68" s="327"/>
      <c r="C68" s="327"/>
      <c r="D68" s="327"/>
      <c r="E68" s="327"/>
      <c r="F68" s="327"/>
      <c r="G68" s="327"/>
      <c r="H68" s="183"/>
      <c r="I68" s="183"/>
      <c r="J68" s="183"/>
      <c r="K68" s="183"/>
      <c r="L68" s="183"/>
    </row>
    <row r="69" spans="1:12" ht="12.75" customHeight="1" x14ac:dyDescent="0.2">
      <c r="A69" s="326"/>
      <c r="B69" s="327"/>
      <c r="C69" s="327"/>
      <c r="D69" s="327"/>
      <c r="E69" s="327"/>
      <c r="F69" s="327"/>
      <c r="G69" s="327"/>
      <c r="H69" s="183"/>
      <c r="I69" s="183"/>
      <c r="J69" s="183"/>
      <c r="K69" s="183"/>
      <c r="L69" s="183"/>
    </row>
    <row r="70" spans="1:12" ht="12.75" customHeight="1" x14ac:dyDescent="0.2">
      <c r="A70" s="326"/>
      <c r="B70" s="327"/>
      <c r="C70" s="327"/>
      <c r="D70" s="327"/>
      <c r="E70" s="327"/>
      <c r="F70" s="327"/>
      <c r="G70" s="327"/>
      <c r="H70" s="183"/>
      <c r="I70" s="183"/>
      <c r="J70" s="183"/>
      <c r="K70" s="183"/>
      <c r="L70" s="183"/>
    </row>
    <row r="71" spans="1:12" ht="12.75" customHeight="1" x14ac:dyDescent="0.2">
      <c r="A71" s="326"/>
      <c r="B71" s="327"/>
      <c r="C71" s="327"/>
      <c r="D71" s="327"/>
      <c r="E71" s="327"/>
      <c r="F71" s="327"/>
      <c r="G71" s="327"/>
      <c r="H71" s="183"/>
      <c r="I71" s="183"/>
      <c r="J71" s="183"/>
      <c r="K71" s="183"/>
      <c r="L71" s="183"/>
    </row>
    <row r="72" spans="1:12" ht="24.75" customHeight="1" x14ac:dyDescent="0.2">
      <c r="A72" s="326"/>
      <c r="B72" s="327"/>
      <c r="C72" s="327"/>
      <c r="D72" s="327"/>
      <c r="E72" s="327"/>
      <c r="F72" s="327"/>
      <c r="G72" s="327"/>
      <c r="H72" s="271"/>
      <c r="I72" s="271"/>
      <c r="J72" s="271"/>
      <c r="K72" s="271"/>
      <c r="L72" s="271"/>
    </row>
    <row r="73" spans="1:12" ht="12.75" customHeight="1" x14ac:dyDescent="0.2">
      <c r="A73" s="269"/>
      <c r="B73" s="269"/>
      <c r="C73" s="269"/>
      <c r="D73" s="269"/>
      <c r="E73" s="269"/>
      <c r="F73" s="269"/>
      <c r="G73" s="270"/>
      <c r="H73" s="183"/>
      <c r="I73" s="183"/>
      <c r="J73" s="183"/>
      <c r="K73" s="183"/>
      <c r="L73" s="183"/>
    </row>
    <row r="74" spans="1:12" ht="12.75" customHeight="1" x14ac:dyDescent="0.2">
      <c r="A74" s="269"/>
      <c r="B74" s="269"/>
      <c r="C74" s="269"/>
      <c r="D74" s="269"/>
      <c r="E74" s="269"/>
      <c r="F74" s="269"/>
      <c r="G74" s="270"/>
      <c r="H74" s="183"/>
      <c r="I74" s="183"/>
      <c r="J74" s="183"/>
      <c r="K74" s="183"/>
      <c r="L74" s="183"/>
    </row>
    <row r="75" spans="1:12" ht="12.75" customHeight="1" x14ac:dyDescent="0.2">
      <c r="A75" s="187"/>
      <c r="B75" s="187"/>
      <c r="C75" s="187"/>
      <c r="D75" s="187"/>
      <c r="E75" s="187"/>
      <c r="F75" s="187"/>
      <c r="G75" s="188"/>
      <c r="H75" s="183"/>
      <c r="I75" s="183"/>
      <c r="J75" s="183"/>
      <c r="K75" s="183"/>
      <c r="L75" s="183"/>
    </row>
    <row r="76" spans="1:12" ht="12.75" customHeight="1" x14ac:dyDescent="0.2">
      <c r="A76" s="187"/>
      <c r="B76" s="187"/>
      <c r="C76" s="187"/>
      <c r="D76" s="187"/>
      <c r="E76" s="187"/>
      <c r="F76" s="187"/>
      <c r="G76" s="188"/>
      <c r="H76" s="187"/>
      <c r="I76" s="187"/>
      <c r="J76" s="187"/>
      <c r="K76" s="187"/>
      <c r="L76" s="187"/>
    </row>
    <row r="77" spans="1:12" ht="12.75" customHeight="1" x14ac:dyDescent="0.2">
      <c r="A77" s="187"/>
      <c r="B77" s="187"/>
      <c r="C77" s="187"/>
      <c r="D77" s="187"/>
      <c r="E77" s="187"/>
      <c r="F77" s="187"/>
      <c r="G77" s="188"/>
      <c r="H77" s="187"/>
      <c r="I77" s="187"/>
      <c r="J77" s="187"/>
      <c r="K77" s="187"/>
      <c r="L77" s="187"/>
    </row>
    <row r="78" spans="1:12" ht="12.75" customHeight="1" x14ac:dyDescent="0.2">
      <c r="A78" s="187"/>
      <c r="B78" s="187"/>
      <c r="C78" s="187"/>
      <c r="D78" s="187"/>
      <c r="E78" s="187"/>
      <c r="F78" s="187"/>
      <c r="G78" s="188"/>
      <c r="H78" s="183"/>
      <c r="I78" s="183"/>
      <c r="J78" s="183"/>
      <c r="K78" s="183"/>
      <c r="L78" s="183"/>
    </row>
    <row r="79" spans="1:12" ht="12.75" customHeight="1" x14ac:dyDescent="0.2">
      <c r="A79" s="187"/>
      <c r="B79" s="187"/>
      <c r="C79" s="187"/>
      <c r="D79" s="187"/>
      <c r="E79" s="187"/>
      <c r="F79" s="187"/>
      <c r="G79" s="188"/>
      <c r="H79" s="187"/>
      <c r="I79" s="187"/>
      <c r="J79" s="187"/>
      <c r="K79" s="187"/>
      <c r="L79" s="187"/>
    </row>
    <row r="80" spans="1:12" ht="12.75" customHeight="1" x14ac:dyDescent="0.2">
      <c r="A80" s="187"/>
      <c r="B80" s="187"/>
      <c r="C80" s="187"/>
      <c r="D80" s="187"/>
      <c r="E80" s="187"/>
      <c r="F80" s="187"/>
      <c r="G80" s="188"/>
      <c r="H80" s="187"/>
      <c r="I80" s="187"/>
      <c r="J80" s="187"/>
      <c r="K80" s="187"/>
      <c r="L80" s="187"/>
    </row>
    <row r="81" spans="1:12" ht="12.75" customHeight="1" x14ac:dyDescent="0.2">
      <c r="A81" s="187"/>
      <c r="B81" s="187"/>
      <c r="C81" s="187"/>
      <c r="D81" s="187"/>
      <c r="E81" s="187"/>
      <c r="F81" s="187"/>
      <c r="G81" s="188"/>
      <c r="H81" s="183"/>
      <c r="I81" s="183"/>
      <c r="J81" s="183"/>
      <c r="K81" s="183"/>
      <c r="L81" s="183"/>
    </row>
    <row r="82" spans="1:12" ht="12.75" customHeight="1" x14ac:dyDescent="0.2">
      <c r="A82" s="187"/>
      <c r="B82" s="187"/>
      <c r="C82" s="187"/>
      <c r="D82" s="187"/>
      <c r="E82" s="187"/>
      <c r="F82" s="187"/>
      <c r="G82" s="188"/>
      <c r="H82" s="187"/>
      <c r="I82" s="187"/>
      <c r="J82" s="187"/>
      <c r="K82" s="187"/>
      <c r="L82" s="187"/>
    </row>
    <row r="83" spans="1:12" ht="12.75" customHeight="1" x14ac:dyDescent="0.2">
      <c r="A83" s="187"/>
      <c r="B83" s="187"/>
      <c r="C83" s="187"/>
      <c r="D83" s="187"/>
      <c r="E83" s="187"/>
      <c r="F83" s="187"/>
      <c r="G83" s="188"/>
      <c r="H83" s="187"/>
      <c r="I83" s="187"/>
      <c r="J83" s="187"/>
      <c r="K83" s="187"/>
      <c r="L83" s="187"/>
    </row>
    <row r="84" spans="1:12" ht="12.75" customHeight="1" x14ac:dyDescent="0.2">
      <c r="A84" s="187"/>
      <c r="B84" s="187"/>
      <c r="C84" s="187"/>
      <c r="D84" s="187"/>
      <c r="E84" s="187"/>
      <c r="F84" s="187"/>
      <c r="G84" s="188"/>
      <c r="H84" s="183"/>
      <c r="I84" s="183"/>
      <c r="J84" s="183"/>
      <c r="K84" s="183"/>
      <c r="L84" s="183"/>
    </row>
    <row r="85" spans="1:12" ht="12.75" customHeight="1" x14ac:dyDescent="0.2">
      <c r="A85" s="187"/>
      <c r="B85" s="187"/>
      <c r="C85" s="187"/>
      <c r="D85" s="187"/>
      <c r="E85" s="187"/>
      <c r="F85" s="187"/>
      <c r="G85" s="188"/>
      <c r="H85" s="187"/>
      <c r="I85" s="187"/>
      <c r="J85" s="187"/>
      <c r="K85" s="187"/>
      <c r="L85" s="187"/>
    </row>
    <row r="86" spans="1:12" ht="12.75" customHeight="1" x14ac:dyDescent="0.2">
      <c r="A86" s="187"/>
      <c r="B86" s="187"/>
      <c r="C86" s="187"/>
      <c r="D86" s="187"/>
      <c r="E86" s="187"/>
      <c r="F86" s="187"/>
      <c r="G86" s="188"/>
      <c r="H86" s="187"/>
      <c r="I86" s="187"/>
      <c r="J86" s="187"/>
      <c r="K86" s="187"/>
      <c r="L86" s="187"/>
    </row>
    <row r="87" spans="1:12" ht="12.75" customHeight="1" x14ac:dyDescent="0.2">
      <c r="A87" s="187"/>
      <c r="B87" s="187"/>
      <c r="C87" s="187"/>
      <c r="D87" s="187"/>
      <c r="E87" s="187"/>
      <c r="F87" s="187"/>
      <c r="G87" s="188"/>
      <c r="H87" s="183"/>
      <c r="I87" s="183"/>
      <c r="J87" s="183"/>
      <c r="K87" s="183"/>
      <c r="L87" s="183"/>
    </row>
    <row r="88" spans="1:12" ht="12.75" customHeight="1" x14ac:dyDescent="0.2">
      <c r="A88" s="187"/>
      <c r="B88" s="187"/>
      <c r="C88" s="187"/>
      <c r="D88" s="187"/>
      <c r="E88" s="187"/>
      <c r="F88" s="187"/>
      <c r="G88" s="188"/>
      <c r="H88" s="183"/>
      <c r="I88" s="183"/>
      <c r="J88" s="183"/>
      <c r="K88" s="183"/>
      <c r="L88" s="183"/>
    </row>
    <row r="89" spans="1:12" ht="12.75" customHeight="1" x14ac:dyDescent="0.2">
      <c r="A89" s="187"/>
      <c r="B89" s="187"/>
      <c r="C89" s="187"/>
      <c r="D89" s="187"/>
      <c r="E89" s="187"/>
      <c r="F89" s="187"/>
      <c r="G89" s="188"/>
      <c r="H89" s="183"/>
      <c r="I89" s="183"/>
      <c r="J89" s="183"/>
      <c r="K89" s="183"/>
      <c r="L89" s="183"/>
    </row>
    <row r="90" spans="1:12" ht="12.75" customHeight="1" x14ac:dyDescent="0.2">
      <c r="A90" s="187"/>
      <c r="B90" s="187"/>
      <c r="C90" s="187"/>
      <c r="D90" s="187"/>
      <c r="E90" s="187"/>
      <c r="F90" s="187"/>
      <c r="G90" s="188"/>
      <c r="H90" s="183"/>
      <c r="I90" s="183"/>
      <c r="J90" s="183"/>
      <c r="K90" s="183"/>
      <c r="L90" s="183"/>
    </row>
    <row r="91" spans="1:12" ht="12.75" customHeight="1" x14ac:dyDescent="0.2">
      <c r="A91" s="187"/>
      <c r="B91" s="187"/>
      <c r="C91" s="187"/>
      <c r="D91" s="187"/>
      <c r="E91" s="187"/>
      <c r="F91" s="187"/>
      <c r="G91" s="188"/>
      <c r="H91" s="183"/>
      <c r="I91" s="183"/>
      <c r="J91" s="183"/>
      <c r="K91" s="183"/>
      <c r="L91" s="183"/>
    </row>
    <row r="92" spans="1:12" ht="12.75" customHeight="1" x14ac:dyDescent="0.2">
      <c r="A92" s="187"/>
      <c r="B92" s="187"/>
      <c r="C92" s="187"/>
      <c r="D92" s="187"/>
      <c r="E92" s="187"/>
      <c r="F92" s="187"/>
      <c r="G92" s="188"/>
      <c r="H92" s="183"/>
      <c r="I92" s="183"/>
      <c r="J92" s="183"/>
      <c r="K92" s="183"/>
      <c r="L92" s="183"/>
    </row>
    <row r="93" spans="1:12" ht="12.75" customHeight="1" x14ac:dyDescent="0.2">
      <c r="A93" s="187"/>
      <c r="B93" s="187"/>
      <c r="C93" s="187"/>
      <c r="D93" s="187"/>
      <c r="E93" s="187"/>
      <c r="F93" s="187"/>
      <c r="G93" s="188"/>
      <c r="H93" s="183"/>
      <c r="I93" s="183"/>
      <c r="J93" s="183"/>
      <c r="K93" s="183"/>
      <c r="L93" s="183"/>
    </row>
    <row r="94" spans="1:12" ht="12.75" customHeight="1" x14ac:dyDescent="0.2">
      <c r="A94" s="187"/>
      <c r="B94" s="187"/>
      <c r="C94" s="187"/>
      <c r="D94" s="187"/>
      <c r="E94" s="187"/>
      <c r="F94" s="187"/>
      <c r="G94" s="188"/>
      <c r="H94" s="183"/>
      <c r="I94" s="183"/>
      <c r="J94" s="183"/>
      <c r="K94" s="183"/>
      <c r="L94" s="183"/>
    </row>
    <row r="95" spans="1:12" ht="12.75" customHeight="1" x14ac:dyDescent="0.2">
      <c r="A95" s="187"/>
      <c r="B95" s="187"/>
      <c r="C95" s="187"/>
      <c r="D95" s="187"/>
      <c r="E95" s="187"/>
      <c r="F95" s="187"/>
      <c r="G95" s="188"/>
      <c r="H95" s="183"/>
      <c r="I95" s="183"/>
      <c r="J95" s="183"/>
      <c r="K95" s="183"/>
      <c r="L95" s="183"/>
    </row>
    <row r="96" spans="1:12" ht="12.75" customHeight="1" x14ac:dyDescent="0.2">
      <c r="A96" s="187"/>
      <c r="B96" s="187"/>
      <c r="C96" s="187"/>
      <c r="D96" s="187"/>
      <c r="E96" s="187"/>
      <c r="F96" s="187"/>
      <c r="G96" s="188"/>
      <c r="H96" s="183"/>
      <c r="I96" s="183"/>
      <c r="J96" s="183"/>
      <c r="K96" s="183"/>
      <c r="L96" s="183"/>
    </row>
    <row r="97" spans="1:12" ht="12.75" customHeight="1" x14ac:dyDescent="0.2">
      <c r="A97" s="187"/>
      <c r="B97" s="187"/>
      <c r="C97" s="187"/>
      <c r="D97" s="187"/>
      <c r="E97" s="187"/>
      <c r="F97" s="187"/>
      <c r="G97" s="188"/>
      <c r="H97" s="183"/>
      <c r="I97" s="183"/>
      <c r="J97" s="183"/>
      <c r="K97" s="183"/>
      <c r="L97" s="183"/>
    </row>
    <row r="98" spans="1:12" ht="12.75" customHeight="1" x14ac:dyDescent="0.2">
      <c r="A98" s="187"/>
      <c r="B98" s="187"/>
      <c r="C98" s="187"/>
      <c r="D98" s="187"/>
      <c r="E98" s="187"/>
      <c r="F98" s="187"/>
      <c r="G98" s="188"/>
      <c r="H98" s="183"/>
      <c r="I98" s="183"/>
      <c r="J98" s="183"/>
      <c r="K98" s="183"/>
      <c r="L98" s="183"/>
    </row>
    <row r="99" spans="1:12" ht="12.75" customHeight="1" x14ac:dyDescent="0.2">
      <c r="A99" s="187"/>
      <c r="B99" s="187"/>
      <c r="C99" s="187"/>
      <c r="D99" s="187"/>
      <c r="E99" s="187"/>
      <c r="F99" s="187"/>
      <c r="G99" s="188"/>
      <c r="H99" s="183"/>
      <c r="I99" s="183"/>
      <c r="J99" s="183"/>
      <c r="K99" s="183"/>
      <c r="L99" s="183"/>
    </row>
    <row r="100" spans="1:12" ht="12.75" customHeight="1" x14ac:dyDescent="0.2">
      <c r="A100" s="187"/>
      <c r="B100" s="187"/>
      <c r="C100" s="187"/>
      <c r="D100" s="187"/>
      <c r="E100" s="187"/>
      <c r="F100" s="187"/>
      <c r="G100" s="188"/>
      <c r="H100" s="183"/>
      <c r="I100" s="183"/>
      <c r="J100" s="183"/>
      <c r="K100" s="183"/>
      <c r="L100" s="183"/>
    </row>
    <row r="101" spans="1:12" ht="12.75" customHeight="1" x14ac:dyDescent="0.2">
      <c r="A101" s="187"/>
      <c r="B101" s="187"/>
      <c r="C101" s="187"/>
      <c r="D101" s="187"/>
      <c r="E101" s="187"/>
      <c r="F101" s="187"/>
      <c r="G101" s="188"/>
      <c r="H101" s="183"/>
      <c r="I101" s="183"/>
      <c r="J101" s="183"/>
      <c r="K101" s="183"/>
      <c r="L101" s="183"/>
    </row>
    <row r="102" spans="1:12" ht="12.75" customHeight="1" x14ac:dyDescent="0.2">
      <c r="A102" s="187"/>
      <c r="B102" s="187"/>
      <c r="C102" s="187"/>
      <c r="D102" s="187"/>
      <c r="E102" s="187"/>
      <c r="F102" s="187"/>
      <c r="G102" s="188"/>
      <c r="H102" s="183"/>
      <c r="I102" s="183"/>
      <c r="J102" s="183"/>
      <c r="K102" s="183"/>
      <c r="L102" s="183"/>
    </row>
    <row r="103" spans="1:12" ht="12.75" customHeight="1" x14ac:dyDescent="0.2">
      <c r="A103" s="187"/>
      <c r="B103" s="187"/>
      <c r="C103" s="187"/>
      <c r="D103" s="187"/>
      <c r="E103" s="187"/>
      <c r="F103" s="187"/>
      <c r="G103" s="188"/>
      <c r="H103" s="183"/>
      <c r="I103" s="183"/>
      <c r="J103" s="183"/>
      <c r="K103" s="183"/>
      <c r="L103" s="183"/>
    </row>
    <row r="104" spans="1:12" ht="12.75" customHeight="1" x14ac:dyDescent="0.2">
      <c r="A104" s="187"/>
      <c r="B104" s="187"/>
      <c r="C104" s="187"/>
      <c r="D104" s="187"/>
      <c r="E104" s="187"/>
      <c r="F104" s="187"/>
      <c r="G104" s="188"/>
      <c r="H104" s="183"/>
      <c r="I104" s="183"/>
      <c r="J104" s="183"/>
      <c r="K104" s="183"/>
      <c r="L104" s="183"/>
    </row>
    <row r="105" spans="1:12" ht="12.75" customHeight="1" x14ac:dyDescent="0.2">
      <c r="A105" s="187"/>
      <c r="B105" s="187"/>
      <c r="C105" s="187"/>
      <c r="D105" s="187"/>
      <c r="E105" s="187"/>
      <c r="F105" s="187"/>
      <c r="G105" s="188"/>
      <c r="H105" s="183"/>
      <c r="I105" s="183"/>
      <c r="J105" s="183"/>
      <c r="K105" s="183"/>
      <c r="L105" s="183"/>
    </row>
    <row r="106" spans="1:12" ht="12.75" customHeight="1" x14ac:dyDescent="0.2">
      <c r="A106" s="187"/>
      <c r="B106" s="187"/>
      <c r="C106" s="187"/>
      <c r="D106" s="187"/>
      <c r="E106" s="187"/>
      <c r="F106" s="187"/>
      <c r="G106" s="188"/>
      <c r="H106" s="183"/>
      <c r="I106" s="183"/>
      <c r="J106" s="183"/>
      <c r="K106" s="183"/>
      <c r="L106" s="183"/>
    </row>
    <row r="107" spans="1:12" ht="12.75" customHeight="1" x14ac:dyDescent="0.2">
      <c r="A107" s="187"/>
      <c r="B107" s="187"/>
      <c r="C107" s="187"/>
      <c r="D107" s="187"/>
      <c r="E107" s="187"/>
      <c r="F107" s="187"/>
      <c r="G107" s="188"/>
      <c r="H107" s="183"/>
      <c r="I107" s="183"/>
      <c r="J107" s="183"/>
      <c r="K107" s="183"/>
      <c r="L107" s="183"/>
    </row>
    <row r="108" spans="1:12" ht="12.75" customHeight="1" x14ac:dyDescent="0.2">
      <c r="A108" s="187"/>
      <c r="B108" s="187"/>
      <c r="C108" s="187"/>
      <c r="D108" s="187"/>
      <c r="E108" s="187"/>
      <c r="F108" s="187"/>
      <c r="G108" s="188"/>
      <c r="H108" s="183"/>
      <c r="I108" s="183"/>
      <c r="J108" s="183"/>
      <c r="K108" s="183"/>
      <c r="L108" s="183"/>
    </row>
    <row r="109" spans="1:12" x14ac:dyDescent="0.2">
      <c r="A109" s="187"/>
      <c r="B109" s="187"/>
      <c r="C109" s="187"/>
      <c r="D109" s="187"/>
      <c r="E109" s="187"/>
      <c r="F109" s="187"/>
      <c r="G109" s="188"/>
    </row>
    <row r="110" spans="1:12" x14ac:dyDescent="0.2">
      <c r="A110" s="187"/>
      <c r="B110" s="187"/>
      <c r="C110" s="187"/>
      <c r="D110" s="187"/>
      <c r="E110" s="187"/>
      <c r="F110" s="187"/>
      <c r="G110" s="188"/>
    </row>
    <row r="111" spans="1:12" x14ac:dyDescent="0.2">
      <c r="A111" s="187"/>
      <c r="B111" s="187"/>
      <c r="C111" s="187"/>
      <c r="D111" s="187"/>
      <c r="E111" s="187"/>
      <c r="F111" s="187"/>
      <c r="G111" s="188"/>
    </row>
    <row r="112" spans="1:12" x14ac:dyDescent="0.2">
      <c r="A112" s="187"/>
      <c r="B112" s="187"/>
      <c r="C112" s="187"/>
      <c r="D112" s="187"/>
      <c r="E112" s="187"/>
      <c r="F112" s="187"/>
      <c r="G112" s="188"/>
    </row>
    <row r="113" spans="1:7" x14ac:dyDescent="0.2">
      <c r="A113" s="187"/>
      <c r="B113" s="187"/>
      <c r="C113" s="187"/>
      <c r="D113" s="187"/>
      <c r="E113" s="187"/>
      <c r="F113" s="187"/>
      <c r="G113" s="188"/>
    </row>
    <row r="114" spans="1:7" x14ac:dyDescent="0.2">
      <c r="A114" s="187"/>
      <c r="B114" s="187"/>
      <c r="C114" s="187"/>
      <c r="D114" s="187"/>
      <c r="E114" s="187"/>
      <c r="F114" s="187"/>
      <c r="G114" s="188"/>
    </row>
  </sheetData>
  <mergeCells count="35">
    <mergeCell ref="A8:C8"/>
    <mergeCell ref="D8:G8"/>
    <mergeCell ref="A1:B1"/>
    <mergeCell ref="C1:G1"/>
    <mergeCell ref="B4:F4"/>
    <mergeCell ref="B5:F5"/>
    <mergeCell ref="B6:F6"/>
    <mergeCell ref="A11:C11"/>
    <mergeCell ref="D11:G11"/>
    <mergeCell ref="A12:C12"/>
    <mergeCell ref="D12:G12"/>
    <mergeCell ref="A13:C13"/>
    <mergeCell ref="D13:G13"/>
    <mergeCell ref="A62:G62"/>
    <mergeCell ref="A14:C14"/>
    <mergeCell ref="D14:G14"/>
    <mergeCell ref="A16:C16"/>
    <mergeCell ref="D16:G16"/>
    <mergeCell ref="A56:B56"/>
    <mergeCell ref="C56:G56"/>
    <mergeCell ref="A57:B57"/>
    <mergeCell ref="C57:G57"/>
    <mergeCell ref="A58:B58"/>
    <mergeCell ref="C58:G58"/>
    <mergeCell ref="A61:G61"/>
    <mergeCell ref="A69:G69"/>
    <mergeCell ref="A70:G70"/>
    <mergeCell ref="A71:G71"/>
    <mergeCell ref="A72:G72"/>
    <mergeCell ref="A63:G63"/>
    <mergeCell ref="A64:G64"/>
    <mergeCell ref="A65:G65"/>
    <mergeCell ref="A66:G66"/>
    <mergeCell ref="A67:G67"/>
    <mergeCell ref="A68:G68"/>
  </mergeCells>
  <pageMargins left="0.7" right="0.7" top="0.75" bottom="0.75" header="0.3" footer="0.3"/>
  <pageSetup paperSize="9" orientation="portrait" verticalDpi="0" r:id="rId1"/>
  <colBreaks count="1" manualBreakCount="1">
    <brk id="7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5"/>
  <dimension ref="A1:J102"/>
  <sheetViews>
    <sheetView view="pageBreakPreview" topLeftCell="A15" zoomScale="60" zoomScaleNormal="90" workbookViewId="0">
      <selection activeCell="D22" sqref="D22:G22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6" width="9.28515625" style="6" customWidth="1"/>
    <col min="7" max="7" width="21.42578125" style="6" customWidth="1"/>
    <col min="8" max="8" width="21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69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585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26.45" customHeight="1" x14ac:dyDescent="0.2">
      <c r="A8" s="384" t="s">
        <v>1313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37.15" customHeight="1" x14ac:dyDescent="0.2">
      <c r="A14" s="384" t="s">
        <v>466</v>
      </c>
      <c r="B14" s="384"/>
      <c r="C14" s="384"/>
      <c r="D14" s="384"/>
      <c r="E14" s="384"/>
      <c r="F14" s="384"/>
      <c r="G14" s="384"/>
      <c r="H14" s="384"/>
      <c r="I14" s="384"/>
      <c r="J14" s="30"/>
    </row>
    <row r="15" spans="1:10" ht="12.75" customHeight="1" x14ac:dyDescent="0.2">
      <c r="A15" s="387" t="s">
        <v>1084</v>
      </c>
      <c r="B15" s="387"/>
      <c r="C15" s="387"/>
      <c r="D15" s="387"/>
      <c r="E15" s="387"/>
      <c r="F15" s="387"/>
      <c r="G15" s="387"/>
      <c r="H15" s="387"/>
      <c r="I15" s="387"/>
      <c r="J15" s="6"/>
    </row>
    <row r="16" spans="1:10" ht="100.5" customHeight="1" x14ac:dyDescent="0.2">
      <c r="A16" s="27" t="s">
        <v>49</v>
      </c>
      <c r="B16" s="407" t="s">
        <v>467</v>
      </c>
      <c r="C16" s="408"/>
      <c r="D16" s="407" t="s">
        <v>468</v>
      </c>
      <c r="E16" s="409"/>
      <c r="F16" s="409"/>
      <c r="G16" s="408"/>
      <c r="H16" s="75" t="s">
        <v>469</v>
      </c>
      <c r="I16" s="27" t="s">
        <v>280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23" customHeight="1" x14ac:dyDescent="0.2">
      <c r="A18" s="24" t="s">
        <v>10</v>
      </c>
      <c r="B18" s="413" t="s">
        <v>470</v>
      </c>
      <c r="C18" s="414"/>
      <c r="D18" s="415" t="s">
        <v>471</v>
      </c>
      <c r="E18" s="416"/>
      <c r="F18" s="416"/>
      <c r="G18" s="417"/>
      <c r="H18" s="23" t="s">
        <v>1117</v>
      </c>
      <c r="I18" s="22">
        <f>95200  * 1 * 0.6 *1.4</f>
        <v>79968</v>
      </c>
    </row>
    <row r="19" spans="1:9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9" ht="26.45" customHeight="1" x14ac:dyDescent="0.2">
      <c r="A20" s="19" t="s">
        <v>39</v>
      </c>
      <c r="B20" s="421"/>
      <c r="C20" s="422"/>
      <c r="D20" s="421" t="s">
        <v>205</v>
      </c>
      <c r="E20" s="384"/>
      <c r="F20" s="384"/>
      <c r="G20" s="422"/>
      <c r="H20" s="18"/>
      <c r="I20" s="17"/>
    </row>
    <row r="21" spans="1:9" ht="156.6" customHeight="1" x14ac:dyDescent="0.2">
      <c r="A21" s="19" t="s">
        <v>39</v>
      </c>
      <c r="B21" s="421"/>
      <c r="C21" s="422"/>
      <c r="D21" s="421" t="s">
        <v>1094</v>
      </c>
      <c r="E21" s="384"/>
      <c r="F21" s="384"/>
      <c r="G21" s="422"/>
      <c r="H21" s="18"/>
      <c r="I21" s="17"/>
    </row>
    <row r="22" spans="1:9" ht="26.45" customHeight="1" x14ac:dyDescent="0.2">
      <c r="A22" s="51" t="s">
        <v>39</v>
      </c>
      <c r="B22" s="436"/>
      <c r="C22" s="438"/>
      <c r="D22" s="436" t="s">
        <v>474</v>
      </c>
      <c r="E22" s="437"/>
      <c r="F22" s="437"/>
      <c r="G22" s="438"/>
      <c r="H22" s="52"/>
      <c r="I22" s="53"/>
    </row>
    <row r="23" spans="1:9" ht="26.45" customHeight="1" x14ac:dyDescent="0.2">
      <c r="A23" s="439" t="s">
        <v>11</v>
      </c>
      <c r="B23" s="413" t="s">
        <v>475</v>
      </c>
      <c r="C23" s="414"/>
      <c r="D23" s="415" t="s">
        <v>476</v>
      </c>
      <c r="E23" s="416"/>
      <c r="F23" s="416"/>
      <c r="G23" s="417"/>
      <c r="H23" s="430" t="s">
        <v>1118</v>
      </c>
      <c r="I23" s="432">
        <f>(30800+ 608 * (0.4 * 100 + 0.6 * 100 / 2)) * 1 * 0.6 *  0.3*1.4</f>
        <v>18486.719999999998</v>
      </c>
    </row>
    <row r="24" spans="1:9" ht="116.25" customHeight="1" x14ac:dyDescent="0.2">
      <c r="A24" s="440"/>
      <c r="B24" s="423"/>
      <c r="C24" s="424"/>
      <c r="D24" s="421"/>
      <c r="E24" s="384"/>
      <c r="F24" s="384"/>
      <c r="G24" s="422"/>
      <c r="H24" s="431"/>
      <c r="I24" s="433"/>
    </row>
    <row r="25" spans="1:9" ht="17.25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15" customHeight="1" x14ac:dyDescent="0.2">
      <c r="A26" s="19" t="s">
        <v>39</v>
      </c>
      <c r="B26" s="421"/>
      <c r="C26" s="422"/>
      <c r="D26" s="421" t="s">
        <v>205</v>
      </c>
      <c r="E26" s="384"/>
      <c r="F26" s="384"/>
      <c r="G26" s="422"/>
      <c r="H26" s="18"/>
      <c r="I26" s="17"/>
    </row>
    <row r="27" spans="1:9" ht="122.45" customHeight="1" x14ac:dyDescent="0.2">
      <c r="A27" s="19" t="s">
        <v>39</v>
      </c>
      <c r="B27" s="421"/>
      <c r="C27" s="422"/>
      <c r="D27" s="421" t="s">
        <v>581</v>
      </c>
      <c r="E27" s="384"/>
      <c r="F27" s="384"/>
      <c r="G27" s="422"/>
      <c r="H27" s="18"/>
      <c r="I27" s="17"/>
    </row>
    <row r="28" spans="1:9" ht="30" customHeight="1" x14ac:dyDescent="0.2">
      <c r="A28" s="51" t="s">
        <v>39</v>
      </c>
      <c r="B28" s="436"/>
      <c r="C28" s="438"/>
      <c r="D28" s="436" t="s">
        <v>477</v>
      </c>
      <c r="E28" s="437"/>
      <c r="F28" s="437"/>
      <c r="G28" s="438"/>
      <c r="H28" s="52"/>
      <c r="I28" s="53"/>
    </row>
    <row r="29" spans="1:9" ht="141" customHeight="1" x14ac:dyDescent="0.2">
      <c r="A29" s="24" t="s">
        <v>13</v>
      </c>
      <c r="B29" s="413" t="s">
        <v>478</v>
      </c>
      <c r="C29" s="414"/>
      <c r="D29" s="415" t="s">
        <v>479</v>
      </c>
      <c r="E29" s="416"/>
      <c r="F29" s="416"/>
      <c r="G29" s="417"/>
      <c r="H29" s="23" t="s">
        <v>1119</v>
      </c>
      <c r="I29" s="22">
        <f>(35900  + 863* (0.4 * 100 + 0.6 * 100 / 2)) * 1 * 0.6 *  0.9*1.4</f>
        <v>72810.36</v>
      </c>
    </row>
    <row r="30" spans="1:9" ht="13.15" customHeight="1" x14ac:dyDescent="0.2">
      <c r="A30" s="19" t="s">
        <v>39</v>
      </c>
      <c r="B30" s="423"/>
      <c r="C30" s="424"/>
      <c r="D30" s="423" t="s">
        <v>45</v>
      </c>
      <c r="E30" s="418"/>
      <c r="F30" s="418"/>
      <c r="G30" s="424"/>
      <c r="H30" s="21"/>
      <c r="I30" s="20"/>
    </row>
    <row r="31" spans="1:9" ht="13.15" customHeight="1" x14ac:dyDescent="0.2">
      <c r="A31" s="19" t="s">
        <v>39</v>
      </c>
      <c r="B31" s="421"/>
      <c r="C31" s="422"/>
      <c r="D31" s="421" t="s">
        <v>205</v>
      </c>
      <c r="E31" s="384"/>
      <c r="F31" s="384"/>
      <c r="G31" s="422"/>
      <c r="H31" s="18"/>
      <c r="I31" s="17"/>
    </row>
    <row r="32" spans="1:9" ht="115.9" customHeight="1" x14ac:dyDescent="0.2">
      <c r="A32" s="19" t="s">
        <v>39</v>
      </c>
      <c r="B32" s="421"/>
      <c r="C32" s="422"/>
      <c r="D32" s="421" t="s">
        <v>582</v>
      </c>
      <c r="E32" s="384"/>
      <c r="F32" s="384"/>
      <c r="G32" s="422"/>
      <c r="H32" s="18"/>
      <c r="I32" s="17"/>
    </row>
    <row r="33" spans="1:9" ht="25.5" customHeight="1" x14ac:dyDescent="0.2">
      <c r="A33" s="51" t="s">
        <v>39</v>
      </c>
      <c r="B33" s="436"/>
      <c r="C33" s="438"/>
      <c r="D33" s="436" t="s">
        <v>477</v>
      </c>
      <c r="E33" s="437"/>
      <c r="F33" s="437"/>
      <c r="G33" s="438"/>
      <c r="H33" s="52"/>
      <c r="I33" s="53"/>
    </row>
    <row r="34" spans="1:9" ht="126" customHeight="1" x14ac:dyDescent="0.2">
      <c r="A34" s="24" t="s">
        <v>15</v>
      </c>
      <c r="B34" s="413" t="s">
        <v>480</v>
      </c>
      <c r="C34" s="414"/>
      <c r="D34" s="415" t="s">
        <v>481</v>
      </c>
      <c r="E34" s="416"/>
      <c r="F34" s="416"/>
      <c r="G34" s="417"/>
      <c r="H34" s="23" t="s">
        <v>1120</v>
      </c>
      <c r="I34" s="22">
        <f>(94800  + 970  * 248) * 1 * 0.6 *  1.4</f>
        <v>281702.39999999997</v>
      </c>
    </row>
    <row r="35" spans="1:9" ht="13.15" customHeight="1" x14ac:dyDescent="0.2">
      <c r="A35" s="19" t="s">
        <v>39</v>
      </c>
      <c r="B35" s="423"/>
      <c r="C35" s="424"/>
      <c r="D35" s="423" t="s">
        <v>45</v>
      </c>
      <c r="E35" s="418"/>
      <c r="F35" s="418"/>
      <c r="G35" s="424"/>
      <c r="H35" s="21"/>
      <c r="I35" s="20"/>
    </row>
    <row r="36" spans="1:9" ht="13.15" customHeight="1" x14ac:dyDescent="0.2">
      <c r="A36" s="19" t="s">
        <v>39</v>
      </c>
      <c r="B36" s="421"/>
      <c r="C36" s="422"/>
      <c r="D36" s="421" t="s">
        <v>205</v>
      </c>
      <c r="E36" s="384"/>
      <c r="F36" s="384"/>
      <c r="G36" s="422"/>
      <c r="H36" s="18"/>
      <c r="I36" s="17"/>
    </row>
    <row r="37" spans="1:9" ht="152.44999999999999" customHeight="1" x14ac:dyDescent="0.2">
      <c r="A37" s="19" t="s">
        <v>39</v>
      </c>
      <c r="B37" s="421"/>
      <c r="C37" s="422"/>
      <c r="D37" s="421" t="s">
        <v>1094</v>
      </c>
      <c r="E37" s="384"/>
      <c r="F37" s="384"/>
      <c r="G37" s="422"/>
      <c r="H37" s="18"/>
      <c r="I37" s="17"/>
    </row>
    <row r="38" spans="1:9" ht="28.5" customHeight="1" x14ac:dyDescent="0.2">
      <c r="A38" s="51" t="s">
        <v>39</v>
      </c>
      <c r="B38" s="436"/>
      <c r="C38" s="438"/>
      <c r="D38" s="436" t="s">
        <v>477</v>
      </c>
      <c r="E38" s="437"/>
      <c r="F38" s="437"/>
      <c r="G38" s="438"/>
      <c r="H38" s="52"/>
      <c r="I38" s="53"/>
    </row>
    <row r="39" spans="1:9" ht="142.5" customHeight="1" x14ac:dyDescent="0.2">
      <c r="A39" s="24" t="s">
        <v>17</v>
      </c>
      <c r="B39" s="413" t="s">
        <v>482</v>
      </c>
      <c r="C39" s="414"/>
      <c r="D39" s="415" t="s">
        <v>483</v>
      </c>
      <c r="E39" s="416"/>
      <c r="F39" s="416"/>
      <c r="G39" s="417"/>
      <c r="H39" s="23" t="s">
        <v>1121</v>
      </c>
      <c r="I39" s="22">
        <f>(107300  + 1475  * (0.4 * 100 + 0.6 * 100 / 2)) * 1 * 0.6 *   0.6*1.4</f>
        <v>106117.2</v>
      </c>
    </row>
    <row r="40" spans="1:9" ht="13.15" customHeight="1" x14ac:dyDescent="0.2">
      <c r="A40" s="19" t="s">
        <v>39</v>
      </c>
      <c r="B40" s="423"/>
      <c r="C40" s="424"/>
      <c r="D40" s="423" t="s">
        <v>45</v>
      </c>
      <c r="E40" s="418"/>
      <c r="F40" s="418"/>
      <c r="G40" s="424"/>
      <c r="H40" s="21"/>
      <c r="I40" s="20"/>
    </row>
    <row r="41" spans="1:9" ht="13.15" customHeight="1" x14ac:dyDescent="0.2">
      <c r="A41" s="19" t="s">
        <v>39</v>
      </c>
      <c r="B41" s="421"/>
      <c r="C41" s="422"/>
      <c r="D41" s="421" t="s">
        <v>205</v>
      </c>
      <c r="E41" s="384"/>
      <c r="F41" s="384"/>
      <c r="G41" s="422"/>
      <c r="H41" s="18"/>
      <c r="I41" s="17"/>
    </row>
    <row r="42" spans="1:9" ht="103.9" customHeight="1" x14ac:dyDescent="0.2">
      <c r="A42" s="19" t="s">
        <v>39</v>
      </c>
      <c r="B42" s="421"/>
      <c r="C42" s="422"/>
      <c r="D42" s="421" t="s">
        <v>583</v>
      </c>
      <c r="E42" s="384"/>
      <c r="F42" s="384"/>
      <c r="G42" s="422"/>
      <c r="H42" s="18"/>
      <c r="I42" s="17"/>
    </row>
    <row r="43" spans="1:9" ht="30.75" customHeight="1" x14ac:dyDescent="0.2">
      <c r="A43" s="51" t="s">
        <v>39</v>
      </c>
      <c r="B43" s="436"/>
      <c r="C43" s="438"/>
      <c r="D43" s="436" t="s">
        <v>477</v>
      </c>
      <c r="E43" s="437"/>
      <c r="F43" s="437"/>
      <c r="G43" s="438"/>
      <c r="H43" s="52"/>
      <c r="I43" s="53"/>
    </row>
    <row r="44" spans="1:9" ht="131.25" customHeight="1" x14ac:dyDescent="0.2">
      <c r="A44" s="24" t="s">
        <v>19</v>
      </c>
      <c r="B44" s="413" t="s">
        <v>484</v>
      </c>
      <c r="C44" s="414"/>
      <c r="D44" s="415" t="s">
        <v>485</v>
      </c>
      <c r="E44" s="416"/>
      <c r="F44" s="416"/>
      <c r="G44" s="417"/>
      <c r="H44" s="23" t="s">
        <v>1122</v>
      </c>
      <c r="I44" s="22">
        <f>(122600  + 641  * 251) * 1 * 0.6 * 1.4</f>
        <v>238132.44</v>
      </c>
    </row>
    <row r="45" spans="1:9" ht="13.15" customHeight="1" x14ac:dyDescent="0.2">
      <c r="A45" s="19" t="s">
        <v>39</v>
      </c>
      <c r="B45" s="423"/>
      <c r="C45" s="424"/>
      <c r="D45" s="423" t="s">
        <v>45</v>
      </c>
      <c r="E45" s="418"/>
      <c r="F45" s="418"/>
      <c r="G45" s="424"/>
      <c r="H45" s="21"/>
      <c r="I45" s="20"/>
    </row>
    <row r="46" spans="1:9" ht="13.15" customHeight="1" x14ac:dyDescent="0.2">
      <c r="A46" s="19" t="s">
        <v>39</v>
      </c>
      <c r="B46" s="421"/>
      <c r="C46" s="422"/>
      <c r="D46" s="421" t="s">
        <v>205</v>
      </c>
      <c r="E46" s="384"/>
      <c r="F46" s="384"/>
      <c r="G46" s="422"/>
      <c r="H46" s="18"/>
      <c r="I46" s="17"/>
    </row>
    <row r="47" spans="1:9" ht="53.25" customHeight="1" x14ac:dyDescent="0.2">
      <c r="A47" s="19" t="s">
        <v>39</v>
      </c>
      <c r="B47" s="421"/>
      <c r="C47" s="422"/>
      <c r="D47" s="421" t="s">
        <v>1094</v>
      </c>
      <c r="E47" s="384"/>
      <c r="F47" s="384"/>
      <c r="G47" s="422"/>
      <c r="H47" s="18"/>
      <c r="I47" s="17"/>
    </row>
    <row r="48" spans="1:9" ht="34.5" customHeight="1" x14ac:dyDescent="0.2">
      <c r="A48" s="51" t="s">
        <v>39</v>
      </c>
      <c r="B48" s="436"/>
      <c r="C48" s="438"/>
      <c r="D48" s="436" t="s">
        <v>65</v>
      </c>
      <c r="E48" s="437"/>
      <c r="F48" s="437"/>
      <c r="G48" s="438"/>
      <c r="H48" s="52"/>
      <c r="I48" s="53"/>
    </row>
    <row r="49" spans="1:9" ht="126" customHeight="1" x14ac:dyDescent="0.2">
      <c r="A49" s="24" t="s">
        <v>20</v>
      </c>
      <c r="B49" s="413" t="s">
        <v>486</v>
      </c>
      <c r="C49" s="414"/>
      <c r="D49" s="415" t="s">
        <v>487</v>
      </c>
      <c r="E49" s="416"/>
      <c r="F49" s="416"/>
      <c r="G49" s="417"/>
      <c r="H49" s="23" t="s">
        <v>1123</v>
      </c>
      <c r="I49" s="22">
        <f>(151900  + 1058  * 152) * 1 * 0.6 *  1.4</f>
        <v>262681.44</v>
      </c>
    </row>
    <row r="50" spans="1:9" ht="13.15" customHeight="1" x14ac:dyDescent="0.2">
      <c r="A50" s="19" t="s">
        <v>39</v>
      </c>
      <c r="B50" s="423"/>
      <c r="C50" s="424"/>
      <c r="D50" s="423" t="s">
        <v>45</v>
      </c>
      <c r="E50" s="418"/>
      <c r="F50" s="418"/>
      <c r="G50" s="424"/>
      <c r="H50" s="21"/>
      <c r="I50" s="20"/>
    </row>
    <row r="51" spans="1:9" ht="13.15" customHeight="1" x14ac:dyDescent="0.2">
      <c r="A51" s="19" t="s">
        <v>39</v>
      </c>
      <c r="B51" s="421"/>
      <c r="C51" s="422"/>
      <c r="D51" s="421" t="s">
        <v>205</v>
      </c>
      <c r="E51" s="384"/>
      <c r="F51" s="384"/>
      <c r="G51" s="422"/>
      <c r="H51" s="18"/>
      <c r="I51" s="17"/>
    </row>
    <row r="52" spans="1:9" ht="66" customHeight="1" x14ac:dyDescent="0.2">
      <c r="A52" s="19" t="s">
        <v>39</v>
      </c>
      <c r="B52" s="421"/>
      <c r="C52" s="422"/>
      <c r="D52" s="421" t="s">
        <v>1094</v>
      </c>
      <c r="E52" s="384"/>
      <c r="F52" s="384"/>
      <c r="G52" s="422"/>
      <c r="H52" s="18"/>
      <c r="I52" s="17"/>
    </row>
    <row r="53" spans="1:9" ht="13.15" customHeight="1" x14ac:dyDescent="0.2">
      <c r="A53" s="51" t="s">
        <v>39</v>
      </c>
      <c r="B53" s="436"/>
      <c r="C53" s="438"/>
      <c r="D53" s="436" t="s">
        <v>65</v>
      </c>
      <c r="E53" s="437"/>
      <c r="F53" s="437"/>
      <c r="G53" s="438"/>
      <c r="H53" s="52"/>
      <c r="I53" s="53"/>
    </row>
    <row r="54" spans="1:9" ht="126.75" customHeight="1" x14ac:dyDescent="0.2">
      <c r="A54" s="24" t="s">
        <v>22</v>
      </c>
      <c r="B54" s="413" t="s">
        <v>488</v>
      </c>
      <c r="C54" s="414"/>
      <c r="D54" s="415" t="s">
        <v>489</v>
      </c>
      <c r="E54" s="416"/>
      <c r="F54" s="416"/>
      <c r="G54" s="417"/>
      <c r="H54" s="23" t="s">
        <v>1124</v>
      </c>
      <c r="I54" s="22">
        <f>(179400+ 1678 * 161) * 1 * 0.6 *  1.4</f>
        <v>377628.72</v>
      </c>
    </row>
    <row r="55" spans="1:9" ht="13.15" customHeight="1" x14ac:dyDescent="0.2">
      <c r="A55" s="19" t="s">
        <v>39</v>
      </c>
      <c r="B55" s="423"/>
      <c r="C55" s="424"/>
      <c r="D55" s="423" t="s">
        <v>45</v>
      </c>
      <c r="E55" s="418"/>
      <c r="F55" s="418"/>
      <c r="G55" s="424"/>
      <c r="H55" s="21"/>
      <c r="I55" s="20"/>
    </row>
    <row r="56" spans="1:9" ht="13.15" customHeight="1" x14ac:dyDescent="0.2">
      <c r="A56" s="19" t="s">
        <v>39</v>
      </c>
      <c r="B56" s="421"/>
      <c r="C56" s="422"/>
      <c r="D56" s="421" t="s">
        <v>205</v>
      </c>
      <c r="E56" s="384"/>
      <c r="F56" s="384"/>
      <c r="G56" s="422"/>
      <c r="H56" s="18"/>
      <c r="I56" s="17"/>
    </row>
    <row r="57" spans="1:9" ht="13.15" hidden="1" customHeight="1" x14ac:dyDescent="0.2">
      <c r="A57" s="19" t="s">
        <v>39</v>
      </c>
      <c r="B57" s="421"/>
      <c r="C57" s="422"/>
      <c r="D57" s="421" t="s">
        <v>472</v>
      </c>
      <c r="E57" s="384"/>
      <c r="F57" s="384"/>
      <c r="G57" s="422"/>
      <c r="H57" s="18"/>
      <c r="I57" s="17"/>
    </row>
    <row r="58" spans="1:9" ht="13.15" hidden="1" customHeight="1" x14ac:dyDescent="0.2">
      <c r="A58" s="19" t="s">
        <v>39</v>
      </c>
      <c r="B58" s="421"/>
      <c r="C58" s="422"/>
      <c r="D58" s="421" t="s">
        <v>473</v>
      </c>
      <c r="E58" s="384"/>
      <c r="F58" s="384"/>
      <c r="G58" s="422"/>
      <c r="H58" s="18"/>
      <c r="I58" s="17"/>
    </row>
    <row r="59" spans="1:9" ht="68.25" customHeight="1" x14ac:dyDescent="0.2">
      <c r="A59" s="19" t="s">
        <v>39</v>
      </c>
      <c r="B59" s="421"/>
      <c r="C59" s="422"/>
      <c r="D59" s="421" t="s">
        <v>1094</v>
      </c>
      <c r="E59" s="384"/>
      <c r="F59" s="384"/>
      <c r="G59" s="422"/>
      <c r="H59" s="18"/>
      <c r="I59" s="17"/>
    </row>
    <row r="60" spans="1:9" ht="13.15" customHeight="1" x14ac:dyDescent="0.2">
      <c r="A60" s="51" t="s">
        <v>39</v>
      </c>
      <c r="B60" s="436"/>
      <c r="C60" s="438"/>
      <c r="D60" s="436" t="s">
        <v>65</v>
      </c>
      <c r="E60" s="437"/>
      <c r="F60" s="437"/>
      <c r="G60" s="438"/>
      <c r="H60" s="52"/>
      <c r="I60" s="53"/>
    </row>
    <row r="61" spans="1:9" ht="132" customHeight="1" x14ac:dyDescent="0.2">
      <c r="A61" s="24" t="s">
        <v>24</v>
      </c>
      <c r="B61" s="413" t="s">
        <v>490</v>
      </c>
      <c r="C61" s="414"/>
      <c r="D61" s="415" t="s">
        <v>491</v>
      </c>
      <c r="E61" s="416"/>
      <c r="F61" s="416"/>
      <c r="G61" s="417"/>
      <c r="H61" s="23" t="s">
        <v>1125</v>
      </c>
      <c r="I61" s="22">
        <f>(270100  + 1769  * 109) * 1 * 0.6*  1.4</f>
        <v>388853.63999999996</v>
      </c>
    </row>
    <row r="62" spans="1:9" ht="13.15" customHeight="1" x14ac:dyDescent="0.2">
      <c r="A62" s="19" t="s">
        <v>39</v>
      </c>
      <c r="B62" s="423"/>
      <c r="C62" s="424"/>
      <c r="D62" s="423" t="s">
        <v>45</v>
      </c>
      <c r="E62" s="418"/>
      <c r="F62" s="418"/>
      <c r="G62" s="424"/>
      <c r="H62" s="21"/>
      <c r="I62" s="20"/>
    </row>
    <row r="63" spans="1:9" ht="13.15" customHeight="1" x14ac:dyDescent="0.2">
      <c r="A63" s="19" t="s">
        <v>39</v>
      </c>
      <c r="B63" s="421"/>
      <c r="C63" s="422"/>
      <c r="D63" s="421" t="s">
        <v>205</v>
      </c>
      <c r="E63" s="384"/>
      <c r="F63" s="384"/>
      <c r="G63" s="422"/>
      <c r="H63" s="18"/>
      <c r="I63" s="17"/>
    </row>
    <row r="64" spans="1:9" ht="82.5" customHeight="1" x14ac:dyDescent="0.2">
      <c r="A64" s="19" t="s">
        <v>39</v>
      </c>
      <c r="B64" s="421"/>
      <c r="C64" s="422"/>
      <c r="D64" s="421" t="s">
        <v>1102</v>
      </c>
      <c r="E64" s="384"/>
      <c r="F64" s="384"/>
      <c r="G64" s="422"/>
      <c r="H64" s="18"/>
      <c r="I64" s="17"/>
    </row>
    <row r="65" spans="1:9" ht="13.15" customHeight="1" x14ac:dyDescent="0.2">
      <c r="A65" s="51" t="s">
        <v>39</v>
      </c>
      <c r="B65" s="436"/>
      <c r="C65" s="438"/>
      <c r="D65" s="436" t="s">
        <v>65</v>
      </c>
      <c r="E65" s="437"/>
      <c r="F65" s="437"/>
      <c r="G65" s="438"/>
      <c r="H65" s="52"/>
      <c r="I65" s="53"/>
    </row>
    <row r="66" spans="1:9" ht="141.75" customHeight="1" x14ac:dyDescent="0.2">
      <c r="A66" s="24" t="s">
        <v>26</v>
      </c>
      <c r="B66" s="413" t="s">
        <v>492</v>
      </c>
      <c r="C66" s="414"/>
      <c r="D66" s="415" t="s">
        <v>493</v>
      </c>
      <c r="E66" s="416"/>
      <c r="F66" s="416"/>
      <c r="G66" s="417"/>
      <c r="H66" s="23" t="s">
        <v>1126</v>
      </c>
      <c r="I66" s="22">
        <f>(335200+ 2641  * (0.4 * 100 + 0.6 * 100 / 2)) * 1 * 0.6 *   0.56*1.4</f>
        <v>244640.92800000001</v>
      </c>
    </row>
    <row r="67" spans="1:9" ht="13.15" customHeight="1" x14ac:dyDescent="0.2">
      <c r="A67" s="19" t="s">
        <v>39</v>
      </c>
      <c r="B67" s="423"/>
      <c r="C67" s="424"/>
      <c r="D67" s="423" t="s">
        <v>45</v>
      </c>
      <c r="E67" s="418"/>
      <c r="F67" s="418"/>
      <c r="G67" s="424"/>
      <c r="H67" s="21"/>
      <c r="I67" s="20"/>
    </row>
    <row r="68" spans="1:9" ht="13.15" customHeight="1" x14ac:dyDescent="0.2">
      <c r="A68" s="19" t="s">
        <v>39</v>
      </c>
      <c r="B68" s="421"/>
      <c r="C68" s="422"/>
      <c r="D68" s="421" t="s">
        <v>205</v>
      </c>
      <c r="E68" s="384"/>
      <c r="F68" s="384"/>
      <c r="G68" s="422"/>
      <c r="H68" s="18"/>
      <c r="I68" s="17"/>
    </row>
    <row r="69" spans="1:9" ht="82.5" customHeight="1" x14ac:dyDescent="0.2">
      <c r="A69" s="19" t="s">
        <v>39</v>
      </c>
      <c r="B69" s="421"/>
      <c r="C69" s="422"/>
      <c r="D69" s="421" t="s">
        <v>1297</v>
      </c>
      <c r="E69" s="384"/>
      <c r="F69" s="384"/>
      <c r="G69" s="422"/>
      <c r="H69" s="18"/>
      <c r="I69" s="17"/>
    </row>
    <row r="70" spans="1:9" ht="64.150000000000006" customHeight="1" x14ac:dyDescent="0.2">
      <c r="A70" s="19" t="s">
        <v>39</v>
      </c>
      <c r="B70" s="421"/>
      <c r="C70" s="422"/>
      <c r="D70" s="421" t="s">
        <v>584</v>
      </c>
      <c r="E70" s="384"/>
      <c r="F70" s="384"/>
      <c r="G70" s="422"/>
      <c r="H70" s="18"/>
      <c r="I70" s="17"/>
    </row>
    <row r="71" spans="1:9" ht="13.15" customHeight="1" x14ac:dyDescent="0.2">
      <c r="A71" s="51" t="s">
        <v>39</v>
      </c>
      <c r="B71" s="436"/>
      <c r="C71" s="438"/>
      <c r="D71" s="436" t="s">
        <v>65</v>
      </c>
      <c r="E71" s="437"/>
      <c r="F71" s="437"/>
      <c r="G71" s="438"/>
      <c r="H71" s="52"/>
      <c r="I71" s="53"/>
    </row>
    <row r="72" spans="1:9" ht="121.5" customHeight="1" x14ac:dyDescent="0.2">
      <c r="A72" s="24" t="s">
        <v>27</v>
      </c>
      <c r="B72" s="413" t="s">
        <v>67</v>
      </c>
      <c r="C72" s="414"/>
      <c r="D72" s="415" t="s">
        <v>494</v>
      </c>
      <c r="E72" s="416"/>
      <c r="F72" s="416"/>
      <c r="G72" s="417"/>
      <c r="H72" s="23" t="s">
        <v>1127</v>
      </c>
      <c r="I72" s="22">
        <f>33300 * 23 * 0.6* 1.4</f>
        <v>643356</v>
      </c>
    </row>
    <row r="73" spans="1:9" ht="13.15" customHeight="1" x14ac:dyDescent="0.2">
      <c r="A73" s="19" t="s">
        <v>39</v>
      </c>
      <c r="B73" s="423"/>
      <c r="C73" s="424"/>
      <c r="D73" s="423" t="s">
        <v>45</v>
      </c>
      <c r="E73" s="418"/>
      <c r="F73" s="418"/>
      <c r="G73" s="424"/>
      <c r="H73" s="21"/>
      <c r="I73" s="20"/>
    </row>
    <row r="74" spans="1:9" ht="13.15" customHeight="1" x14ac:dyDescent="0.2">
      <c r="A74" s="19" t="s">
        <v>39</v>
      </c>
      <c r="B74" s="421"/>
      <c r="C74" s="422"/>
      <c r="D74" s="421" t="s">
        <v>205</v>
      </c>
      <c r="E74" s="384"/>
      <c r="F74" s="384"/>
      <c r="G74" s="422"/>
      <c r="H74" s="18"/>
      <c r="I74" s="17"/>
    </row>
    <row r="75" spans="1:9" ht="62.25" customHeight="1" x14ac:dyDescent="0.2">
      <c r="A75" s="19" t="s">
        <v>39</v>
      </c>
      <c r="B75" s="421"/>
      <c r="C75" s="422"/>
      <c r="D75" s="421" t="s">
        <v>1094</v>
      </c>
      <c r="E75" s="384"/>
      <c r="F75" s="384"/>
      <c r="G75" s="422"/>
      <c r="H75" s="18"/>
      <c r="I75" s="17"/>
    </row>
    <row r="76" spans="1:9" ht="24" customHeight="1" x14ac:dyDescent="0.2">
      <c r="A76" s="51" t="s">
        <v>39</v>
      </c>
      <c r="B76" s="436"/>
      <c r="C76" s="438"/>
      <c r="D76" s="436" t="s">
        <v>65</v>
      </c>
      <c r="E76" s="437"/>
      <c r="F76" s="437"/>
      <c r="G76" s="438"/>
      <c r="H76" s="52"/>
      <c r="I76" s="53"/>
    </row>
    <row r="77" spans="1:9" ht="121.5" customHeight="1" x14ac:dyDescent="0.2">
      <c r="A77" s="24" t="s">
        <v>28</v>
      </c>
      <c r="B77" s="413" t="s">
        <v>495</v>
      </c>
      <c r="C77" s="414"/>
      <c r="D77" s="415" t="s">
        <v>496</v>
      </c>
      <c r="E77" s="416"/>
      <c r="F77" s="416"/>
      <c r="G77" s="417"/>
      <c r="H77" s="23" t="s">
        <v>1128</v>
      </c>
      <c r="I77" s="22">
        <f>27700  * 1 * 0.6 *  1.4</f>
        <v>23268</v>
      </c>
    </row>
    <row r="78" spans="1:9" ht="28.9" customHeight="1" x14ac:dyDescent="0.2">
      <c r="A78" s="19" t="s">
        <v>39</v>
      </c>
      <c r="B78" s="423"/>
      <c r="C78" s="424"/>
      <c r="D78" s="423" t="s">
        <v>45</v>
      </c>
      <c r="E78" s="418"/>
      <c r="F78" s="418"/>
      <c r="G78" s="424"/>
      <c r="H78" s="21"/>
      <c r="I78" s="20"/>
    </row>
    <row r="79" spans="1:9" ht="13.15" customHeight="1" x14ac:dyDescent="0.2">
      <c r="A79" s="19" t="s">
        <v>39</v>
      </c>
      <c r="B79" s="421"/>
      <c r="C79" s="422"/>
      <c r="D79" s="421" t="s">
        <v>205</v>
      </c>
      <c r="E79" s="384"/>
      <c r="F79" s="384"/>
      <c r="G79" s="422"/>
      <c r="H79" s="18"/>
      <c r="I79" s="17"/>
    </row>
    <row r="80" spans="1:9" ht="66.75" customHeight="1" x14ac:dyDescent="0.2">
      <c r="A80" s="19" t="s">
        <v>39</v>
      </c>
      <c r="B80" s="421"/>
      <c r="C80" s="422"/>
      <c r="D80" s="421" t="s">
        <v>1094</v>
      </c>
      <c r="E80" s="384"/>
      <c r="F80" s="384"/>
      <c r="G80" s="422"/>
      <c r="H80" s="18"/>
      <c r="I80" s="17"/>
    </row>
    <row r="81" spans="1:9" ht="42.6" customHeight="1" x14ac:dyDescent="0.2">
      <c r="A81" s="51" t="s">
        <v>39</v>
      </c>
      <c r="B81" s="436"/>
      <c r="C81" s="438"/>
      <c r="D81" s="436" t="s">
        <v>65</v>
      </c>
      <c r="E81" s="437"/>
      <c r="F81" s="437"/>
      <c r="G81" s="438"/>
      <c r="H81" s="52"/>
      <c r="I81" s="53"/>
    </row>
    <row r="82" spans="1:9" ht="13.15" customHeight="1" x14ac:dyDescent="0.2">
      <c r="A82" s="11" t="s">
        <v>30</v>
      </c>
      <c r="B82" s="395" t="s">
        <v>43</v>
      </c>
      <c r="C82" s="396"/>
      <c r="D82" s="395"/>
      <c r="E82" s="397"/>
      <c r="F82" s="397"/>
      <c r="G82" s="396"/>
      <c r="H82" s="10"/>
      <c r="I82" s="9">
        <f>I18+I23+I29+I34+I39+I44+I49+I54+I61+I66+I72+I77</f>
        <v>2737645.8479999998</v>
      </c>
    </row>
    <row r="83" spans="1:9" ht="51.75" customHeight="1" x14ac:dyDescent="0.2">
      <c r="A83" s="11" t="s">
        <v>32</v>
      </c>
      <c r="B83" s="392" t="s">
        <v>1076</v>
      </c>
      <c r="C83" s="393"/>
      <c r="D83" s="392" t="s">
        <v>1064</v>
      </c>
      <c r="E83" s="394"/>
      <c r="F83" s="394"/>
      <c r="G83" s="393"/>
      <c r="H83" s="13" t="s">
        <v>1079</v>
      </c>
      <c r="I83" s="12">
        <f>I82*1.4</f>
        <v>3832704.1871999996</v>
      </c>
    </row>
    <row r="84" spans="1:9" ht="13.15" customHeight="1" x14ac:dyDescent="0.2">
      <c r="A84" s="11" t="s">
        <v>34</v>
      </c>
      <c r="B84" s="395" t="s">
        <v>42</v>
      </c>
      <c r="C84" s="396"/>
      <c r="D84" s="395"/>
      <c r="E84" s="397"/>
      <c r="F84" s="397"/>
      <c r="G84" s="396"/>
      <c r="H84" s="10"/>
      <c r="I84" s="9">
        <f>I83</f>
        <v>3832704.1871999996</v>
      </c>
    </row>
    <row r="85" spans="1:9" ht="13.15" customHeight="1" x14ac:dyDescent="0.2">
      <c r="A85" s="5"/>
      <c r="B85" s="5"/>
      <c r="C85" s="5"/>
      <c r="D85" s="5"/>
      <c r="E85" s="5"/>
      <c r="F85" s="5"/>
      <c r="G85" s="5"/>
      <c r="H85" s="5"/>
      <c r="I85" s="5"/>
    </row>
    <row r="86" spans="1:9" ht="12.75" customHeight="1" x14ac:dyDescent="0.2"/>
    <row r="87" spans="1:9" s="8" customFormat="1" ht="25.15" hidden="1" customHeight="1" x14ac:dyDescent="0.2">
      <c r="A87" s="384" t="s">
        <v>41</v>
      </c>
      <c r="B87" s="384"/>
      <c r="C87" s="384"/>
      <c r="D87" s="384" t="s">
        <v>231</v>
      </c>
      <c r="E87" s="384"/>
      <c r="F87" s="384"/>
      <c r="G87" s="384"/>
      <c r="H87" s="384"/>
      <c r="I87" s="384"/>
    </row>
    <row r="88" spans="1:9" ht="12.75" customHeight="1" x14ac:dyDescent="0.2">
      <c r="D88" s="7"/>
    </row>
    <row r="89" spans="1:9" x14ac:dyDescent="0.2">
      <c r="A89" s="391" t="s">
        <v>0</v>
      </c>
      <c r="B89" s="391"/>
      <c r="C89" s="391"/>
      <c r="D89" s="391"/>
      <c r="E89" s="391"/>
      <c r="F89" s="391"/>
      <c r="G89" s="391"/>
      <c r="H89" s="391"/>
      <c r="I89" s="391"/>
    </row>
    <row r="90" spans="1:9" ht="12.75" customHeight="1" x14ac:dyDescent="0.2">
      <c r="A90" s="391"/>
      <c r="B90" s="391"/>
      <c r="C90" s="391"/>
      <c r="D90" s="391"/>
      <c r="E90" s="391"/>
      <c r="F90" s="391"/>
      <c r="G90" s="391"/>
      <c r="H90" s="391"/>
      <c r="I90" s="391"/>
    </row>
    <row r="91" spans="1:9" x14ac:dyDescent="0.2">
      <c r="D91" s="389" t="s">
        <v>2</v>
      </c>
      <c r="E91" s="390"/>
      <c r="F91" s="390"/>
      <c r="G91" s="390"/>
      <c r="H91" s="390"/>
      <c r="I91" s="390"/>
    </row>
    <row r="92" spans="1:9" ht="12.75" customHeight="1" x14ac:dyDescent="0.2"/>
    <row r="93" spans="1:9" x14ac:dyDescent="0.2">
      <c r="A93" s="391" t="s">
        <v>1</v>
      </c>
      <c r="B93" s="391"/>
      <c r="C93" s="391"/>
      <c r="D93" s="391"/>
      <c r="E93" s="391"/>
      <c r="F93" s="391"/>
      <c r="G93" s="391"/>
      <c r="H93" s="391"/>
      <c r="I93" s="391"/>
    </row>
    <row r="94" spans="1:9" ht="12.75" customHeight="1" x14ac:dyDescent="0.2">
      <c r="A94" s="391"/>
      <c r="B94" s="391"/>
      <c r="C94" s="391"/>
      <c r="D94" s="391"/>
      <c r="E94" s="391"/>
      <c r="F94" s="391"/>
      <c r="G94" s="391"/>
      <c r="H94" s="391"/>
      <c r="I94" s="391"/>
    </row>
    <row r="95" spans="1:9" x14ac:dyDescent="0.2">
      <c r="D95" s="389" t="s">
        <v>2</v>
      </c>
      <c r="E95" s="390"/>
      <c r="F95" s="390"/>
      <c r="G95" s="390"/>
      <c r="H95" s="390"/>
      <c r="I95" s="390"/>
    </row>
    <row r="96" spans="1:9" ht="12.75" customHeight="1" x14ac:dyDescent="0.2"/>
    <row r="97" spans="1:9" x14ac:dyDescent="0.2">
      <c r="A97" s="391" t="s">
        <v>5</v>
      </c>
      <c r="B97" s="391"/>
      <c r="C97" s="391"/>
      <c r="D97" s="391"/>
      <c r="E97" s="391"/>
      <c r="F97" s="391"/>
      <c r="G97" s="6" t="s">
        <v>7</v>
      </c>
      <c r="H97" s="391"/>
      <c r="I97" s="391"/>
    </row>
    <row r="98" spans="1:9" x14ac:dyDescent="0.2">
      <c r="D98" s="389" t="s">
        <v>40</v>
      </c>
      <c r="E98" s="390"/>
      <c r="F98" s="390"/>
      <c r="H98" s="389" t="s">
        <v>2</v>
      </c>
      <c r="I98" s="390"/>
    </row>
    <row r="99" spans="1:9" ht="12.75" customHeight="1" x14ac:dyDescent="0.2"/>
    <row r="100" spans="1:9" x14ac:dyDescent="0.2">
      <c r="A100" s="391" t="s">
        <v>3</v>
      </c>
      <c r="B100" s="391"/>
      <c r="C100" s="391"/>
      <c r="D100" s="391"/>
      <c r="E100" s="391"/>
      <c r="F100" s="391"/>
      <c r="G100" s="391"/>
      <c r="H100" s="391"/>
      <c r="I100" s="391"/>
    </row>
    <row r="101" spans="1:9" x14ac:dyDescent="0.2">
      <c r="D101" s="389" t="s">
        <v>6</v>
      </c>
      <c r="E101" s="390"/>
      <c r="F101" s="390"/>
      <c r="G101" s="390"/>
      <c r="H101" s="390"/>
      <c r="I101" s="390"/>
    </row>
    <row r="102" spans="1:9" ht="12.75" customHeight="1" x14ac:dyDescent="0.2"/>
  </sheetData>
  <mergeCells count="168">
    <mergeCell ref="B69:C69"/>
    <mergeCell ref="D69:G69"/>
    <mergeCell ref="H97:I97"/>
    <mergeCell ref="D98:F98"/>
    <mergeCell ref="H98:I98"/>
    <mergeCell ref="A100:C100"/>
    <mergeCell ref="D100:I100"/>
    <mergeCell ref="D101:I101"/>
    <mergeCell ref="A97:C97"/>
    <mergeCell ref="D97:F97"/>
    <mergeCell ref="D91:I91"/>
    <mergeCell ref="A93:C94"/>
    <mergeCell ref="D93:I94"/>
    <mergeCell ref="D95:I95"/>
    <mergeCell ref="A87:C87"/>
    <mergeCell ref="D87:I87"/>
    <mergeCell ref="A89:C90"/>
    <mergeCell ref="D89:I90"/>
    <mergeCell ref="B82:C82"/>
    <mergeCell ref="D82:G82"/>
    <mergeCell ref="B83:C83"/>
    <mergeCell ref="D83:G83"/>
    <mergeCell ref="B84:C84"/>
    <mergeCell ref="D84:G84"/>
    <mergeCell ref="B79:C79"/>
    <mergeCell ref="D79:G79"/>
    <mergeCell ref="B80:C80"/>
    <mergeCell ref="D80:G80"/>
    <mergeCell ref="B81:C81"/>
    <mergeCell ref="D81:G81"/>
    <mergeCell ref="B76:C76"/>
    <mergeCell ref="D76:G76"/>
    <mergeCell ref="B77:C77"/>
    <mergeCell ref="D77:G77"/>
    <mergeCell ref="B78:C78"/>
    <mergeCell ref="D78:G78"/>
    <mergeCell ref="B73:C73"/>
    <mergeCell ref="D73:G73"/>
    <mergeCell ref="B74:C74"/>
    <mergeCell ref="D74:G74"/>
    <mergeCell ref="B75:C75"/>
    <mergeCell ref="D75:G75"/>
    <mergeCell ref="B70:C70"/>
    <mergeCell ref="D70:G70"/>
    <mergeCell ref="B71:C71"/>
    <mergeCell ref="D71:G71"/>
    <mergeCell ref="B72:C72"/>
    <mergeCell ref="D72:G72"/>
    <mergeCell ref="B67:C67"/>
    <mergeCell ref="D67:G67"/>
    <mergeCell ref="B68:C68"/>
    <mergeCell ref="D68:G68"/>
    <mergeCell ref="B64:C64"/>
    <mergeCell ref="D64:G64"/>
    <mergeCell ref="B65:C65"/>
    <mergeCell ref="D65:G65"/>
    <mergeCell ref="B66:C66"/>
    <mergeCell ref="D66:G66"/>
    <mergeCell ref="B61:C61"/>
    <mergeCell ref="D61:G61"/>
    <mergeCell ref="B62:C62"/>
    <mergeCell ref="D62:G62"/>
    <mergeCell ref="B63:C63"/>
    <mergeCell ref="D63:G63"/>
    <mergeCell ref="B58:C58"/>
    <mergeCell ref="D58:G58"/>
    <mergeCell ref="B59:C59"/>
    <mergeCell ref="D59:G59"/>
    <mergeCell ref="B60:C60"/>
    <mergeCell ref="D60:G60"/>
    <mergeCell ref="B55:C55"/>
    <mergeCell ref="D55:G55"/>
    <mergeCell ref="B56:C56"/>
    <mergeCell ref="D56:G56"/>
    <mergeCell ref="B57:C57"/>
    <mergeCell ref="D57:G57"/>
    <mergeCell ref="B52:C52"/>
    <mergeCell ref="D52:G52"/>
    <mergeCell ref="B53:C53"/>
    <mergeCell ref="D53:G53"/>
    <mergeCell ref="B54:C54"/>
    <mergeCell ref="D54:G54"/>
    <mergeCell ref="B49:C49"/>
    <mergeCell ref="D49:G49"/>
    <mergeCell ref="B50:C50"/>
    <mergeCell ref="D50:G50"/>
    <mergeCell ref="B51:C51"/>
    <mergeCell ref="D51:G51"/>
    <mergeCell ref="B46:C46"/>
    <mergeCell ref="D46:G46"/>
    <mergeCell ref="B47:C47"/>
    <mergeCell ref="D47:G47"/>
    <mergeCell ref="B48:C48"/>
    <mergeCell ref="D48:G48"/>
    <mergeCell ref="B43:C43"/>
    <mergeCell ref="D43:G43"/>
    <mergeCell ref="B44:C44"/>
    <mergeCell ref="D44:G44"/>
    <mergeCell ref="B45:C45"/>
    <mergeCell ref="D45:G45"/>
    <mergeCell ref="B41:C41"/>
    <mergeCell ref="D41:G41"/>
    <mergeCell ref="B42:C42"/>
    <mergeCell ref="D42:G42"/>
    <mergeCell ref="B38:C38"/>
    <mergeCell ref="D38:G38"/>
    <mergeCell ref="B39:C39"/>
    <mergeCell ref="D39:G39"/>
    <mergeCell ref="B40:C40"/>
    <mergeCell ref="D40:G40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30:C30"/>
    <mergeCell ref="D30:G30"/>
    <mergeCell ref="B31:C31"/>
    <mergeCell ref="D31:G31"/>
    <mergeCell ref="B27:C27"/>
    <mergeCell ref="D27:G27"/>
    <mergeCell ref="B28:C28"/>
    <mergeCell ref="D28:G28"/>
    <mergeCell ref="B29:C29"/>
    <mergeCell ref="D29:G29"/>
    <mergeCell ref="B22:C22"/>
    <mergeCell ref="D22:G22"/>
    <mergeCell ref="A23:A24"/>
    <mergeCell ref="B23:C24"/>
    <mergeCell ref="D23:G24"/>
    <mergeCell ref="H23:H24"/>
    <mergeCell ref="I23:I24"/>
    <mergeCell ref="B25:C25"/>
    <mergeCell ref="D25:G25"/>
    <mergeCell ref="B26:C26"/>
    <mergeCell ref="D26:G26"/>
    <mergeCell ref="B19:C19"/>
    <mergeCell ref="D19:G19"/>
    <mergeCell ref="B20:C20"/>
    <mergeCell ref="D20:G20"/>
    <mergeCell ref="B21:C21"/>
    <mergeCell ref="D21:G21"/>
    <mergeCell ref="B17:C17"/>
    <mergeCell ref="D17:G17"/>
    <mergeCell ref="B18:C18"/>
    <mergeCell ref="D18:G18"/>
    <mergeCell ref="A8:I8"/>
    <mergeCell ref="A10:C10"/>
    <mergeCell ref="D10:I10"/>
    <mergeCell ref="A12:C12"/>
    <mergeCell ref="D12:I12"/>
    <mergeCell ref="A14:I14"/>
    <mergeCell ref="A1:C1"/>
    <mergeCell ref="D1:I1"/>
    <mergeCell ref="A3:I3"/>
    <mergeCell ref="A4:I4"/>
    <mergeCell ref="A6:B6"/>
    <mergeCell ref="C6:G6"/>
    <mergeCell ref="A15:I15"/>
    <mergeCell ref="B16:C16"/>
    <mergeCell ref="D16:G16"/>
  </mergeCells>
  <pageMargins left="0.39370078740157477" right="0.39370078740157477" top="0.74803149606299213" bottom="0.74803149606299213" header="0.31496062992125984" footer="0.31496062992125984"/>
  <pageSetup paperSize="9" scale="87" orientation="portrait" useFirstPageNumber="1" horizontalDpi="300" verticalDpi="300" r:id="rId1"/>
  <headerFooter alignWithMargins="0">
    <oddFooter>&amp;CСтраница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6"/>
  <dimension ref="A1:K59"/>
  <sheetViews>
    <sheetView view="pageBreakPreview" zoomScale="60" zoomScaleNormal="100" workbookViewId="0">
      <selection activeCell="R25" sqref="R25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91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1285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26.25" customHeight="1" x14ac:dyDescent="0.2">
      <c r="A8" s="384" t="s">
        <v>559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0" ht="31.5" customHeight="1" x14ac:dyDescent="0.2">
      <c r="A18" s="11" t="s">
        <v>10</v>
      </c>
      <c r="B18" s="395" t="s">
        <v>78</v>
      </c>
      <c r="C18" s="396"/>
      <c r="D18" s="395" t="s">
        <v>89</v>
      </c>
      <c r="E18" s="397"/>
      <c r="F18" s="397"/>
      <c r="G18" s="396"/>
      <c r="H18" s="10"/>
      <c r="I18" s="35"/>
    </row>
    <row r="19" spans="1:10" ht="97.35" customHeight="1" x14ac:dyDescent="0.2">
      <c r="A19" s="24" t="s">
        <v>88</v>
      </c>
      <c r="B19" s="413" t="s">
        <v>87</v>
      </c>
      <c r="C19" s="414"/>
      <c r="D19" s="415" t="s">
        <v>540</v>
      </c>
      <c r="E19" s="416"/>
      <c r="F19" s="416"/>
      <c r="G19" s="417"/>
      <c r="H19" s="23" t="s">
        <v>1129</v>
      </c>
      <c r="I19" s="22">
        <f>(0 + 6400 * 21) * 1 * 0.6 * 1.29 *1.4</f>
        <v>145635.84</v>
      </c>
      <c r="J19" s="78"/>
    </row>
    <row r="20" spans="1:10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10" ht="26.45" customHeight="1" x14ac:dyDescent="0.2">
      <c r="A21" s="19" t="s">
        <v>39</v>
      </c>
      <c r="B21" s="421"/>
      <c r="C21" s="422"/>
      <c r="D21" s="421" t="s">
        <v>562</v>
      </c>
      <c r="E21" s="384"/>
      <c r="F21" s="384"/>
      <c r="G21" s="422"/>
      <c r="H21" s="18"/>
      <c r="I21" s="17"/>
    </row>
    <row r="22" spans="1:10" ht="52.9" customHeight="1" x14ac:dyDescent="0.2">
      <c r="A22" s="19" t="s">
        <v>39</v>
      </c>
      <c r="B22" s="421"/>
      <c r="C22" s="422"/>
      <c r="D22" s="421" t="s">
        <v>1080</v>
      </c>
      <c r="E22" s="384"/>
      <c r="F22" s="384"/>
      <c r="G22" s="422"/>
      <c r="H22" s="18"/>
      <c r="I22" s="17"/>
    </row>
    <row r="23" spans="1:10" ht="73.5" customHeight="1" x14ac:dyDescent="0.2">
      <c r="A23" s="19" t="s">
        <v>39</v>
      </c>
      <c r="B23" s="421"/>
      <c r="C23" s="422"/>
      <c r="D23" s="421" t="s">
        <v>1094</v>
      </c>
      <c r="E23" s="384"/>
      <c r="F23" s="384"/>
      <c r="G23" s="422"/>
      <c r="H23" s="18"/>
      <c r="I23" s="17"/>
    </row>
    <row r="24" spans="1:10" ht="132" hidden="1" customHeight="1" x14ac:dyDescent="0.2">
      <c r="A24" s="16" t="s">
        <v>39</v>
      </c>
      <c r="B24" s="427"/>
      <c r="C24" s="428"/>
      <c r="D24" s="427" t="s">
        <v>86</v>
      </c>
      <c r="E24" s="429"/>
      <c r="F24" s="429"/>
      <c r="G24" s="428"/>
      <c r="H24" s="15"/>
      <c r="I24" s="14"/>
    </row>
    <row r="25" spans="1:10" ht="97.35" customHeight="1" x14ac:dyDescent="0.2">
      <c r="A25" s="24" t="s">
        <v>85</v>
      </c>
      <c r="B25" s="413" t="s">
        <v>59</v>
      </c>
      <c r="C25" s="414"/>
      <c r="D25" s="415" t="s">
        <v>84</v>
      </c>
      <c r="E25" s="416"/>
      <c r="F25" s="416"/>
      <c r="G25" s="417"/>
      <c r="H25" s="23" t="s">
        <v>1130</v>
      </c>
      <c r="I25" s="22">
        <f>(53100 + 186  * 1780) * 1 * 0.6 * 1.4  * 1.4</f>
        <v>451795.67999999993</v>
      </c>
    </row>
    <row r="26" spans="1:10" ht="16.149999999999999" customHeight="1" x14ac:dyDescent="0.2">
      <c r="A26" s="19" t="s">
        <v>39</v>
      </c>
      <c r="B26" s="423"/>
      <c r="C26" s="424"/>
      <c r="D26" s="423" t="s">
        <v>45</v>
      </c>
      <c r="E26" s="418"/>
      <c r="F26" s="418"/>
      <c r="G26" s="424"/>
      <c r="H26" s="21"/>
      <c r="I26" s="20"/>
    </row>
    <row r="27" spans="1:10" ht="26.45" customHeight="1" x14ac:dyDescent="0.2">
      <c r="A27" s="19" t="s">
        <v>39</v>
      </c>
      <c r="B27" s="421"/>
      <c r="C27" s="422"/>
      <c r="D27" s="421" t="s">
        <v>562</v>
      </c>
      <c r="E27" s="384"/>
      <c r="F27" s="384"/>
      <c r="G27" s="422"/>
      <c r="H27" s="18"/>
      <c r="I27" s="17"/>
    </row>
    <row r="28" spans="1:10" ht="52.9" customHeight="1" x14ac:dyDescent="0.2">
      <c r="A28" s="19" t="s">
        <v>39</v>
      </c>
      <c r="B28" s="421"/>
      <c r="C28" s="422"/>
      <c r="D28" s="421" t="s">
        <v>1081</v>
      </c>
      <c r="E28" s="384"/>
      <c r="F28" s="384"/>
      <c r="G28" s="422"/>
      <c r="H28" s="18"/>
      <c r="I28" s="17"/>
    </row>
    <row r="29" spans="1:10" ht="184.9" hidden="1" customHeight="1" x14ac:dyDescent="0.2">
      <c r="A29" s="19" t="s">
        <v>39</v>
      </c>
      <c r="B29" s="421"/>
      <c r="C29" s="422"/>
      <c r="D29" s="421" t="s">
        <v>57</v>
      </c>
      <c r="E29" s="384"/>
      <c r="F29" s="384"/>
      <c r="G29" s="422"/>
      <c r="H29" s="18"/>
      <c r="I29" s="17"/>
    </row>
    <row r="30" spans="1:10" ht="77.25" customHeight="1" x14ac:dyDescent="0.2">
      <c r="A30" s="16" t="s">
        <v>39</v>
      </c>
      <c r="B30" s="427"/>
      <c r="C30" s="428"/>
      <c r="D30" s="427" t="s">
        <v>1089</v>
      </c>
      <c r="E30" s="429"/>
      <c r="F30" s="429"/>
      <c r="G30" s="428"/>
      <c r="H30" s="15"/>
      <c r="I30" s="14"/>
    </row>
    <row r="31" spans="1:10" ht="26.45" customHeight="1" x14ac:dyDescent="0.2">
      <c r="A31" s="11" t="s">
        <v>83</v>
      </c>
      <c r="B31" s="395" t="s">
        <v>82</v>
      </c>
      <c r="C31" s="396"/>
      <c r="D31" s="395"/>
      <c r="E31" s="397"/>
      <c r="F31" s="397"/>
      <c r="G31" s="396"/>
      <c r="H31" s="10"/>
      <c r="I31" s="9">
        <f>I19+I25</f>
        <v>597431.5199999999</v>
      </c>
    </row>
    <row r="32" spans="1:10" ht="26.45" customHeight="1" x14ac:dyDescent="0.2">
      <c r="A32" s="11" t="s">
        <v>81</v>
      </c>
      <c r="B32" s="395" t="s">
        <v>80</v>
      </c>
      <c r="C32" s="396"/>
      <c r="D32" s="395"/>
      <c r="E32" s="397"/>
      <c r="F32" s="397"/>
      <c r="G32" s="396"/>
      <c r="H32" s="10" t="s">
        <v>79</v>
      </c>
      <c r="I32" s="9">
        <f>I31</f>
        <v>597431.5199999999</v>
      </c>
    </row>
    <row r="33" spans="1:11" ht="26.45" customHeight="1" x14ac:dyDescent="0.2">
      <c r="A33" s="11" t="s">
        <v>11</v>
      </c>
      <c r="B33" s="395" t="s">
        <v>78</v>
      </c>
      <c r="C33" s="396"/>
      <c r="D33" s="395" t="s">
        <v>77</v>
      </c>
      <c r="E33" s="397"/>
      <c r="F33" s="397"/>
      <c r="G33" s="396"/>
      <c r="H33" s="10"/>
      <c r="I33" s="35"/>
    </row>
    <row r="34" spans="1:11" ht="123.75" customHeight="1" x14ac:dyDescent="0.2">
      <c r="A34" s="24" t="s">
        <v>76</v>
      </c>
      <c r="B34" s="413" t="s">
        <v>541</v>
      </c>
      <c r="C34" s="414"/>
      <c r="D34" s="415" t="s">
        <v>542</v>
      </c>
      <c r="E34" s="416"/>
      <c r="F34" s="416"/>
      <c r="G34" s="417"/>
      <c r="H34" s="23" t="s">
        <v>1131</v>
      </c>
      <c r="I34" s="22">
        <f>(110100  + 7105  * 42) * 1 * 0.6 * 1.4 *1.4</f>
        <v>480407.75999999989</v>
      </c>
      <c r="K34" s="78"/>
    </row>
    <row r="35" spans="1:11" ht="16.149999999999999" customHeight="1" x14ac:dyDescent="0.2">
      <c r="A35" s="19" t="s">
        <v>39</v>
      </c>
      <c r="B35" s="423"/>
      <c r="C35" s="424"/>
      <c r="D35" s="423" t="s">
        <v>45</v>
      </c>
      <c r="E35" s="418"/>
      <c r="F35" s="418"/>
      <c r="G35" s="424"/>
      <c r="H35" s="21"/>
      <c r="I35" s="20"/>
    </row>
    <row r="36" spans="1:11" ht="26.45" customHeight="1" x14ac:dyDescent="0.2">
      <c r="A36" s="19" t="s">
        <v>39</v>
      </c>
      <c r="B36" s="421"/>
      <c r="C36" s="422"/>
      <c r="D36" s="421" t="s">
        <v>562</v>
      </c>
      <c r="E36" s="384"/>
      <c r="F36" s="384"/>
      <c r="G36" s="422"/>
      <c r="H36" s="18"/>
      <c r="I36" s="17"/>
    </row>
    <row r="37" spans="1:11" ht="52.9" customHeight="1" x14ac:dyDescent="0.2">
      <c r="A37" s="19" t="s">
        <v>39</v>
      </c>
      <c r="B37" s="421"/>
      <c r="C37" s="422"/>
      <c r="D37" s="421" t="s">
        <v>1082</v>
      </c>
      <c r="E37" s="384"/>
      <c r="F37" s="384"/>
      <c r="G37" s="422"/>
      <c r="H37" s="18"/>
      <c r="I37" s="17"/>
    </row>
    <row r="38" spans="1:11" ht="184.9" hidden="1" customHeight="1" x14ac:dyDescent="0.2">
      <c r="A38" s="19" t="s">
        <v>39</v>
      </c>
      <c r="B38" s="421"/>
      <c r="C38" s="422"/>
      <c r="D38" s="421" t="s">
        <v>57</v>
      </c>
      <c r="E38" s="384"/>
      <c r="F38" s="384"/>
      <c r="G38" s="422"/>
      <c r="H38" s="18"/>
      <c r="I38" s="17"/>
    </row>
    <row r="39" spans="1:11" ht="69.75" customHeight="1" x14ac:dyDescent="0.2">
      <c r="A39" s="16" t="s">
        <v>39</v>
      </c>
      <c r="B39" s="427"/>
      <c r="C39" s="428"/>
      <c r="D39" s="427" t="s">
        <v>1089</v>
      </c>
      <c r="E39" s="429"/>
      <c r="F39" s="429"/>
      <c r="G39" s="428"/>
      <c r="H39" s="15"/>
      <c r="I39" s="14"/>
    </row>
    <row r="40" spans="1:11" ht="26.45" customHeight="1" x14ac:dyDescent="0.2">
      <c r="A40" s="11" t="s">
        <v>75</v>
      </c>
      <c r="B40" s="395" t="s">
        <v>74</v>
      </c>
      <c r="C40" s="396"/>
      <c r="D40" s="395"/>
      <c r="E40" s="397"/>
      <c r="F40" s="397"/>
      <c r="G40" s="396"/>
      <c r="H40" s="10"/>
      <c r="I40" s="9">
        <f>I34</f>
        <v>480407.75999999989</v>
      </c>
    </row>
    <row r="41" spans="1:11" ht="26.45" customHeight="1" x14ac:dyDescent="0.2">
      <c r="A41" s="11" t="s">
        <v>73</v>
      </c>
      <c r="B41" s="395" t="s">
        <v>72</v>
      </c>
      <c r="C41" s="396"/>
      <c r="D41" s="395"/>
      <c r="E41" s="397"/>
      <c r="F41" s="397"/>
      <c r="G41" s="396"/>
      <c r="H41" s="10" t="s">
        <v>71</v>
      </c>
      <c r="I41" s="9">
        <f>I34</f>
        <v>480407.75999999989</v>
      </c>
    </row>
    <row r="42" spans="1:11" ht="13.15" customHeight="1" x14ac:dyDescent="0.2">
      <c r="A42" s="11" t="s">
        <v>13</v>
      </c>
      <c r="B42" s="395" t="s">
        <v>43</v>
      </c>
      <c r="C42" s="396"/>
      <c r="D42" s="395"/>
      <c r="E42" s="397"/>
      <c r="F42" s="397"/>
      <c r="G42" s="396"/>
      <c r="H42" s="10"/>
      <c r="I42" s="9">
        <f>I41+I32</f>
        <v>1077839.2799999998</v>
      </c>
    </row>
    <row r="43" spans="1:11" ht="13.15" customHeight="1" x14ac:dyDescent="0.2">
      <c r="A43" s="11" t="s">
        <v>15</v>
      </c>
      <c r="B43" s="395" t="s">
        <v>42</v>
      </c>
      <c r="C43" s="396"/>
      <c r="D43" s="395"/>
      <c r="E43" s="397"/>
      <c r="F43" s="397"/>
      <c r="G43" s="396"/>
      <c r="H43" s="10" t="s">
        <v>70</v>
      </c>
      <c r="I43" s="9">
        <f>I42</f>
        <v>1077839.2799999998</v>
      </c>
    </row>
    <row r="44" spans="1:11" ht="12.75" customHeight="1" x14ac:dyDescent="0.2"/>
    <row r="45" spans="1:11" ht="12.75" customHeight="1" x14ac:dyDescent="0.2">
      <c r="D45" s="7"/>
    </row>
    <row r="46" spans="1:11" x14ac:dyDescent="0.2">
      <c r="A46" s="391" t="s">
        <v>0</v>
      </c>
      <c r="B46" s="391"/>
      <c r="C46" s="391"/>
      <c r="D46" s="391"/>
      <c r="E46" s="391"/>
      <c r="F46" s="391"/>
      <c r="G46" s="391"/>
      <c r="H46" s="391"/>
      <c r="I46" s="391"/>
    </row>
    <row r="47" spans="1:11" ht="12.75" customHeight="1" x14ac:dyDescent="0.2">
      <c r="A47" s="391"/>
      <c r="B47" s="391"/>
      <c r="C47" s="391"/>
      <c r="D47" s="391"/>
      <c r="E47" s="391"/>
      <c r="F47" s="391"/>
      <c r="G47" s="391"/>
      <c r="H47" s="391"/>
      <c r="I47" s="391"/>
    </row>
    <row r="48" spans="1:11" x14ac:dyDescent="0.2">
      <c r="D48" s="389" t="s">
        <v>2</v>
      </c>
      <c r="E48" s="390"/>
      <c r="F48" s="390"/>
      <c r="G48" s="390"/>
      <c r="H48" s="390"/>
      <c r="I48" s="390"/>
    </row>
    <row r="49" spans="1:9" ht="12.75" customHeight="1" x14ac:dyDescent="0.2"/>
    <row r="50" spans="1:9" x14ac:dyDescent="0.2">
      <c r="A50" s="391" t="s">
        <v>1</v>
      </c>
      <c r="B50" s="391"/>
      <c r="C50" s="391"/>
      <c r="D50" s="391"/>
      <c r="E50" s="391"/>
      <c r="F50" s="391"/>
      <c r="G50" s="391"/>
      <c r="H50" s="391"/>
      <c r="I50" s="391"/>
    </row>
    <row r="51" spans="1:9" ht="12.75" customHeight="1" x14ac:dyDescent="0.2">
      <c r="A51" s="391"/>
      <c r="B51" s="391"/>
      <c r="C51" s="391"/>
      <c r="D51" s="391"/>
      <c r="E51" s="391"/>
      <c r="F51" s="391"/>
      <c r="G51" s="391"/>
      <c r="H51" s="391"/>
      <c r="I51" s="391"/>
    </row>
    <row r="52" spans="1:9" x14ac:dyDescent="0.2">
      <c r="D52" s="389" t="s">
        <v>2</v>
      </c>
      <c r="E52" s="390"/>
      <c r="F52" s="390"/>
      <c r="G52" s="390"/>
      <c r="H52" s="390"/>
      <c r="I52" s="390"/>
    </row>
    <row r="53" spans="1:9" ht="12.75" customHeight="1" x14ac:dyDescent="0.2"/>
    <row r="54" spans="1:9" x14ac:dyDescent="0.2">
      <c r="A54" s="391" t="s">
        <v>5</v>
      </c>
      <c r="B54" s="391"/>
      <c r="C54" s="391"/>
      <c r="D54" s="391"/>
      <c r="E54" s="391"/>
      <c r="F54" s="391"/>
      <c r="G54" s="6" t="s">
        <v>7</v>
      </c>
      <c r="H54" s="391"/>
      <c r="I54" s="391"/>
    </row>
    <row r="55" spans="1:9" x14ac:dyDescent="0.2">
      <c r="D55" s="389" t="s">
        <v>40</v>
      </c>
      <c r="E55" s="390"/>
      <c r="F55" s="390"/>
      <c r="H55" s="389" t="s">
        <v>2</v>
      </c>
      <c r="I55" s="390"/>
    </row>
    <row r="56" spans="1:9" ht="12.75" customHeight="1" x14ac:dyDescent="0.2"/>
    <row r="57" spans="1:9" x14ac:dyDescent="0.2">
      <c r="A57" s="391" t="s">
        <v>3</v>
      </c>
      <c r="B57" s="391"/>
      <c r="C57" s="391"/>
      <c r="D57" s="391"/>
      <c r="E57" s="391"/>
      <c r="F57" s="391"/>
      <c r="G57" s="391"/>
      <c r="H57" s="391"/>
      <c r="I57" s="391"/>
    </row>
    <row r="58" spans="1:9" x14ac:dyDescent="0.2">
      <c r="D58" s="389" t="s">
        <v>6</v>
      </c>
      <c r="E58" s="390"/>
      <c r="F58" s="390"/>
      <c r="G58" s="390"/>
      <c r="H58" s="390"/>
      <c r="I58" s="390"/>
    </row>
    <row r="59" spans="1:9" ht="12.75" customHeight="1" x14ac:dyDescent="0.2"/>
  </sheetData>
  <mergeCells count="82">
    <mergeCell ref="A57:C57"/>
    <mergeCell ref="D57:I57"/>
    <mergeCell ref="D58:I58"/>
    <mergeCell ref="D52:I52"/>
    <mergeCell ref="A54:C54"/>
    <mergeCell ref="D54:F54"/>
    <mergeCell ref="H54:I54"/>
    <mergeCell ref="D55:F55"/>
    <mergeCell ref="H55:I55"/>
    <mergeCell ref="A50:C51"/>
    <mergeCell ref="D50:I51"/>
    <mergeCell ref="B40:C40"/>
    <mergeCell ref="D40:G40"/>
    <mergeCell ref="B41:C41"/>
    <mergeCell ref="D41:G41"/>
    <mergeCell ref="B42:C42"/>
    <mergeCell ref="D42:G42"/>
    <mergeCell ref="B43:C43"/>
    <mergeCell ref="D43:G43"/>
    <mergeCell ref="A46:C47"/>
    <mergeCell ref="D46:I47"/>
    <mergeCell ref="D48:I48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B26:C26"/>
    <mergeCell ref="D26:G26"/>
    <mergeCell ref="B27:C27"/>
    <mergeCell ref="D27:G27"/>
    <mergeCell ref="B22:C22"/>
    <mergeCell ref="D22:G22"/>
    <mergeCell ref="B23:C23"/>
    <mergeCell ref="D23:G23"/>
    <mergeCell ref="B24:C24"/>
    <mergeCell ref="D24:G24"/>
    <mergeCell ref="B19:C19"/>
    <mergeCell ref="D19:G19"/>
    <mergeCell ref="B20:C20"/>
    <mergeCell ref="D20:G20"/>
    <mergeCell ref="B21:C21"/>
    <mergeCell ref="D21:G21"/>
    <mergeCell ref="B16:C16"/>
    <mergeCell ref="D16:G16"/>
    <mergeCell ref="B17:C17"/>
    <mergeCell ref="D17:G17"/>
    <mergeCell ref="B18:C18"/>
    <mergeCell ref="D18:G18"/>
    <mergeCell ref="A14:I14"/>
    <mergeCell ref="A1:C1"/>
    <mergeCell ref="D1:I1"/>
    <mergeCell ref="A3:I3"/>
    <mergeCell ref="A4:I4"/>
    <mergeCell ref="A6:B6"/>
    <mergeCell ref="C6:G6"/>
    <mergeCell ref="A8:I8"/>
    <mergeCell ref="A10:C10"/>
    <mergeCell ref="D10:I10"/>
    <mergeCell ref="A12:C12"/>
    <mergeCell ref="D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7"/>
  <dimension ref="A1:N85"/>
  <sheetViews>
    <sheetView view="pageBreakPreview" topLeftCell="A11" zoomScale="60" zoomScaleNormal="100" workbookViewId="0">
      <selection activeCell="N19" sqref="N19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26.85546875" style="6" customWidth="1"/>
    <col min="4" max="4" width="4.42578125" style="6" customWidth="1"/>
    <col min="5" max="6" width="9.28515625" style="6" customWidth="1"/>
    <col min="7" max="7" width="18.42578125" style="6" customWidth="1"/>
    <col min="8" max="8" width="19.7109375" style="6" customWidth="1"/>
    <col min="9" max="9" width="14.7109375" style="6" customWidth="1"/>
    <col min="10" max="10" width="19.7109375" style="5" customWidth="1"/>
    <col min="11" max="12" width="11.5703125" style="5"/>
    <col min="13" max="13" width="14.140625" style="5" customWidth="1"/>
    <col min="14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497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ht="13.15" customHeight="1" x14ac:dyDescent="0.2">
      <c r="A3" s="382" t="s">
        <v>1286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6"/>
      <c r="D6" s="384" t="s">
        <v>62</v>
      </c>
      <c r="E6" s="384"/>
      <c r="F6" s="384"/>
      <c r="G6" s="384"/>
      <c r="H6" s="384"/>
      <c r="I6" s="384"/>
    </row>
    <row r="7" spans="1:10" ht="12.75" customHeight="1" x14ac:dyDescent="0.2">
      <c r="A7" s="5"/>
      <c r="B7" s="5"/>
      <c r="C7" s="5"/>
      <c r="D7" s="34"/>
      <c r="E7" s="34"/>
      <c r="F7" s="34"/>
      <c r="G7" s="34"/>
      <c r="H7" s="5"/>
      <c r="I7" s="5"/>
      <c r="J7" s="6"/>
    </row>
    <row r="8" spans="1:10" ht="42" customHeight="1" x14ac:dyDescent="0.2">
      <c r="A8" s="384" t="s">
        <v>498</v>
      </c>
      <c r="B8" s="384"/>
      <c r="C8" s="384"/>
      <c r="D8" s="388" t="s">
        <v>560</v>
      </c>
      <c r="E8" s="388"/>
      <c r="F8" s="388"/>
      <c r="G8" s="388"/>
      <c r="H8" s="388"/>
      <c r="I8" s="388"/>
      <c r="J8" s="29"/>
    </row>
    <row r="9" spans="1:10" ht="12.75" customHeight="1" x14ac:dyDescent="0.2">
      <c r="A9" s="29"/>
      <c r="B9" s="29"/>
      <c r="C9" s="29"/>
      <c r="D9" s="5"/>
      <c r="E9" s="5"/>
      <c r="F9" s="5"/>
      <c r="G9" s="5"/>
      <c r="H9" s="5"/>
      <c r="I9" s="5"/>
      <c r="J9" s="6"/>
    </row>
    <row r="10" spans="1:10" ht="12.75" customHeight="1" x14ac:dyDescent="0.2">
      <c r="A10" s="384" t="s">
        <v>499</v>
      </c>
      <c r="B10" s="384"/>
      <c r="C10" s="384"/>
      <c r="D10" s="384" t="s">
        <v>9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6"/>
    </row>
    <row r="12" spans="1:10" ht="12.75" customHeight="1" x14ac:dyDescent="0.2">
      <c r="A12" s="384" t="s">
        <v>500</v>
      </c>
      <c r="B12" s="384"/>
      <c r="C12" s="384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39"/>
      <c r="E13" s="39"/>
      <c r="F13" s="39"/>
      <c r="G13" s="39"/>
      <c r="H13" s="29"/>
      <c r="I13" s="29"/>
      <c r="J13" s="6"/>
    </row>
    <row r="14" spans="1:10" ht="12.75" customHeight="1" x14ac:dyDescent="0.2">
      <c r="A14" s="384" t="s">
        <v>501</v>
      </c>
      <c r="B14" s="384"/>
      <c r="C14" s="384"/>
      <c r="D14" s="384"/>
      <c r="E14" s="384"/>
      <c r="F14" s="384"/>
      <c r="G14" s="384"/>
      <c r="H14" s="384"/>
      <c r="I14" s="384"/>
      <c r="J14" s="30"/>
    </row>
    <row r="15" spans="1:10" ht="12.75" customHeight="1" x14ac:dyDescent="0.2">
      <c r="A15" s="387" t="s">
        <v>1084</v>
      </c>
      <c r="B15" s="387"/>
      <c r="C15" s="387"/>
      <c r="D15" s="387"/>
      <c r="E15" s="387"/>
      <c r="F15" s="387"/>
      <c r="G15" s="387"/>
      <c r="H15" s="387"/>
      <c r="I15" s="387"/>
      <c r="J15" s="6"/>
    </row>
    <row r="16" spans="1:10" ht="100.5" customHeight="1" x14ac:dyDescent="0.2">
      <c r="A16" s="27" t="s">
        <v>49</v>
      </c>
      <c r="B16" s="407" t="s">
        <v>467</v>
      </c>
      <c r="C16" s="408"/>
      <c r="D16" s="407" t="s">
        <v>468</v>
      </c>
      <c r="E16" s="409"/>
      <c r="F16" s="409"/>
      <c r="G16" s="408"/>
      <c r="H16" s="75" t="s">
        <v>469</v>
      </c>
      <c r="I16" s="27" t="s">
        <v>280</v>
      </c>
    </row>
    <row r="17" spans="1:14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4" ht="26.45" customHeight="1" x14ac:dyDescent="0.2">
      <c r="A18" s="11" t="s">
        <v>10</v>
      </c>
      <c r="B18" s="395" t="s">
        <v>78</v>
      </c>
      <c r="C18" s="396"/>
      <c r="D18" s="395" t="s">
        <v>208</v>
      </c>
      <c r="E18" s="397"/>
      <c r="F18" s="397"/>
      <c r="G18" s="396"/>
      <c r="H18" s="10"/>
      <c r="I18" s="35"/>
    </row>
    <row r="19" spans="1:14" ht="123.75" customHeight="1" x14ac:dyDescent="0.2">
      <c r="A19" s="24" t="s">
        <v>88</v>
      </c>
      <c r="B19" s="413" t="s">
        <v>502</v>
      </c>
      <c r="C19" s="414"/>
      <c r="D19" s="415" t="s">
        <v>503</v>
      </c>
      <c r="E19" s="416"/>
      <c r="F19" s="416"/>
      <c r="G19" s="417"/>
      <c r="H19" s="23" t="s">
        <v>1416</v>
      </c>
      <c r="I19" s="22">
        <f>(178740 + 3150  * (0.4 * 500 + 0.6 * 500 / 2)) * 1 * 0.56 *  0.7*1.4</f>
        <v>703144.51199999987</v>
      </c>
    </row>
    <row r="20" spans="1:14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14" ht="26.45" customHeight="1" x14ac:dyDescent="0.2">
      <c r="A21" s="19" t="s">
        <v>39</v>
      </c>
      <c r="B21" s="421"/>
      <c r="C21" s="422"/>
      <c r="D21" s="421" t="s">
        <v>1301</v>
      </c>
      <c r="E21" s="384"/>
      <c r="F21" s="384"/>
      <c r="G21" s="422"/>
      <c r="H21" s="18"/>
      <c r="I21" s="17"/>
    </row>
    <row r="22" spans="1:14" ht="105" hidden="1" customHeight="1" x14ac:dyDescent="0.2">
      <c r="A22" s="19" t="s">
        <v>39</v>
      </c>
      <c r="B22" s="421"/>
      <c r="C22" s="422"/>
      <c r="D22" s="421" t="s">
        <v>86</v>
      </c>
      <c r="E22" s="384"/>
      <c r="F22" s="384"/>
      <c r="G22" s="422"/>
      <c r="H22" s="18"/>
      <c r="I22" s="17"/>
    </row>
    <row r="23" spans="1:14" ht="129" customHeight="1" x14ac:dyDescent="0.2">
      <c r="A23" s="19" t="s">
        <v>39</v>
      </c>
      <c r="B23" s="421"/>
      <c r="C23" s="422"/>
      <c r="D23" s="421" t="s">
        <v>587</v>
      </c>
      <c r="E23" s="384"/>
      <c r="F23" s="384"/>
      <c r="G23" s="422"/>
      <c r="H23" s="18"/>
      <c r="I23" s="17"/>
      <c r="K23" s="78"/>
      <c r="L23" s="78"/>
      <c r="M23" s="78"/>
      <c r="N23" s="78"/>
    </row>
    <row r="24" spans="1:14" ht="26.45" hidden="1" customHeight="1" x14ac:dyDescent="0.2">
      <c r="A24" s="19" t="s">
        <v>39</v>
      </c>
      <c r="B24" s="423"/>
      <c r="C24" s="424"/>
      <c r="D24" s="423" t="s">
        <v>99</v>
      </c>
      <c r="E24" s="418"/>
      <c r="F24" s="418"/>
      <c r="G24" s="424"/>
      <c r="H24" s="21"/>
      <c r="I24" s="20"/>
      <c r="K24" s="78"/>
      <c r="L24" s="78"/>
      <c r="M24" s="78"/>
      <c r="N24" s="78"/>
    </row>
    <row r="25" spans="1:14" ht="26.45" hidden="1" customHeight="1" x14ac:dyDescent="0.2">
      <c r="A25" s="19" t="s">
        <v>39</v>
      </c>
      <c r="B25" s="421"/>
      <c r="C25" s="422"/>
      <c r="D25" s="421" t="s">
        <v>505</v>
      </c>
      <c r="E25" s="384"/>
      <c r="F25" s="384"/>
      <c r="G25" s="422"/>
      <c r="H25" s="18"/>
      <c r="I25" s="17"/>
    </row>
    <row r="26" spans="1:14" ht="15.75" hidden="1" customHeight="1" x14ac:dyDescent="0.2">
      <c r="A26" s="19" t="s">
        <v>39</v>
      </c>
      <c r="B26" s="421"/>
      <c r="C26" s="422"/>
      <c r="D26" s="421" t="s">
        <v>506</v>
      </c>
      <c r="E26" s="384"/>
      <c r="F26" s="384"/>
      <c r="G26" s="422"/>
      <c r="H26" s="18"/>
      <c r="I26" s="17"/>
    </row>
    <row r="27" spans="1:14" ht="26.45" hidden="1" customHeight="1" x14ac:dyDescent="0.2">
      <c r="A27" s="19" t="s">
        <v>39</v>
      </c>
      <c r="B27" s="421"/>
      <c r="C27" s="422"/>
      <c r="D27" s="421" t="s">
        <v>507</v>
      </c>
      <c r="E27" s="384"/>
      <c r="F27" s="384"/>
      <c r="G27" s="422"/>
      <c r="H27" s="18"/>
      <c r="I27" s="17"/>
    </row>
    <row r="28" spans="1:14" ht="39.6" hidden="1" customHeight="1" x14ac:dyDescent="0.2">
      <c r="A28" s="19" t="s">
        <v>39</v>
      </c>
      <c r="B28" s="421"/>
      <c r="C28" s="422"/>
      <c r="D28" s="421" t="s">
        <v>508</v>
      </c>
      <c r="E28" s="384"/>
      <c r="F28" s="384"/>
      <c r="G28" s="422"/>
      <c r="H28" s="18"/>
      <c r="I28" s="17"/>
    </row>
    <row r="29" spans="1:14" ht="39.6" hidden="1" customHeight="1" x14ac:dyDescent="0.2">
      <c r="A29" s="19" t="s">
        <v>39</v>
      </c>
      <c r="B29" s="421"/>
      <c r="C29" s="422"/>
      <c r="D29" s="421" t="s">
        <v>509</v>
      </c>
      <c r="E29" s="384"/>
      <c r="F29" s="384"/>
      <c r="G29" s="422"/>
      <c r="H29" s="18"/>
      <c r="I29" s="17"/>
    </row>
    <row r="30" spans="1:14" ht="26.45" hidden="1" customHeight="1" x14ac:dyDescent="0.2">
      <c r="A30" s="19" t="s">
        <v>39</v>
      </c>
      <c r="B30" s="421"/>
      <c r="C30" s="422"/>
      <c r="D30" s="421" t="s">
        <v>510</v>
      </c>
      <c r="E30" s="384"/>
      <c r="F30" s="384"/>
      <c r="G30" s="422"/>
      <c r="H30" s="18"/>
      <c r="I30" s="17"/>
    </row>
    <row r="31" spans="1:14" ht="21" hidden="1" customHeight="1" x14ac:dyDescent="0.2">
      <c r="A31" s="19" t="s">
        <v>39</v>
      </c>
      <c r="B31" s="421"/>
      <c r="C31" s="422"/>
      <c r="D31" s="421" t="s">
        <v>511</v>
      </c>
      <c r="E31" s="384"/>
      <c r="F31" s="384"/>
      <c r="G31" s="422"/>
      <c r="H31" s="18"/>
      <c r="I31" s="17"/>
    </row>
    <row r="32" spans="1:14" ht="16.149999999999999" hidden="1" customHeight="1" x14ac:dyDescent="0.2">
      <c r="A32" s="19" t="s">
        <v>39</v>
      </c>
      <c r="B32" s="421"/>
      <c r="C32" s="422"/>
      <c r="D32" s="421" t="s">
        <v>512</v>
      </c>
      <c r="E32" s="384"/>
      <c r="F32" s="384"/>
      <c r="G32" s="422"/>
      <c r="H32" s="18"/>
      <c r="I32" s="17"/>
    </row>
    <row r="33" spans="1:9" ht="26.45" hidden="1" customHeight="1" x14ac:dyDescent="0.2">
      <c r="A33" s="19" t="s">
        <v>39</v>
      </c>
      <c r="B33" s="421"/>
      <c r="C33" s="422"/>
      <c r="D33" s="421" t="s">
        <v>513</v>
      </c>
      <c r="E33" s="384"/>
      <c r="F33" s="384"/>
      <c r="G33" s="422"/>
      <c r="H33" s="18"/>
      <c r="I33" s="17"/>
    </row>
    <row r="34" spans="1:9" ht="33.75" hidden="1" customHeight="1" x14ac:dyDescent="0.2">
      <c r="A34" s="19" t="s">
        <v>39</v>
      </c>
      <c r="B34" s="421"/>
      <c r="C34" s="422"/>
      <c r="D34" s="421" t="s">
        <v>514</v>
      </c>
      <c r="E34" s="384"/>
      <c r="F34" s="384"/>
      <c r="G34" s="422"/>
      <c r="H34" s="18"/>
      <c r="I34" s="17"/>
    </row>
    <row r="35" spans="1:9" ht="25.5" hidden="1" customHeight="1" x14ac:dyDescent="0.2">
      <c r="A35" s="19" t="s">
        <v>39</v>
      </c>
      <c r="B35" s="421"/>
      <c r="C35" s="422"/>
      <c r="D35" s="421" t="s">
        <v>515</v>
      </c>
      <c r="E35" s="384"/>
      <c r="F35" s="384"/>
      <c r="G35" s="422"/>
      <c r="H35" s="18"/>
      <c r="I35" s="17"/>
    </row>
    <row r="36" spans="1:9" ht="16.149999999999999" hidden="1" customHeight="1" x14ac:dyDescent="0.2">
      <c r="A36" s="19" t="s">
        <v>39</v>
      </c>
      <c r="B36" s="421"/>
      <c r="C36" s="422"/>
      <c r="D36" s="421" t="s">
        <v>516</v>
      </c>
      <c r="E36" s="384"/>
      <c r="F36" s="384"/>
      <c r="G36" s="422"/>
      <c r="H36" s="18"/>
      <c r="I36" s="17"/>
    </row>
    <row r="37" spans="1:9" ht="26.45" hidden="1" customHeight="1" x14ac:dyDescent="0.2">
      <c r="A37" s="19" t="s">
        <v>39</v>
      </c>
      <c r="B37" s="421"/>
      <c r="C37" s="422"/>
      <c r="D37" s="421" t="s">
        <v>517</v>
      </c>
      <c r="E37" s="384"/>
      <c r="F37" s="384"/>
      <c r="G37" s="422"/>
      <c r="H37" s="18"/>
      <c r="I37" s="17"/>
    </row>
    <row r="38" spans="1:9" ht="26.45" hidden="1" customHeight="1" x14ac:dyDescent="0.2">
      <c r="A38" s="19" t="s">
        <v>39</v>
      </c>
      <c r="B38" s="421"/>
      <c r="C38" s="422"/>
      <c r="D38" s="421" t="s">
        <v>518</v>
      </c>
      <c r="E38" s="384"/>
      <c r="F38" s="384"/>
      <c r="G38" s="422"/>
      <c r="H38" s="18"/>
      <c r="I38" s="17"/>
    </row>
    <row r="39" spans="1:9" ht="26.25" hidden="1" customHeight="1" x14ac:dyDescent="0.2">
      <c r="A39" s="19" t="s">
        <v>39</v>
      </c>
      <c r="B39" s="421"/>
      <c r="C39" s="422"/>
      <c r="D39" s="421" t="s">
        <v>519</v>
      </c>
      <c r="E39" s="384"/>
      <c r="F39" s="384"/>
      <c r="G39" s="422"/>
      <c r="H39" s="18"/>
      <c r="I39" s="17"/>
    </row>
    <row r="40" spans="1:9" ht="16.5" hidden="1" customHeight="1" x14ac:dyDescent="0.2">
      <c r="A40" s="51" t="s">
        <v>39</v>
      </c>
      <c r="B40" s="436"/>
      <c r="C40" s="438"/>
      <c r="D40" s="436" t="s">
        <v>520</v>
      </c>
      <c r="E40" s="437"/>
      <c r="F40" s="437"/>
      <c r="G40" s="438"/>
      <c r="H40" s="52"/>
      <c r="I40" s="53"/>
    </row>
    <row r="41" spans="1:9" ht="71.45" customHeight="1" x14ac:dyDescent="0.2">
      <c r="A41" s="24" t="s">
        <v>85</v>
      </c>
      <c r="B41" s="413" t="s">
        <v>451</v>
      </c>
      <c r="C41" s="414"/>
      <c r="D41" s="415" t="s">
        <v>521</v>
      </c>
      <c r="E41" s="416"/>
      <c r="F41" s="416"/>
      <c r="G41" s="417"/>
      <c r="H41" s="23" t="s">
        <v>1300</v>
      </c>
      <c r="I41" s="22">
        <f>(36610  + 4570  * 10) * 1 * 0.5*1.4</f>
        <v>57616.999999999993</v>
      </c>
    </row>
    <row r="42" spans="1:9" ht="41.45" customHeight="1" x14ac:dyDescent="0.2">
      <c r="A42" s="19" t="s">
        <v>39</v>
      </c>
      <c r="B42" s="423"/>
      <c r="C42" s="424"/>
      <c r="D42" s="423" t="s">
        <v>586</v>
      </c>
      <c r="E42" s="418"/>
      <c r="F42" s="418"/>
      <c r="G42" s="424"/>
      <c r="H42" s="21"/>
      <c r="I42" s="20"/>
    </row>
    <row r="43" spans="1:9" ht="20.25" customHeight="1" x14ac:dyDescent="0.2">
      <c r="A43" s="19" t="s">
        <v>39</v>
      </c>
      <c r="B43" s="421"/>
      <c r="C43" s="422"/>
      <c r="D43" s="421" t="s">
        <v>1301</v>
      </c>
      <c r="E43" s="384"/>
      <c r="F43" s="384"/>
      <c r="G43" s="422"/>
      <c r="H43" s="18"/>
      <c r="I43" s="17"/>
    </row>
    <row r="44" spans="1:9" ht="108" hidden="1" customHeight="1" x14ac:dyDescent="0.2">
      <c r="A44" s="19" t="s">
        <v>39</v>
      </c>
      <c r="B44" s="421"/>
      <c r="C44" s="422"/>
      <c r="D44" s="421" t="s">
        <v>192</v>
      </c>
      <c r="E44" s="384"/>
      <c r="F44" s="384"/>
      <c r="G44" s="422"/>
      <c r="H44" s="18"/>
      <c r="I44" s="17"/>
    </row>
    <row r="45" spans="1:9" ht="16.149999999999999" hidden="1" customHeight="1" x14ac:dyDescent="0.2">
      <c r="A45" s="19" t="s">
        <v>39</v>
      </c>
      <c r="B45" s="423"/>
      <c r="C45" s="424"/>
      <c r="D45" s="423" t="s">
        <v>99</v>
      </c>
      <c r="E45" s="418"/>
      <c r="F45" s="418"/>
      <c r="G45" s="424"/>
      <c r="H45" s="21"/>
      <c r="I45" s="20"/>
    </row>
    <row r="46" spans="1:9" ht="26.45" hidden="1" customHeight="1" x14ac:dyDescent="0.2">
      <c r="A46" s="19" t="s">
        <v>39</v>
      </c>
      <c r="B46" s="421"/>
      <c r="C46" s="422"/>
      <c r="D46" s="421" t="s">
        <v>522</v>
      </c>
      <c r="E46" s="384"/>
      <c r="F46" s="384"/>
      <c r="G46" s="422"/>
      <c r="H46" s="18"/>
      <c r="I46" s="17"/>
    </row>
    <row r="47" spans="1:9" ht="29.25" hidden="1" customHeight="1" x14ac:dyDescent="0.2">
      <c r="A47" s="19" t="s">
        <v>39</v>
      </c>
      <c r="B47" s="421"/>
      <c r="C47" s="422"/>
      <c r="D47" s="421" t="s">
        <v>523</v>
      </c>
      <c r="E47" s="384"/>
      <c r="F47" s="384"/>
      <c r="G47" s="422"/>
      <c r="H47" s="18"/>
      <c r="I47" s="17"/>
    </row>
    <row r="48" spans="1:9" ht="13.5" hidden="1" customHeight="1" x14ac:dyDescent="0.2">
      <c r="A48" s="19" t="s">
        <v>39</v>
      </c>
      <c r="B48" s="421"/>
      <c r="C48" s="422"/>
      <c r="D48" s="421" t="s">
        <v>524</v>
      </c>
      <c r="E48" s="384"/>
      <c r="F48" s="384"/>
      <c r="G48" s="422"/>
      <c r="H48" s="18"/>
      <c r="I48" s="17"/>
    </row>
    <row r="49" spans="1:9" ht="16.149999999999999" hidden="1" customHeight="1" x14ac:dyDescent="0.2">
      <c r="A49" s="19" t="s">
        <v>39</v>
      </c>
      <c r="B49" s="421"/>
      <c r="C49" s="422"/>
      <c r="D49" s="421" t="s">
        <v>525</v>
      </c>
      <c r="E49" s="384"/>
      <c r="F49" s="384"/>
      <c r="G49" s="422"/>
      <c r="H49" s="18"/>
      <c r="I49" s="17"/>
    </row>
    <row r="50" spans="1:9" ht="26.45" hidden="1" customHeight="1" x14ac:dyDescent="0.2">
      <c r="A50" s="19" t="s">
        <v>39</v>
      </c>
      <c r="B50" s="421"/>
      <c r="C50" s="422"/>
      <c r="D50" s="421" t="s">
        <v>526</v>
      </c>
      <c r="E50" s="384"/>
      <c r="F50" s="384"/>
      <c r="G50" s="422"/>
      <c r="H50" s="18"/>
      <c r="I50" s="17"/>
    </row>
    <row r="51" spans="1:9" ht="26.45" hidden="1" customHeight="1" x14ac:dyDescent="0.2">
      <c r="A51" s="19" t="s">
        <v>39</v>
      </c>
      <c r="B51" s="421"/>
      <c r="C51" s="422"/>
      <c r="D51" s="421" t="s">
        <v>527</v>
      </c>
      <c r="E51" s="384"/>
      <c r="F51" s="384"/>
      <c r="G51" s="422"/>
      <c r="H51" s="18"/>
      <c r="I51" s="17"/>
    </row>
    <row r="52" spans="1:9" ht="15.75" hidden="1" customHeight="1" x14ac:dyDescent="0.2">
      <c r="A52" s="19" t="s">
        <v>39</v>
      </c>
      <c r="B52" s="421"/>
      <c r="C52" s="422"/>
      <c r="D52" s="421" t="s">
        <v>528</v>
      </c>
      <c r="E52" s="384"/>
      <c r="F52" s="384"/>
      <c r="G52" s="422"/>
      <c r="H52" s="18"/>
      <c r="I52" s="17"/>
    </row>
    <row r="53" spans="1:9" ht="19.5" hidden="1" customHeight="1" x14ac:dyDescent="0.2">
      <c r="A53" s="19" t="s">
        <v>39</v>
      </c>
      <c r="B53" s="421"/>
      <c r="C53" s="422"/>
      <c r="D53" s="421" t="s">
        <v>529</v>
      </c>
      <c r="E53" s="384"/>
      <c r="F53" s="384"/>
      <c r="G53" s="422"/>
      <c r="H53" s="18"/>
      <c r="I53" s="17"/>
    </row>
    <row r="54" spans="1:9" ht="39.6" hidden="1" customHeight="1" x14ac:dyDescent="0.2">
      <c r="A54" s="19" t="s">
        <v>39</v>
      </c>
      <c r="B54" s="421"/>
      <c r="C54" s="422"/>
      <c r="D54" s="421" t="s">
        <v>530</v>
      </c>
      <c r="E54" s="384"/>
      <c r="F54" s="384"/>
      <c r="G54" s="422"/>
      <c r="H54" s="18"/>
      <c r="I54" s="17"/>
    </row>
    <row r="55" spans="1:9" ht="26.45" hidden="1" customHeight="1" x14ac:dyDescent="0.2">
      <c r="A55" s="19" t="s">
        <v>39</v>
      </c>
      <c r="B55" s="421"/>
      <c r="C55" s="422"/>
      <c r="D55" s="421" t="s">
        <v>531</v>
      </c>
      <c r="E55" s="384"/>
      <c r="F55" s="384"/>
      <c r="G55" s="422"/>
      <c r="H55" s="18"/>
      <c r="I55" s="17"/>
    </row>
    <row r="56" spans="1:9" ht="15" hidden="1" customHeight="1" x14ac:dyDescent="0.2">
      <c r="A56" s="19" t="s">
        <v>39</v>
      </c>
      <c r="B56" s="421"/>
      <c r="C56" s="422"/>
      <c r="D56" s="421" t="s">
        <v>532</v>
      </c>
      <c r="E56" s="384"/>
      <c r="F56" s="384"/>
      <c r="G56" s="422"/>
      <c r="H56" s="18"/>
      <c r="I56" s="17"/>
    </row>
    <row r="57" spans="1:9" ht="26.45" hidden="1" customHeight="1" x14ac:dyDescent="0.2">
      <c r="A57" s="19" t="s">
        <v>39</v>
      </c>
      <c r="B57" s="421"/>
      <c r="C57" s="422"/>
      <c r="D57" s="421" t="s">
        <v>533</v>
      </c>
      <c r="E57" s="384"/>
      <c r="F57" s="384"/>
      <c r="G57" s="422"/>
      <c r="H57" s="18"/>
      <c r="I57" s="17"/>
    </row>
    <row r="58" spans="1:9" ht="26.45" hidden="1" customHeight="1" x14ac:dyDescent="0.2">
      <c r="A58" s="19" t="s">
        <v>39</v>
      </c>
      <c r="B58" s="421"/>
      <c r="C58" s="422"/>
      <c r="D58" s="421" t="s">
        <v>534</v>
      </c>
      <c r="E58" s="384"/>
      <c r="F58" s="384"/>
      <c r="G58" s="422"/>
      <c r="H58" s="18"/>
      <c r="I58" s="17"/>
    </row>
    <row r="59" spans="1:9" ht="26.45" hidden="1" customHeight="1" x14ac:dyDescent="0.2">
      <c r="A59" s="19" t="s">
        <v>39</v>
      </c>
      <c r="B59" s="421"/>
      <c r="C59" s="422"/>
      <c r="D59" s="421" t="s">
        <v>535</v>
      </c>
      <c r="E59" s="384"/>
      <c r="F59" s="384"/>
      <c r="G59" s="422"/>
      <c r="H59" s="18"/>
      <c r="I59" s="17"/>
    </row>
    <row r="60" spans="1:9" ht="26.45" hidden="1" customHeight="1" x14ac:dyDescent="0.2">
      <c r="A60" s="19" t="s">
        <v>39</v>
      </c>
      <c r="B60" s="421"/>
      <c r="C60" s="422"/>
      <c r="D60" s="421" t="s">
        <v>536</v>
      </c>
      <c r="E60" s="384"/>
      <c r="F60" s="384"/>
      <c r="G60" s="422"/>
      <c r="H60" s="18"/>
      <c r="I60" s="17"/>
    </row>
    <row r="61" spans="1:9" ht="26.45" hidden="1" customHeight="1" x14ac:dyDescent="0.2">
      <c r="A61" s="19" t="s">
        <v>39</v>
      </c>
      <c r="B61" s="421"/>
      <c r="C61" s="422"/>
      <c r="D61" s="421" t="s">
        <v>537</v>
      </c>
      <c r="E61" s="384"/>
      <c r="F61" s="384"/>
      <c r="G61" s="422"/>
      <c r="H61" s="18"/>
      <c r="I61" s="17"/>
    </row>
    <row r="62" spans="1:9" ht="12.75" hidden="1" customHeight="1" x14ac:dyDescent="0.2">
      <c r="A62" s="51" t="s">
        <v>39</v>
      </c>
      <c r="B62" s="436"/>
      <c r="C62" s="438"/>
      <c r="D62" s="436" t="s">
        <v>538</v>
      </c>
      <c r="E62" s="437"/>
      <c r="F62" s="437"/>
      <c r="G62" s="438"/>
      <c r="H62" s="52"/>
      <c r="I62" s="53"/>
    </row>
    <row r="63" spans="1:9" ht="26.45" customHeight="1" x14ac:dyDescent="0.2">
      <c r="A63" s="11" t="s">
        <v>83</v>
      </c>
      <c r="B63" s="395" t="s">
        <v>207</v>
      </c>
      <c r="C63" s="396"/>
      <c r="D63" s="395"/>
      <c r="E63" s="397"/>
      <c r="F63" s="397"/>
      <c r="G63" s="396"/>
      <c r="H63" s="10"/>
      <c r="I63" s="9">
        <f>I19+I41</f>
        <v>760761.51199999987</v>
      </c>
    </row>
    <row r="64" spans="1:9" ht="26.45" customHeight="1" x14ac:dyDescent="0.2">
      <c r="A64" s="11" t="s">
        <v>81</v>
      </c>
      <c r="B64" s="395" t="s">
        <v>206</v>
      </c>
      <c r="C64" s="396"/>
      <c r="D64" s="395"/>
      <c r="E64" s="397"/>
      <c r="F64" s="397"/>
      <c r="G64" s="396"/>
      <c r="H64" s="10" t="s">
        <v>79</v>
      </c>
      <c r="I64" s="9">
        <f>I63</f>
        <v>760761.51199999987</v>
      </c>
    </row>
    <row r="65" spans="1:9" ht="26.45" customHeight="1" x14ac:dyDescent="0.2">
      <c r="A65" s="11" t="s">
        <v>11</v>
      </c>
      <c r="B65" s="395" t="s">
        <v>43</v>
      </c>
      <c r="C65" s="396"/>
      <c r="D65" s="395"/>
      <c r="E65" s="397"/>
      <c r="F65" s="397"/>
      <c r="G65" s="396"/>
      <c r="H65" s="10"/>
      <c r="I65" s="9">
        <f>I64</f>
        <v>760761.51199999987</v>
      </c>
    </row>
    <row r="66" spans="1:9" ht="39.6" customHeight="1" x14ac:dyDescent="0.2">
      <c r="A66" s="11" t="s">
        <v>13</v>
      </c>
      <c r="B66" s="392" t="s">
        <v>1075</v>
      </c>
      <c r="C66" s="393"/>
      <c r="D66" s="392" t="s">
        <v>1064</v>
      </c>
      <c r="E66" s="394"/>
      <c r="F66" s="394"/>
      <c r="G66" s="393"/>
      <c r="H66" s="13" t="s">
        <v>1065</v>
      </c>
      <c r="I66" s="12">
        <f>I65*5.94</f>
        <v>4518923.3812799994</v>
      </c>
    </row>
    <row r="67" spans="1:9" ht="26.45" customHeight="1" x14ac:dyDescent="0.2">
      <c r="A67" s="11" t="s">
        <v>15</v>
      </c>
      <c r="B67" s="395" t="s">
        <v>42</v>
      </c>
      <c r="C67" s="396"/>
      <c r="D67" s="395"/>
      <c r="E67" s="397"/>
      <c r="F67" s="397"/>
      <c r="G67" s="396"/>
      <c r="H67" s="10" t="s">
        <v>70</v>
      </c>
      <c r="I67" s="9">
        <f>I66</f>
        <v>4518923.3812799994</v>
      </c>
    </row>
    <row r="68" spans="1:9" ht="13.15" customHeight="1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9" ht="12.75" customHeight="1" x14ac:dyDescent="0.2"/>
    <row r="70" spans="1:9" s="8" customFormat="1" ht="25.15" hidden="1" customHeight="1" x14ac:dyDescent="0.2">
      <c r="A70" s="384" t="s">
        <v>41</v>
      </c>
      <c r="B70" s="384"/>
      <c r="C70" s="384"/>
      <c r="D70" s="384" t="s">
        <v>230</v>
      </c>
      <c r="E70" s="384"/>
      <c r="F70" s="384"/>
      <c r="G70" s="384"/>
      <c r="H70" s="384"/>
      <c r="I70" s="384"/>
    </row>
    <row r="71" spans="1:9" ht="12.75" customHeight="1" x14ac:dyDescent="0.2">
      <c r="D71" s="7"/>
    </row>
    <row r="72" spans="1:9" x14ac:dyDescent="0.2">
      <c r="A72" s="391" t="s">
        <v>0</v>
      </c>
      <c r="B72" s="391"/>
      <c r="C72" s="391"/>
      <c r="D72" s="391"/>
      <c r="E72" s="391"/>
      <c r="F72" s="391"/>
      <c r="G72" s="391"/>
      <c r="H72" s="391"/>
      <c r="I72" s="391"/>
    </row>
    <row r="73" spans="1:9" ht="12.75" customHeight="1" x14ac:dyDescent="0.2">
      <c r="A73" s="391"/>
      <c r="B73" s="391"/>
      <c r="C73" s="391"/>
      <c r="D73" s="391"/>
      <c r="E73" s="391"/>
      <c r="F73" s="391"/>
      <c r="G73" s="391"/>
      <c r="H73" s="391"/>
      <c r="I73" s="391"/>
    </row>
    <row r="74" spans="1:9" x14ac:dyDescent="0.2">
      <c r="D74" s="389" t="s">
        <v>2</v>
      </c>
      <c r="E74" s="390"/>
      <c r="F74" s="390"/>
      <c r="G74" s="390"/>
      <c r="H74" s="390"/>
      <c r="I74" s="390"/>
    </row>
    <row r="75" spans="1:9" ht="12.75" customHeight="1" x14ac:dyDescent="0.2"/>
    <row r="76" spans="1:9" x14ac:dyDescent="0.2">
      <c r="A76" s="391" t="s">
        <v>1</v>
      </c>
      <c r="B76" s="391"/>
      <c r="C76" s="391"/>
      <c r="D76" s="391"/>
      <c r="E76" s="391"/>
      <c r="F76" s="391"/>
      <c r="G76" s="391"/>
      <c r="H76" s="391"/>
      <c r="I76" s="391"/>
    </row>
    <row r="77" spans="1:9" ht="12.75" customHeight="1" x14ac:dyDescent="0.2">
      <c r="A77" s="391"/>
      <c r="B77" s="391"/>
      <c r="C77" s="391"/>
      <c r="D77" s="391"/>
      <c r="E77" s="391"/>
      <c r="F77" s="391"/>
      <c r="G77" s="391"/>
      <c r="H77" s="391"/>
      <c r="I77" s="391"/>
    </row>
    <row r="78" spans="1:9" x14ac:dyDescent="0.2">
      <c r="D78" s="389" t="s">
        <v>2</v>
      </c>
      <c r="E78" s="390"/>
      <c r="F78" s="390"/>
      <c r="G78" s="390"/>
      <c r="H78" s="390"/>
      <c r="I78" s="390"/>
    </row>
    <row r="79" spans="1:9" ht="12.75" customHeight="1" x14ac:dyDescent="0.2"/>
    <row r="80" spans="1:9" x14ac:dyDescent="0.2">
      <c r="A80" s="391" t="s">
        <v>5</v>
      </c>
      <c r="B80" s="391"/>
      <c r="C80" s="391"/>
      <c r="D80" s="391"/>
      <c r="E80" s="391"/>
      <c r="F80" s="391"/>
      <c r="G80" s="6" t="s">
        <v>7</v>
      </c>
      <c r="H80" s="391"/>
      <c r="I80" s="391"/>
    </row>
    <row r="81" spans="1:9" x14ac:dyDescent="0.2">
      <c r="D81" s="389" t="s">
        <v>40</v>
      </c>
      <c r="E81" s="390"/>
      <c r="F81" s="390"/>
      <c r="H81" s="389" t="s">
        <v>2</v>
      </c>
      <c r="I81" s="390"/>
    </row>
    <row r="82" spans="1:9" ht="12.75" customHeight="1" x14ac:dyDescent="0.2"/>
    <row r="83" spans="1:9" x14ac:dyDescent="0.2">
      <c r="A83" s="391" t="s">
        <v>3</v>
      </c>
      <c r="B83" s="391"/>
      <c r="C83" s="391"/>
      <c r="D83" s="391"/>
      <c r="E83" s="391"/>
      <c r="F83" s="391"/>
      <c r="G83" s="391"/>
      <c r="H83" s="391"/>
      <c r="I83" s="391"/>
    </row>
    <row r="84" spans="1:9" x14ac:dyDescent="0.2">
      <c r="D84" s="389" t="s">
        <v>6</v>
      </c>
      <c r="E84" s="390"/>
      <c r="F84" s="390"/>
      <c r="G84" s="390"/>
      <c r="H84" s="390"/>
      <c r="I84" s="390"/>
    </row>
    <row r="85" spans="1:9" ht="12.75" customHeight="1" x14ac:dyDescent="0.2"/>
  </sheetData>
  <mergeCells count="134">
    <mergeCell ref="A83:C83"/>
    <mergeCell ref="D83:I83"/>
    <mergeCell ref="D84:I84"/>
    <mergeCell ref="D78:I78"/>
    <mergeCell ref="A80:C80"/>
    <mergeCell ref="D80:F80"/>
    <mergeCell ref="H80:I80"/>
    <mergeCell ref="D81:F81"/>
    <mergeCell ref="H81:I81"/>
    <mergeCell ref="A70:C70"/>
    <mergeCell ref="D70:I70"/>
    <mergeCell ref="A72:C73"/>
    <mergeCell ref="D72:I73"/>
    <mergeCell ref="D74:I74"/>
    <mergeCell ref="A76:C77"/>
    <mergeCell ref="D76:I77"/>
    <mergeCell ref="B65:C65"/>
    <mergeCell ref="D65:G65"/>
    <mergeCell ref="B66:C66"/>
    <mergeCell ref="D66:G66"/>
    <mergeCell ref="B67:C67"/>
    <mergeCell ref="D67:G67"/>
    <mergeCell ref="B62:C62"/>
    <mergeCell ref="D62:G62"/>
    <mergeCell ref="B63:C63"/>
    <mergeCell ref="D63:G63"/>
    <mergeCell ref="B64:C64"/>
    <mergeCell ref="D64:G64"/>
    <mergeCell ref="B59:C59"/>
    <mergeCell ref="D59:G59"/>
    <mergeCell ref="B60:C60"/>
    <mergeCell ref="D60:G60"/>
    <mergeCell ref="B61:C61"/>
    <mergeCell ref="D61:G61"/>
    <mergeCell ref="B56:C56"/>
    <mergeCell ref="D56:G56"/>
    <mergeCell ref="B57:C57"/>
    <mergeCell ref="D57:G57"/>
    <mergeCell ref="B58:C58"/>
    <mergeCell ref="D58:G58"/>
    <mergeCell ref="B53:C53"/>
    <mergeCell ref="D53:G53"/>
    <mergeCell ref="B54:C54"/>
    <mergeCell ref="D54:G54"/>
    <mergeCell ref="B55:C55"/>
    <mergeCell ref="D55:G55"/>
    <mergeCell ref="B50:C50"/>
    <mergeCell ref="D50:G50"/>
    <mergeCell ref="B51:C51"/>
    <mergeCell ref="D51:G51"/>
    <mergeCell ref="B52:C52"/>
    <mergeCell ref="D52:G52"/>
    <mergeCell ref="B47:C47"/>
    <mergeCell ref="D47:G47"/>
    <mergeCell ref="B48:C48"/>
    <mergeCell ref="D48:G48"/>
    <mergeCell ref="B49:C49"/>
    <mergeCell ref="D49:G49"/>
    <mergeCell ref="B44:C44"/>
    <mergeCell ref="D44:G44"/>
    <mergeCell ref="B45:C45"/>
    <mergeCell ref="D45:G45"/>
    <mergeCell ref="B46:C46"/>
    <mergeCell ref="D46:G46"/>
    <mergeCell ref="B41:C41"/>
    <mergeCell ref="D41:G41"/>
    <mergeCell ref="B42:C42"/>
    <mergeCell ref="D42:G42"/>
    <mergeCell ref="B43:C43"/>
    <mergeCell ref="D43:G43"/>
    <mergeCell ref="B38:C38"/>
    <mergeCell ref="D38:G38"/>
    <mergeCell ref="B39:C39"/>
    <mergeCell ref="D39:G39"/>
    <mergeCell ref="B40:C40"/>
    <mergeCell ref="D40:G40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3:C23"/>
    <mergeCell ref="D23:G23"/>
    <mergeCell ref="B24:C24"/>
    <mergeCell ref="D24:G24"/>
    <mergeCell ref="B25:C25"/>
    <mergeCell ref="D25:G25"/>
    <mergeCell ref="B22:C22"/>
    <mergeCell ref="D22:G22"/>
    <mergeCell ref="B18:C18"/>
    <mergeCell ref="D18:G18"/>
    <mergeCell ref="B19:C19"/>
    <mergeCell ref="D19:G19"/>
    <mergeCell ref="B20:C20"/>
    <mergeCell ref="D20:G20"/>
    <mergeCell ref="B17:C17"/>
    <mergeCell ref="D17:G17"/>
    <mergeCell ref="A8:C8"/>
    <mergeCell ref="D8:I8"/>
    <mergeCell ref="A10:C10"/>
    <mergeCell ref="D10:I10"/>
    <mergeCell ref="A12:C12"/>
    <mergeCell ref="D12:I12"/>
    <mergeCell ref="B21:C21"/>
    <mergeCell ref="D21:G21"/>
    <mergeCell ref="A1:C1"/>
    <mergeCell ref="D1:I1"/>
    <mergeCell ref="A3:I3"/>
    <mergeCell ref="A4:I4"/>
    <mergeCell ref="A6:C6"/>
    <mergeCell ref="D6:I6"/>
    <mergeCell ref="A14:I14"/>
    <mergeCell ref="A15:I15"/>
    <mergeCell ref="B16:C16"/>
    <mergeCell ref="D16:G16"/>
  </mergeCells>
  <pageMargins left="0.39370078740157477" right="0.39370078740157477" top="0.74803149606299213" bottom="0.74803149606299213" header="0.31496062992125984" footer="0.31496062992125984"/>
  <pageSetup paperSize="9" scale="83" orientation="portrait" useFirstPageNumber="1" horizontalDpi="300" verticalDpi="300" r:id="rId1"/>
  <headerFooter alignWithMargins="0">
    <oddFooter>&amp;CСтраница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8"/>
  <dimension ref="A1:J47"/>
  <sheetViews>
    <sheetView view="pageBreakPreview" zoomScale="60" zoomScaleNormal="100" workbookViewId="0">
      <selection activeCell="M24" sqref="M24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63.75" customHeight="1" x14ac:dyDescent="0.2">
      <c r="A1" s="419" t="s">
        <v>55</v>
      </c>
      <c r="B1" s="419"/>
      <c r="C1" s="419"/>
      <c r="D1" s="381" t="s">
        <v>64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1287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63.75" customHeight="1" x14ac:dyDescent="0.2">
      <c r="A6" s="386" t="s">
        <v>51</v>
      </c>
      <c r="B6" s="386"/>
      <c r="C6" s="384" t="s">
        <v>62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561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3.15" customHeight="1" x14ac:dyDescent="0.2">
      <c r="A18" s="456" t="s">
        <v>61</v>
      </c>
      <c r="B18" s="457"/>
      <c r="C18" s="457"/>
      <c r="D18" s="457"/>
      <c r="E18" s="457"/>
      <c r="F18" s="457"/>
      <c r="G18" s="457"/>
      <c r="H18" s="457"/>
      <c r="I18" s="458"/>
    </row>
    <row r="19" spans="1:9" ht="97.35" customHeight="1" x14ac:dyDescent="0.2">
      <c r="A19" s="24" t="s">
        <v>10</v>
      </c>
      <c r="B19" s="413" t="s">
        <v>59</v>
      </c>
      <c r="C19" s="414"/>
      <c r="D19" s="415" t="s">
        <v>267</v>
      </c>
      <c r="E19" s="416"/>
      <c r="F19" s="416"/>
      <c r="G19" s="417"/>
      <c r="H19" s="23" t="s">
        <v>1132</v>
      </c>
      <c r="I19" s="22">
        <f>(53100 + 186* 1236) * 1 * 0.6 *  1.4</f>
        <v>237716.63999999998</v>
      </c>
    </row>
    <row r="20" spans="1:9" ht="16.149999999999999" customHeight="1" x14ac:dyDescent="0.2">
      <c r="A20" s="19" t="s">
        <v>39</v>
      </c>
      <c r="B20" s="423"/>
      <c r="C20" s="424"/>
      <c r="D20" s="423" t="s">
        <v>45</v>
      </c>
      <c r="E20" s="418"/>
      <c r="F20" s="418"/>
      <c r="G20" s="424"/>
      <c r="H20" s="21"/>
      <c r="I20" s="20"/>
    </row>
    <row r="21" spans="1:9" ht="26.45" customHeight="1" x14ac:dyDescent="0.2">
      <c r="A21" s="19" t="s">
        <v>39</v>
      </c>
      <c r="B21" s="421"/>
      <c r="C21" s="422"/>
      <c r="D21" s="421" t="s">
        <v>562</v>
      </c>
      <c r="E21" s="384"/>
      <c r="F21" s="384"/>
      <c r="G21" s="422"/>
      <c r="H21" s="18"/>
      <c r="I21" s="17"/>
    </row>
    <row r="22" spans="1:9" ht="70.5" customHeight="1" x14ac:dyDescent="0.2">
      <c r="A22" s="16" t="s">
        <v>39</v>
      </c>
      <c r="B22" s="427"/>
      <c r="C22" s="428"/>
      <c r="D22" s="427" t="s">
        <v>1094</v>
      </c>
      <c r="E22" s="429"/>
      <c r="F22" s="429"/>
      <c r="G22" s="428"/>
      <c r="H22" s="15"/>
      <c r="I22" s="14"/>
    </row>
    <row r="23" spans="1:9" ht="13.15" customHeight="1" x14ac:dyDescent="0.2">
      <c r="A23" s="453" t="s">
        <v>60</v>
      </c>
      <c r="B23" s="454"/>
      <c r="C23" s="454"/>
      <c r="D23" s="454"/>
      <c r="E23" s="454"/>
      <c r="F23" s="454"/>
      <c r="G23" s="454"/>
      <c r="H23" s="454"/>
      <c r="I23" s="455"/>
    </row>
    <row r="24" spans="1:9" ht="97.35" customHeight="1" x14ac:dyDescent="0.2">
      <c r="A24" s="24" t="s">
        <v>11</v>
      </c>
      <c r="B24" s="413" t="s">
        <v>59</v>
      </c>
      <c r="C24" s="414"/>
      <c r="D24" s="415" t="s">
        <v>268</v>
      </c>
      <c r="E24" s="416"/>
      <c r="F24" s="416"/>
      <c r="G24" s="417"/>
      <c r="H24" s="23" t="s">
        <v>1133</v>
      </c>
      <c r="I24" s="22">
        <f>(53100 + 186  * 1784) * 1 * 0.6 *  1.4</f>
        <v>323336.15999999997</v>
      </c>
    </row>
    <row r="25" spans="1:9" ht="16.149999999999999" customHeight="1" x14ac:dyDescent="0.2">
      <c r="A25" s="19" t="s">
        <v>39</v>
      </c>
      <c r="B25" s="423"/>
      <c r="C25" s="424"/>
      <c r="D25" s="423" t="s">
        <v>45</v>
      </c>
      <c r="E25" s="418"/>
      <c r="F25" s="418"/>
      <c r="G25" s="424"/>
      <c r="H25" s="21"/>
      <c r="I25" s="20"/>
    </row>
    <row r="26" spans="1:9" ht="26.45" customHeight="1" x14ac:dyDescent="0.2">
      <c r="A26" s="19" t="s">
        <v>39</v>
      </c>
      <c r="B26" s="421"/>
      <c r="C26" s="422"/>
      <c r="D26" s="421" t="s">
        <v>562</v>
      </c>
      <c r="E26" s="384"/>
      <c r="F26" s="384"/>
      <c r="G26" s="422"/>
      <c r="H26" s="18"/>
      <c r="I26" s="17"/>
    </row>
    <row r="27" spans="1:9" ht="69" customHeight="1" x14ac:dyDescent="0.2">
      <c r="A27" s="16" t="s">
        <v>39</v>
      </c>
      <c r="B27" s="427"/>
      <c r="C27" s="428"/>
      <c r="D27" s="427" t="s">
        <v>1094</v>
      </c>
      <c r="E27" s="429"/>
      <c r="F27" s="429"/>
      <c r="G27" s="428"/>
      <c r="H27" s="15"/>
      <c r="I27" s="14"/>
    </row>
    <row r="28" spans="1:9" ht="13.15" customHeight="1" x14ac:dyDescent="0.2">
      <c r="A28" s="11" t="s">
        <v>13</v>
      </c>
      <c r="B28" s="395" t="s">
        <v>43</v>
      </c>
      <c r="C28" s="396"/>
      <c r="D28" s="395"/>
      <c r="E28" s="397"/>
      <c r="F28" s="397"/>
      <c r="G28" s="396"/>
      <c r="H28" s="10"/>
      <c r="I28" s="9">
        <f>I19+I24</f>
        <v>561052.79999999993</v>
      </c>
    </row>
    <row r="29" spans="1:9" ht="39.6" customHeight="1" x14ac:dyDescent="0.2">
      <c r="A29" s="11" t="s">
        <v>15</v>
      </c>
      <c r="B29" s="392" t="s">
        <v>1076</v>
      </c>
      <c r="C29" s="393"/>
      <c r="D29" s="392" t="s">
        <v>1064</v>
      </c>
      <c r="E29" s="394"/>
      <c r="F29" s="394"/>
      <c r="G29" s="393"/>
      <c r="H29" s="13" t="s">
        <v>1077</v>
      </c>
      <c r="I29" s="12">
        <f>I28*1.4</f>
        <v>785473.91999999981</v>
      </c>
    </row>
    <row r="30" spans="1:9" ht="13.15" customHeight="1" x14ac:dyDescent="0.2">
      <c r="A30" s="11" t="s">
        <v>17</v>
      </c>
      <c r="B30" s="395" t="s">
        <v>42</v>
      </c>
      <c r="C30" s="396"/>
      <c r="D30" s="395"/>
      <c r="E30" s="397"/>
      <c r="F30" s="397"/>
      <c r="G30" s="396"/>
      <c r="H30" s="10" t="s">
        <v>56</v>
      </c>
      <c r="I30" s="9">
        <f>I29</f>
        <v>785473.91999999981</v>
      </c>
    </row>
    <row r="31" spans="1:9" ht="12.75" customHeight="1" x14ac:dyDescent="0.2"/>
    <row r="32" spans="1:9" s="8" customFormat="1" ht="25.15" hidden="1" customHeight="1" x14ac:dyDescent="0.2">
      <c r="A32" s="384" t="s">
        <v>41</v>
      </c>
      <c r="B32" s="384"/>
      <c r="C32" s="384"/>
      <c r="D32" s="384" t="s">
        <v>229</v>
      </c>
      <c r="E32" s="384"/>
      <c r="F32" s="384"/>
      <c r="G32" s="384"/>
      <c r="H32" s="384"/>
      <c r="I32" s="384"/>
    </row>
    <row r="33" spans="1:9" ht="12.75" customHeight="1" x14ac:dyDescent="0.2">
      <c r="D33" s="7"/>
    </row>
    <row r="34" spans="1:9" ht="11.45" customHeight="1" x14ac:dyDescent="0.2">
      <c r="A34" s="391" t="s">
        <v>0</v>
      </c>
      <c r="B34" s="391"/>
      <c r="C34" s="391"/>
      <c r="D34" s="391"/>
      <c r="E34" s="391"/>
      <c r="F34" s="391"/>
      <c r="G34" s="391"/>
      <c r="H34" s="391"/>
      <c r="I34" s="391"/>
    </row>
    <row r="35" spans="1:9" ht="12.75" customHeight="1" x14ac:dyDescent="0.2">
      <c r="A35" s="391"/>
      <c r="B35" s="391"/>
      <c r="C35" s="391"/>
      <c r="D35" s="391"/>
      <c r="E35" s="391"/>
      <c r="F35" s="391"/>
      <c r="G35" s="391"/>
      <c r="H35" s="391"/>
      <c r="I35" s="391"/>
    </row>
    <row r="36" spans="1:9" x14ac:dyDescent="0.2">
      <c r="D36" s="389" t="s">
        <v>2</v>
      </c>
      <c r="E36" s="390"/>
      <c r="F36" s="390"/>
      <c r="G36" s="390"/>
      <c r="H36" s="390"/>
      <c r="I36" s="390"/>
    </row>
    <row r="37" spans="1:9" ht="12.75" customHeight="1" x14ac:dyDescent="0.2"/>
    <row r="38" spans="1:9" x14ac:dyDescent="0.2">
      <c r="A38" s="391" t="s">
        <v>1</v>
      </c>
      <c r="B38" s="391"/>
      <c r="C38" s="391"/>
      <c r="D38" s="391"/>
      <c r="E38" s="391"/>
      <c r="F38" s="391"/>
      <c r="G38" s="391"/>
      <c r="H38" s="391"/>
      <c r="I38" s="391"/>
    </row>
    <row r="39" spans="1:9" ht="12.75" customHeight="1" x14ac:dyDescent="0.2">
      <c r="A39" s="391"/>
      <c r="B39" s="391"/>
      <c r="C39" s="391"/>
      <c r="D39" s="391"/>
      <c r="E39" s="391"/>
      <c r="F39" s="391"/>
      <c r="G39" s="391"/>
      <c r="H39" s="391"/>
      <c r="I39" s="391"/>
    </row>
    <row r="40" spans="1:9" x14ac:dyDescent="0.2">
      <c r="D40" s="389" t="s">
        <v>2</v>
      </c>
      <c r="E40" s="390"/>
      <c r="F40" s="390"/>
      <c r="G40" s="390"/>
      <c r="H40" s="390"/>
      <c r="I40" s="390"/>
    </row>
    <row r="41" spans="1:9" ht="12.75" customHeight="1" x14ac:dyDescent="0.2"/>
    <row r="42" spans="1:9" x14ac:dyDescent="0.2">
      <c r="A42" s="391" t="s">
        <v>5</v>
      </c>
      <c r="B42" s="391"/>
      <c r="C42" s="391"/>
      <c r="D42" s="391"/>
      <c r="E42" s="391"/>
      <c r="F42" s="391"/>
      <c r="G42" s="6" t="s">
        <v>7</v>
      </c>
      <c r="H42" s="391"/>
      <c r="I42" s="391"/>
    </row>
    <row r="43" spans="1:9" x14ac:dyDescent="0.2">
      <c r="D43" s="389" t="s">
        <v>40</v>
      </c>
      <c r="E43" s="390"/>
      <c r="F43" s="390"/>
      <c r="H43" s="389" t="s">
        <v>2</v>
      </c>
      <c r="I43" s="390"/>
    </row>
    <row r="44" spans="1:9" ht="12.75" customHeight="1" x14ac:dyDescent="0.2"/>
    <row r="45" spans="1:9" x14ac:dyDescent="0.2">
      <c r="A45" s="391" t="s">
        <v>3</v>
      </c>
      <c r="B45" s="391"/>
      <c r="C45" s="391"/>
      <c r="D45" s="391"/>
      <c r="E45" s="391"/>
      <c r="F45" s="391"/>
      <c r="G45" s="391"/>
      <c r="H45" s="391"/>
      <c r="I45" s="391"/>
    </row>
    <row r="46" spans="1:9" x14ac:dyDescent="0.2">
      <c r="D46" s="389" t="s">
        <v>6</v>
      </c>
      <c r="E46" s="390"/>
      <c r="F46" s="390"/>
      <c r="G46" s="390"/>
      <c r="H46" s="390"/>
      <c r="I46" s="390"/>
    </row>
    <row r="47" spans="1:9" ht="12.75" customHeight="1" x14ac:dyDescent="0.2"/>
  </sheetData>
  <mergeCells count="56">
    <mergeCell ref="A45:C45"/>
    <mergeCell ref="D45:I45"/>
    <mergeCell ref="D46:I46"/>
    <mergeCell ref="D40:I40"/>
    <mergeCell ref="A42:C42"/>
    <mergeCell ref="D42:F42"/>
    <mergeCell ref="H42:I42"/>
    <mergeCell ref="D43:F43"/>
    <mergeCell ref="H43:I43"/>
    <mergeCell ref="A38:C39"/>
    <mergeCell ref="D38:I39"/>
    <mergeCell ref="B28:C28"/>
    <mergeCell ref="D28:G28"/>
    <mergeCell ref="B29:C29"/>
    <mergeCell ref="D29:G29"/>
    <mergeCell ref="B30:C30"/>
    <mergeCell ref="D30:G30"/>
    <mergeCell ref="A32:C32"/>
    <mergeCell ref="D32:I32"/>
    <mergeCell ref="A34:C35"/>
    <mergeCell ref="D34:I35"/>
    <mergeCell ref="D36:I36"/>
    <mergeCell ref="B27:C27"/>
    <mergeCell ref="D27:G27"/>
    <mergeCell ref="B25:C25"/>
    <mergeCell ref="D25:G25"/>
    <mergeCell ref="B19:C19"/>
    <mergeCell ref="D19:G19"/>
    <mergeCell ref="B20:C20"/>
    <mergeCell ref="D20:G20"/>
    <mergeCell ref="B21:C21"/>
    <mergeCell ref="D21:G21"/>
    <mergeCell ref="B26:C26"/>
    <mergeCell ref="D26:G26"/>
    <mergeCell ref="A23:I23"/>
    <mergeCell ref="B24:C24"/>
    <mergeCell ref="D24:G24"/>
    <mergeCell ref="A12:C12"/>
    <mergeCell ref="D12:I12"/>
    <mergeCell ref="B22:C22"/>
    <mergeCell ref="D22:G22"/>
    <mergeCell ref="B17:C17"/>
    <mergeCell ref="B16:C16"/>
    <mergeCell ref="D16:G16"/>
    <mergeCell ref="A18:I18"/>
    <mergeCell ref="A14:I14"/>
    <mergeCell ref="D17:G17"/>
    <mergeCell ref="A8:I8"/>
    <mergeCell ref="A10:C10"/>
    <mergeCell ref="D10:I10"/>
    <mergeCell ref="A1:C1"/>
    <mergeCell ref="D1:I1"/>
    <mergeCell ref="A3:I3"/>
    <mergeCell ref="A4:I4"/>
    <mergeCell ref="A6:B6"/>
    <mergeCell ref="C6:G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9"/>
  <dimension ref="A1:N65"/>
  <sheetViews>
    <sheetView view="pageBreakPreview" zoomScale="60" zoomScaleNormal="100" workbookViewId="0">
      <selection activeCell="I18" sqref="I18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16384" width="11.5703125" style="5"/>
  </cols>
  <sheetData>
    <row r="1" spans="1:10" ht="51" customHeight="1" x14ac:dyDescent="0.2">
      <c r="A1" s="419" t="s">
        <v>55</v>
      </c>
      <c r="B1" s="419"/>
      <c r="C1" s="419"/>
      <c r="D1" s="381" t="s">
        <v>103</v>
      </c>
      <c r="E1" s="381"/>
      <c r="F1" s="381"/>
      <c r="G1" s="381"/>
      <c r="H1" s="381"/>
      <c r="I1" s="381"/>
    </row>
    <row r="2" spans="1:10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1288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ht="12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38.25" customHeight="1" x14ac:dyDescent="0.2">
      <c r="A6" s="386" t="s">
        <v>51</v>
      </c>
      <c r="B6" s="386"/>
      <c r="C6" s="384" t="s">
        <v>556</v>
      </c>
      <c r="D6" s="384"/>
      <c r="E6" s="384"/>
      <c r="F6" s="384"/>
      <c r="G6" s="384"/>
      <c r="H6" s="32"/>
      <c r="I6" s="32"/>
    </row>
    <row r="7" spans="1:10" ht="12.75" customHeight="1" x14ac:dyDescent="0.2">
      <c r="C7" s="31"/>
      <c r="J7" s="6"/>
    </row>
    <row r="8" spans="1:10" ht="12.75" customHeight="1" x14ac:dyDescent="0.2">
      <c r="A8" s="384" t="s">
        <v>1314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 t="s">
        <v>228</v>
      </c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 t="s">
        <v>9</v>
      </c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1083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47</v>
      </c>
      <c r="E16" s="409"/>
      <c r="F16" s="409"/>
      <c r="G16" s="408"/>
      <c r="H16" s="27" t="s">
        <v>46</v>
      </c>
      <c r="I16" s="27" t="s">
        <v>8</v>
      </c>
    </row>
    <row r="17" spans="1:14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14" ht="123.75" customHeight="1" x14ac:dyDescent="0.2">
      <c r="A18" s="24" t="s">
        <v>10</v>
      </c>
      <c r="B18" s="413" t="s">
        <v>226</v>
      </c>
      <c r="C18" s="414"/>
      <c r="D18" s="415" t="s">
        <v>225</v>
      </c>
      <c r="E18" s="416"/>
      <c r="F18" s="416"/>
      <c r="G18" s="417"/>
      <c r="H18" s="23" t="s">
        <v>1417</v>
      </c>
      <c r="I18" s="22">
        <f>(48500 + 30  * (0.4 * 150 + 0.6 * 150 / 2)) * 21 * 0.6 *   1.1 * 0.7*1.4*1.142</f>
        <v>801171.95003999991</v>
      </c>
    </row>
    <row r="19" spans="1:14" ht="16.149999999999999" customHeight="1" x14ac:dyDescent="0.2">
      <c r="A19" s="19" t="s">
        <v>39</v>
      </c>
      <c r="B19" s="423"/>
      <c r="C19" s="424"/>
      <c r="D19" s="423" t="s">
        <v>45</v>
      </c>
      <c r="E19" s="418"/>
      <c r="F19" s="418"/>
      <c r="G19" s="424"/>
      <c r="H19" s="21"/>
      <c r="I19" s="20"/>
    </row>
    <row r="20" spans="1:14" ht="26.45" customHeight="1" x14ac:dyDescent="0.2">
      <c r="A20" s="19" t="s">
        <v>39</v>
      </c>
      <c r="B20" s="421"/>
      <c r="C20" s="422"/>
      <c r="D20" s="421" t="s">
        <v>562</v>
      </c>
      <c r="E20" s="384"/>
      <c r="F20" s="384"/>
      <c r="G20" s="422"/>
      <c r="H20" s="18"/>
      <c r="I20" s="17"/>
    </row>
    <row r="21" spans="1:14" ht="66" customHeight="1" x14ac:dyDescent="0.2">
      <c r="A21" s="19" t="s">
        <v>39</v>
      </c>
      <c r="B21" s="421"/>
      <c r="C21" s="422"/>
      <c r="D21" s="421" t="s">
        <v>588</v>
      </c>
      <c r="E21" s="384"/>
      <c r="F21" s="384"/>
      <c r="G21" s="422"/>
      <c r="H21" s="18"/>
      <c r="I21" s="17"/>
    </row>
    <row r="22" spans="1:14" ht="165" customHeight="1" x14ac:dyDescent="0.2">
      <c r="A22" s="19" t="s">
        <v>39</v>
      </c>
      <c r="B22" s="421"/>
      <c r="C22" s="422"/>
      <c r="D22" s="421" t="s">
        <v>589</v>
      </c>
      <c r="E22" s="384"/>
      <c r="F22" s="384"/>
      <c r="G22" s="422"/>
      <c r="H22" s="18"/>
      <c r="I22" s="17"/>
      <c r="K22" s="78"/>
      <c r="L22" s="78"/>
      <c r="M22" s="78"/>
      <c r="N22" s="78"/>
    </row>
    <row r="23" spans="1:14" ht="167.25" customHeight="1" x14ac:dyDescent="0.2">
      <c r="A23" s="19"/>
      <c r="B23" s="425"/>
      <c r="C23" s="426"/>
      <c r="D23" s="421" t="s">
        <v>1266</v>
      </c>
      <c r="E23" s="384"/>
      <c r="F23" s="384"/>
      <c r="G23" s="422"/>
      <c r="H23" s="18"/>
      <c r="I23" s="17"/>
      <c r="K23" s="78"/>
      <c r="L23" s="78"/>
      <c r="M23" s="78"/>
      <c r="N23" s="78"/>
    </row>
    <row r="24" spans="1:14" ht="82.5" customHeight="1" x14ac:dyDescent="0.2">
      <c r="A24" s="19" t="s">
        <v>39</v>
      </c>
      <c r="B24" s="423"/>
      <c r="C24" s="424"/>
      <c r="D24" s="423" t="s">
        <v>1267</v>
      </c>
      <c r="E24" s="418"/>
      <c r="F24" s="418"/>
      <c r="G24" s="424"/>
      <c r="H24" s="21"/>
      <c r="I24" s="20"/>
    </row>
    <row r="25" spans="1:14" ht="26.45" hidden="1" customHeight="1" x14ac:dyDescent="0.2">
      <c r="A25" s="19" t="s">
        <v>39</v>
      </c>
      <c r="B25" s="421"/>
      <c r="C25" s="422"/>
      <c r="D25" s="421" t="s">
        <v>224</v>
      </c>
      <c r="E25" s="384"/>
      <c r="F25" s="384"/>
      <c r="G25" s="422"/>
      <c r="H25" s="18"/>
      <c r="I25" s="17"/>
    </row>
    <row r="26" spans="1:14" ht="39.6" hidden="1" customHeight="1" x14ac:dyDescent="0.2">
      <c r="A26" s="19" t="s">
        <v>39</v>
      </c>
      <c r="B26" s="421"/>
      <c r="C26" s="422"/>
      <c r="D26" s="421" t="s">
        <v>223</v>
      </c>
      <c r="E26" s="384"/>
      <c r="F26" s="384"/>
      <c r="G26" s="422"/>
      <c r="H26" s="18"/>
      <c r="I26" s="17"/>
    </row>
    <row r="27" spans="1:14" ht="26.45" hidden="1" customHeight="1" x14ac:dyDescent="0.2">
      <c r="A27" s="19" t="s">
        <v>39</v>
      </c>
      <c r="B27" s="421"/>
      <c r="C27" s="422"/>
      <c r="D27" s="421" t="s">
        <v>222</v>
      </c>
      <c r="E27" s="384"/>
      <c r="F27" s="384"/>
      <c r="G27" s="422"/>
      <c r="H27" s="18"/>
      <c r="I27" s="17"/>
    </row>
    <row r="28" spans="1:14" ht="39.6" hidden="1" customHeight="1" x14ac:dyDescent="0.2">
      <c r="A28" s="19" t="s">
        <v>39</v>
      </c>
      <c r="B28" s="421"/>
      <c r="C28" s="422"/>
      <c r="D28" s="421" t="s">
        <v>221</v>
      </c>
      <c r="E28" s="384"/>
      <c r="F28" s="384"/>
      <c r="G28" s="422"/>
      <c r="H28" s="18"/>
      <c r="I28" s="17"/>
    </row>
    <row r="29" spans="1:14" ht="66" hidden="1" customHeight="1" x14ac:dyDescent="0.2">
      <c r="A29" s="19" t="s">
        <v>39</v>
      </c>
      <c r="B29" s="421"/>
      <c r="C29" s="422"/>
      <c r="D29" s="421" t="s">
        <v>220</v>
      </c>
      <c r="E29" s="384"/>
      <c r="F29" s="384"/>
      <c r="G29" s="422"/>
      <c r="H29" s="18"/>
      <c r="I29" s="17"/>
    </row>
    <row r="30" spans="1:14" ht="66" hidden="1" customHeight="1" x14ac:dyDescent="0.2">
      <c r="A30" s="19" t="s">
        <v>39</v>
      </c>
      <c r="B30" s="421"/>
      <c r="C30" s="422"/>
      <c r="D30" s="421" t="s">
        <v>219</v>
      </c>
      <c r="E30" s="384"/>
      <c r="F30" s="384"/>
      <c r="G30" s="422"/>
      <c r="H30" s="18"/>
      <c r="I30" s="17"/>
    </row>
    <row r="31" spans="1:14" ht="66" hidden="1" customHeight="1" x14ac:dyDescent="0.2">
      <c r="A31" s="19" t="s">
        <v>39</v>
      </c>
      <c r="B31" s="421"/>
      <c r="C31" s="422"/>
      <c r="D31" s="421" t="s">
        <v>218</v>
      </c>
      <c r="E31" s="384"/>
      <c r="F31" s="384"/>
      <c r="G31" s="422"/>
      <c r="H31" s="18"/>
      <c r="I31" s="17"/>
    </row>
    <row r="32" spans="1:14" ht="79.150000000000006" hidden="1" customHeight="1" x14ac:dyDescent="0.2">
      <c r="A32" s="19" t="s">
        <v>39</v>
      </c>
      <c r="B32" s="421"/>
      <c r="C32" s="422"/>
      <c r="D32" s="421" t="s">
        <v>217</v>
      </c>
      <c r="E32" s="384"/>
      <c r="F32" s="384"/>
      <c r="G32" s="422"/>
      <c r="H32" s="18"/>
      <c r="I32" s="17"/>
    </row>
    <row r="33" spans="1:14" ht="66" hidden="1" customHeight="1" x14ac:dyDescent="0.2">
      <c r="A33" s="19" t="s">
        <v>39</v>
      </c>
      <c r="B33" s="421"/>
      <c r="C33" s="422"/>
      <c r="D33" s="421" t="s">
        <v>216</v>
      </c>
      <c r="E33" s="384"/>
      <c r="F33" s="384"/>
      <c r="G33" s="422"/>
      <c r="H33" s="18"/>
      <c r="I33" s="17"/>
    </row>
    <row r="34" spans="1:14" ht="66" hidden="1" customHeight="1" x14ac:dyDescent="0.2">
      <c r="A34" s="19" t="s">
        <v>39</v>
      </c>
      <c r="B34" s="421"/>
      <c r="C34" s="422"/>
      <c r="D34" s="421" t="s">
        <v>215</v>
      </c>
      <c r="E34" s="384"/>
      <c r="F34" s="384"/>
      <c r="G34" s="422"/>
      <c r="H34" s="18"/>
      <c r="I34" s="17"/>
    </row>
    <row r="35" spans="1:14" ht="26.45" hidden="1" customHeight="1" x14ac:dyDescent="0.2">
      <c r="A35" s="19" t="s">
        <v>39</v>
      </c>
      <c r="B35" s="421"/>
      <c r="C35" s="422"/>
      <c r="D35" s="421" t="s">
        <v>214</v>
      </c>
      <c r="E35" s="384"/>
      <c r="F35" s="384"/>
      <c r="G35" s="422"/>
      <c r="H35" s="18"/>
      <c r="I35" s="17"/>
    </row>
    <row r="36" spans="1:14" ht="39.6" hidden="1" customHeight="1" x14ac:dyDescent="0.2">
      <c r="A36" s="19" t="s">
        <v>39</v>
      </c>
      <c r="B36" s="421"/>
      <c r="C36" s="422"/>
      <c r="D36" s="421" t="s">
        <v>213</v>
      </c>
      <c r="E36" s="384"/>
      <c r="F36" s="384"/>
      <c r="G36" s="422"/>
      <c r="H36" s="18"/>
      <c r="I36" s="17"/>
    </row>
    <row r="37" spans="1:14" ht="39.6" hidden="1" customHeight="1" x14ac:dyDescent="0.2">
      <c r="A37" s="19" t="s">
        <v>39</v>
      </c>
      <c r="B37" s="421"/>
      <c r="C37" s="422"/>
      <c r="D37" s="421" t="s">
        <v>212</v>
      </c>
      <c r="E37" s="384"/>
      <c r="F37" s="384"/>
      <c r="G37" s="422"/>
      <c r="H37" s="18"/>
      <c r="I37" s="17"/>
    </row>
    <row r="38" spans="1:14" ht="39.6" hidden="1" customHeight="1" x14ac:dyDescent="0.2">
      <c r="A38" s="19" t="s">
        <v>39</v>
      </c>
      <c r="B38" s="421"/>
      <c r="C38" s="422"/>
      <c r="D38" s="421" t="s">
        <v>211</v>
      </c>
      <c r="E38" s="384"/>
      <c r="F38" s="384"/>
      <c r="G38" s="422"/>
      <c r="H38" s="18"/>
      <c r="I38" s="17"/>
    </row>
    <row r="39" spans="1:14" ht="7.5" hidden="1" customHeight="1" x14ac:dyDescent="0.2">
      <c r="A39" s="16" t="s">
        <v>39</v>
      </c>
      <c r="B39" s="427"/>
      <c r="C39" s="428"/>
      <c r="D39" s="427" t="s">
        <v>210</v>
      </c>
      <c r="E39" s="429"/>
      <c r="F39" s="429"/>
      <c r="G39" s="428"/>
      <c r="H39" s="15"/>
      <c r="I39" s="14"/>
    </row>
    <row r="40" spans="1:14" ht="123.75" customHeight="1" x14ac:dyDescent="0.2">
      <c r="A40" s="24" t="s">
        <v>11</v>
      </c>
      <c r="B40" s="413" t="s">
        <v>569</v>
      </c>
      <c r="C40" s="414"/>
      <c r="D40" s="415" t="s">
        <v>568</v>
      </c>
      <c r="E40" s="416"/>
      <c r="F40" s="416"/>
      <c r="G40" s="417"/>
      <c r="H40" s="23" t="s">
        <v>1268</v>
      </c>
      <c r="I40" s="22">
        <f>ROUND((35000  + 190  * (0.4 * 250 + 0.6 * 250 / 2)) * 21 * 0.6 * 0.35 *  1.1 * 0.1,0)*1.4*1.1114</f>
        <v>51514.723679999996</v>
      </c>
    </row>
    <row r="41" spans="1:14" ht="16.149999999999999" customHeight="1" x14ac:dyDescent="0.2">
      <c r="A41" s="19" t="s">
        <v>39</v>
      </c>
      <c r="B41" s="423"/>
      <c r="C41" s="424"/>
      <c r="D41" s="423" t="s">
        <v>45</v>
      </c>
      <c r="E41" s="418"/>
      <c r="F41" s="418"/>
      <c r="G41" s="424"/>
      <c r="H41" s="21"/>
      <c r="I41" s="20"/>
    </row>
    <row r="42" spans="1:14" ht="26.45" customHeight="1" x14ac:dyDescent="0.2">
      <c r="A42" s="19" t="s">
        <v>39</v>
      </c>
      <c r="B42" s="421"/>
      <c r="C42" s="422"/>
      <c r="D42" s="421" t="s">
        <v>205</v>
      </c>
      <c r="E42" s="384"/>
      <c r="F42" s="384"/>
      <c r="G42" s="422"/>
      <c r="H42" s="18"/>
      <c r="I42" s="17"/>
    </row>
    <row r="43" spans="1:14" ht="26.45" customHeight="1" x14ac:dyDescent="0.2">
      <c r="A43" s="19"/>
      <c r="B43" s="425"/>
      <c r="C43" s="426"/>
      <c r="D43" s="421" t="s">
        <v>570</v>
      </c>
      <c r="E43" s="384"/>
      <c r="F43" s="384"/>
      <c r="G43" s="422"/>
      <c r="H43" s="18"/>
      <c r="I43" s="17"/>
    </row>
    <row r="44" spans="1:14" ht="66" customHeight="1" x14ac:dyDescent="0.2">
      <c r="A44" s="19" t="s">
        <v>39</v>
      </c>
      <c r="B44" s="421"/>
      <c r="C44" s="422"/>
      <c r="D44" s="421" t="s">
        <v>588</v>
      </c>
      <c r="E44" s="384"/>
      <c r="F44" s="384"/>
      <c r="G44" s="422"/>
      <c r="H44" s="18"/>
      <c r="I44" s="17"/>
    </row>
    <row r="45" spans="1:14" ht="144.6" customHeight="1" x14ac:dyDescent="0.2">
      <c r="A45" s="19" t="s">
        <v>39</v>
      </c>
      <c r="B45" s="421"/>
      <c r="C45" s="422"/>
      <c r="D45" s="421" t="s">
        <v>590</v>
      </c>
      <c r="E45" s="384"/>
      <c r="F45" s="384"/>
      <c r="G45" s="422"/>
      <c r="H45" s="18"/>
      <c r="I45" s="17"/>
      <c r="K45" s="78"/>
      <c r="L45" s="78"/>
      <c r="M45" s="78"/>
      <c r="N45" s="78"/>
    </row>
    <row r="46" spans="1:14" ht="82.5" customHeight="1" x14ac:dyDescent="0.2">
      <c r="A46" s="19"/>
      <c r="B46" s="425"/>
      <c r="C46" s="426"/>
      <c r="D46" s="421" t="s">
        <v>1264</v>
      </c>
      <c r="E46" s="384"/>
      <c r="F46" s="384"/>
      <c r="G46" s="422"/>
      <c r="H46" s="18"/>
      <c r="I46" s="17"/>
      <c r="K46" s="78"/>
      <c r="L46" s="78"/>
      <c r="M46" s="78"/>
      <c r="N46" s="78"/>
    </row>
    <row r="47" spans="1:14" ht="13.15" customHeight="1" x14ac:dyDescent="0.2">
      <c r="A47" s="11" t="s">
        <v>11</v>
      </c>
      <c r="B47" s="395" t="s">
        <v>43</v>
      </c>
      <c r="C47" s="396"/>
      <c r="D47" s="395"/>
      <c r="E47" s="397"/>
      <c r="F47" s="397"/>
      <c r="G47" s="396"/>
      <c r="H47" s="10"/>
      <c r="I47" s="9">
        <f>I18+I40</f>
        <v>852686.67371999985</v>
      </c>
    </row>
    <row r="48" spans="1:14" ht="39.6" customHeight="1" x14ac:dyDescent="0.2">
      <c r="A48" s="11" t="s">
        <v>13</v>
      </c>
      <c r="B48" s="392" t="s">
        <v>1075</v>
      </c>
      <c r="C48" s="393"/>
      <c r="D48" s="392" t="s">
        <v>1064</v>
      </c>
      <c r="E48" s="394"/>
      <c r="F48" s="394"/>
      <c r="G48" s="393"/>
      <c r="H48" s="13" t="s">
        <v>1065</v>
      </c>
      <c r="I48" s="12">
        <f>I47*5.94</f>
        <v>5064958.8418967994</v>
      </c>
    </row>
    <row r="49" spans="1:9" ht="13.15" customHeight="1" x14ac:dyDescent="0.2">
      <c r="A49" s="11" t="s">
        <v>15</v>
      </c>
      <c r="B49" s="395" t="s">
        <v>42</v>
      </c>
      <c r="C49" s="396"/>
      <c r="D49" s="395"/>
      <c r="E49" s="397"/>
      <c r="F49" s="397"/>
      <c r="G49" s="396"/>
      <c r="H49" s="10" t="s">
        <v>70</v>
      </c>
      <c r="I49" s="9">
        <f>I48</f>
        <v>5064958.8418967994</v>
      </c>
    </row>
    <row r="50" spans="1:9" ht="12.75" customHeight="1" x14ac:dyDescent="0.2"/>
    <row r="51" spans="1:9" ht="12.75" customHeight="1" x14ac:dyDescent="0.2">
      <c r="D51" s="7"/>
    </row>
    <row r="52" spans="1:9" x14ac:dyDescent="0.2">
      <c r="A52" s="391" t="s">
        <v>0</v>
      </c>
      <c r="B52" s="391"/>
      <c r="C52" s="391"/>
      <c r="D52" s="391"/>
      <c r="E52" s="391"/>
      <c r="F52" s="391"/>
      <c r="G52" s="391"/>
      <c r="H52" s="391"/>
      <c r="I52" s="391"/>
    </row>
    <row r="53" spans="1:9" ht="12.75" customHeight="1" x14ac:dyDescent="0.2">
      <c r="A53" s="391"/>
      <c r="B53" s="391"/>
      <c r="C53" s="391"/>
      <c r="D53" s="391"/>
      <c r="E53" s="391"/>
      <c r="F53" s="391"/>
      <c r="G53" s="391"/>
      <c r="H53" s="391"/>
      <c r="I53" s="391"/>
    </row>
    <row r="54" spans="1:9" x14ac:dyDescent="0.2">
      <c r="D54" s="389" t="s">
        <v>2</v>
      </c>
      <c r="E54" s="390"/>
      <c r="F54" s="390"/>
      <c r="G54" s="390"/>
      <c r="H54" s="390"/>
      <c r="I54" s="390"/>
    </row>
    <row r="55" spans="1:9" ht="12.75" customHeight="1" x14ac:dyDescent="0.2"/>
    <row r="56" spans="1:9" x14ac:dyDescent="0.2">
      <c r="A56" s="391" t="s">
        <v>1</v>
      </c>
      <c r="B56" s="391"/>
      <c r="C56" s="391"/>
      <c r="D56" s="391"/>
      <c r="E56" s="391"/>
      <c r="F56" s="391"/>
      <c r="G56" s="391"/>
      <c r="H56" s="391"/>
      <c r="I56" s="391"/>
    </row>
    <row r="57" spans="1:9" ht="12.75" customHeight="1" x14ac:dyDescent="0.2">
      <c r="A57" s="391"/>
      <c r="B57" s="391"/>
      <c r="C57" s="391"/>
      <c r="D57" s="391"/>
      <c r="E57" s="391"/>
      <c r="F57" s="391"/>
      <c r="G57" s="391"/>
      <c r="H57" s="391"/>
      <c r="I57" s="391"/>
    </row>
    <row r="58" spans="1:9" x14ac:dyDescent="0.2">
      <c r="D58" s="389" t="s">
        <v>2</v>
      </c>
      <c r="E58" s="390"/>
      <c r="F58" s="390"/>
      <c r="G58" s="390"/>
      <c r="H58" s="390"/>
      <c r="I58" s="390"/>
    </row>
    <row r="59" spans="1:9" ht="12.75" customHeight="1" x14ac:dyDescent="0.2"/>
    <row r="60" spans="1:9" x14ac:dyDescent="0.2">
      <c r="A60" s="391" t="s">
        <v>5</v>
      </c>
      <c r="B60" s="391"/>
      <c r="C60" s="391"/>
      <c r="D60" s="391"/>
      <c r="E60" s="391"/>
      <c r="F60" s="391"/>
      <c r="G60" s="6" t="s">
        <v>7</v>
      </c>
      <c r="H60" s="391"/>
      <c r="I60" s="391"/>
    </row>
    <row r="61" spans="1:9" x14ac:dyDescent="0.2">
      <c r="D61" s="389" t="s">
        <v>40</v>
      </c>
      <c r="E61" s="390"/>
      <c r="F61" s="390"/>
      <c r="H61" s="389" t="s">
        <v>2</v>
      </c>
      <c r="I61" s="390"/>
    </row>
    <row r="62" spans="1:9" ht="12.75" customHeight="1" x14ac:dyDescent="0.2"/>
    <row r="63" spans="1:9" x14ac:dyDescent="0.2">
      <c r="A63" s="391" t="s">
        <v>3</v>
      </c>
      <c r="B63" s="391"/>
      <c r="C63" s="391"/>
      <c r="D63" s="391"/>
      <c r="E63" s="391"/>
      <c r="F63" s="391"/>
      <c r="G63" s="391"/>
      <c r="H63" s="391"/>
      <c r="I63" s="391"/>
    </row>
    <row r="64" spans="1:9" x14ac:dyDescent="0.2">
      <c r="D64" s="389" t="s">
        <v>6</v>
      </c>
      <c r="E64" s="390"/>
      <c r="F64" s="390"/>
      <c r="G64" s="390"/>
      <c r="H64" s="390"/>
      <c r="I64" s="390"/>
    </row>
    <row r="65" ht="12.75" customHeight="1" x14ac:dyDescent="0.2"/>
  </sheetData>
  <mergeCells count="94">
    <mergeCell ref="D64:I64"/>
    <mergeCell ref="D58:I58"/>
    <mergeCell ref="A60:C60"/>
    <mergeCell ref="D60:F60"/>
    <mergeCell ref="H60:I60"/>
    <mergeCell ref="D61:F61"/>
    <mergeCell ref="H61:I61"/>
    <mergeCell ref="D40:G40"/>
    <mergeCell ref="B41:C41"/>
    <mergeCell ref="A63:C63"/>
    <mergeCell ref="D63:I63"/>
    <mergeCell ref="B45:C45"/>
    <mergeCell ref="D45:G45"/>
    <mergeCell ref="B44:C44"/>
    <mergeCell ref="D44:G44"/>
    <mergeCell ref="D41:G41"/>
    <mergeCell ref="B42:C42"/>
    <mergeCell ref="D42:G42"/>
    <mergeCell ref="B43:C43"/>
    <mergeCell ref="D43:G43"/>
    <mergeCell ref="B46:C46"/>
    <mergeCell ref="D46:G46"/>
    <mergeCell ref="B38:C38"/>
    <mergeCell ref="D38:G38"/>
    <mergeCell ref="A56:C57"/>
    <mergeCell ref="D56:I57"/>
    <mergeCell ref="B39:C39"/>
    <mergeCell ref="D39:G39"/>
    <mergeCell ref="B47:C47"/>
    <mergeCell ref="D47:G47"/>
    <mergeCell ref="B48:C48"/>
    <mergeCell ref="D48:G48"/>
    <mergeCell ref="B49:C49"/>
    <mergeCell ref="D49:G49"/>
    <mergeCell ref="A52:C53"/>
    <mergeCell ref="D52:I53"/>
    <mergeCell ref="D54:I54"/>
    <mergeCell ref="B40:C40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4:C24"/>
    <mergeCell ref="D24:G24"/>
    <mergeCell ref="B23:C23"/>
    <mergeCell ref="D23:G23"/>
    <mergeCell ref="B25:C25"/>
    <mergeCell ref="D25:G25"/>
    <mergeCell ref="A8:I8"/>
    <mergeCell ref="A10:C10"/>
    <mergeCell ref="D10:I10"/>
    <mergeCell ref="A12:C12"/>
    <mergeCell ref="D12:I12"/>
    <mergeCell ref="A1:C1"/>
    <mergeCell ref="D1:I1"/>
    <mergeCell ref="A3:I3"/>
    <mergeCell ref="A4:I4"/>
    <mergeCell ref="A6:B6"/>
    <mergeCell ref="C6:G6"/>
    <mergeCell ref="A14:I14"/>
    <mergeCell ref="B16:C16"/>
    <mergeCell ref="D16:G16"/>
    <mergeCell ref="B17:C17"/>
    <mergeCell ref="D17:G17"/>
    <mergeCell ref="B18:C18"/>
    <mergeCell ref="D18:G18"/>
    <mergeCell ref="B21:C21"/>
    <mergeCell ref="D21:G21"/>
    <mergeCell ref="B22:C22"/>
    <mergeCell ref="D22:G22"/>
    <mergeCell ref="B19:C19"/>
    <mergeCell ref="D19:G19"/>
    <mergeCell ref="B20:C20"/>
    <mergeCell ref="D20:G20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0"/>
  <dimension ref="A1:I25"/>
  <sheetViews>
    <sheetView view="pageBreakPreview" zoomScale="60" zoomScaleNormal="100" workbookViewId="0">
      <selection activeCell="I16" sqref="I16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710937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256" width="11.5703125" style="5"/>
    <col min="257" max="257" width="3.7109375" style="5" customWidth="1"/>
    <col min="258" max="258" width="10.7109375" style="5" customWidth="1"/>
    <col min="259" max="259" width="15.7109375" style="5" customWidth="1"/>
    <col min="260" max="260" width="4.42578125" style="5" customWidth="1"/>
    <col min="261" max="263" width="9.28515625" style="5" customWidth="1"/>
    <col min="264" max="264" width="19.7109375" style="5" customWidth="1"/>
    <col min="265" max="265" width="14.7109375" style="5" customWidth="1"/>
    <col min="266" max="266" width="19.7109375" style="5" customWidth="1"/>
    <col min="267" max="512" width="11.5703125" style="5"/>
    <col min="513" max="513" width="3.7109375" style="5" customWidth="1"/>
    <col min="514" max="514" width="10.7109375" style="5" customWidth="1"/>
    <col min="515" max="515" width="15.7109375" style="5" customWidth="1"/>
    <col min="516" max="516" width="4.42578125" style="5" customWidth="1"/>
    <col min="517" max="519" width="9.28515625" style="5" customWidth="1"/>
    <col min="520" max="520" width="19.7109375" style="5" customWidth="1"/>
    <col min="521" max="521" width="14.7109375" style="5" customWidth="1"/>
    <col min="522" max="522" width="19.7109375" style="5" customWidth="1"/>
    <col min="523" max="768" width="11.5703125" style="5"/>
    <col min="769" max="769" width="3.7109375" style="5" customWidth="1"/>
    <col min="770" max="770" width="10.7109375" style="5" customWidth="1"/>
    <col min="771" max="771" width="15.7109375" style="5" customWidth="1"/>
    <col min="772" max="772" width="4.42578125" style="5" customWidth="1"/>
    <col min="773" max="775" width="9.28515625" style="5" customWidth="1"/>
    <col min="776" max="776" width="19.7109375" style="5" customWidth="1"/>
    <col min="777" max="777" width="14.7109375" style="5" customWidth="1"/>
    <col min="778" max="778" width="19.7109375" style="5" customWidth="1"/>
    <col min="779" max="1024" width="11.5703125" style="5"/>
    <col min="1025" max="1025" width="3.7109375" style="5" customWidth="1"/>
    <col min="1026" max="1026" width="10.7109375" style="5" customWidth="1"/>
    <col min="1027" max="1027" width="15.7109375" style="5" customWidth="1"/>
    <col min="1028" max="1028" width="4.42578125" style="5" customWidth="1"/>
    <col min="1029" max="1031" width="9.28515625" style="5" customWidth="1"/>
    <col min="1032" max="1032" width="19.7109375" style="5" customWidth="1"/>
    <col min="1033" max="1033" width="14.7109375" style="5" customWidth="1"/>
    <col min="1034" max="1034" width="19.7109375" style="5" customWidth="1"/>
    <col min="1035" max="1280" width="11.5703125" style="5"/>
    <col min="1281" max="1281" width="3.7109375" style="5" customWidth="1"/>
    <col min="1282" max="1282" width="10.7109375" style="5" customWidth="1"/>
    <col min="1283" max="1283" width="15.7109375" style="5" customWidth="1"/>
    <col min="1284" max="1284" width="4.42578125" style="5" customWidth="1"/>
    <col min="1285" max="1287" width="9.28515625" style="5" customWidth="1"/>
    <col min="1288" max="1288" width="19.7109375" style="5" customWidth="1"/>
    <col min="1289" max="1289" width="14.7109375" style="5" customWidth="1"/>
    <col min="1290" max="1290" width="19.7109375" style="5" customWidth="1"/>
    <col min="1291" max="1536" width="11.5703125" style="5"/>
    <col min="1537" max="1537" width="3.7109375" style="5" customWidth="1"/>
    <col min="1538" max="1538" width="10.7109375" style="5" customWidth="1"/>
    <col min="1539" max="1539" width="15.7109375" style="5" customWidth="1"/>
    <col min="1540" max="1540" width="4.42578125" style="5" customWidth="1"/>
    <col min="1541" max="1543" width="9.28515625" style="5" customWidth="1"/>
    <col min="1544" max="1544" width="19.7109375" style="5" customWidth="1"/>
    <col min="1545" max="1545" width="14.7109375" style="5" customWidth="1"/>
    <col min="1546" max="1546" width="19.7109375" style="5" customWidth="1"/>
    <col min="1547" max="1792" width="11.5703125" style="5"/>
    <col min="1793" max="1793" width="3.7109375" style="5" customWidth="1"/>
    <col min="1794" max="1794" width="10.7109375" style="5" customWidth="1"/>
    <col min="1795" max="1795" width="15.7109375" style="5" customWidth="1"/>
    <col min="1796" max="1796" width="4.42578125" style="5" customWidth="1"/>
    <col min="1797" max="1799" width="9.28515625" style="5" customWidth="1"/>
    <col min="1800" max="1800" width="19.7109375" style="5" customWidth="1"/>
    <col min="1801" max="1801" width="14.7109375" style="5" customWidth="1"/>
    <col min="1802" max="1802" width="19.7109375" style="5" customWidth="1"/>
    <col min="1803" max="2048" width="11.5703125" style="5"/>
    <col min="2049" max="2049" width="3.7109375" style="5" customWidth="1"/>
    <col min="2050" max="2050" width="10.7109375" style="5" customWidth="1"/>
    <col min="2051" max="2051" width="15.7109375" style="5" customWidth="1"/>
    <col min="2052" max="2052" width="4.42578125" style="5" customWidth="1"/>
    <col min="2053" max="2055" width="9.28515625" style="5" customWidth="1"/>
    <col min="2056" max="2056" width="19.7109375" style="5" customWidth="1"/>
    <col min="2057" max="2057" width="14.7109375" style="5" customWidth="1"/>
    <col min="2058" max="2058" width="19.7109375" style="5" customWidth="1"/>
    <col min="2059" max="2304" width="11.5703125" style="5"/>
    <col min="2305" max="2305" width="3.7109375" style="5" customWidth="1"/>
    <col min="2306" max="2306" width="10.7109375" style="5" customWidth="1"/>
    <col min="2307" max="2307" width="15.7109375" style="5" customWidth="1"/>
    <col min="2308" max="2308" width="4.42578125" style="5" customWidth="1"/>
    <col min="2309" max="2311" width="9.28515625" style="5" customWidth="1"/>
    <col min="2312" max="2312" width="19.7109375" style="5" customWidth="1"/>
    <col min="2313" max="2313" width="14.7109375" style="5" customWidth="1"/>
    <col min="2314" max="2314" width="19.7109375" style="5" customWidth="1"/>
    <col min="2315" max="2560" width="11.5703125" style="5"/>
    <col min="2561" max="2561" width="3.7109375" style="5" customWidth="1"/>
    <col min="2562" max="2562" width="10.7109375" style="5" customWidth="1"/>
    <col min="2563" max="2563" width="15.7109375" style="5" customWidth="1"/>
    <col min="2564" max="2564" width="4.42578125" style="5" customWidth="1"/>
    <col min="2565" max="2567" width="9.28515625" style="5" customWidth="1"/>
    <col min="2568" max="2568" width="19.7109375" style="5" customWidth="1"/>
    <col min="2569" max="2569" width="14.7109375" style="5" customWidth="1"/>
    <col min="2570" max="2570" width="19.7109375" style="5" customWidth="1"/>
    <col min="2571" max="2816" width="11.5703125" style="5"/>
    <col min="2817" max="2817" width="3.7109375" style="5" customWidth="1"/>
    <col min="2818" max="2818" width="10.7109375" style="5" customWidth="1"/>
    <col min="2819" max="2819" width="15.7109375" style="5" customWidth="1"/>
    <col min="2820" max="2820" width="4.42578125" style="5" customWidth="1"/>
    <col min="2821" max="2823" width="9.28515625" style="5" customWidth="1"/>
    <col min="2824" max="2824" width="19.7109375" style="5" customWidth="1"/>
    <col min="2825" max="2825" width="14.7109375" style="5" customWidth="1"/>
    <col min="2826" max="2826" width="19.7109375" style="5" customWidth="1"/>
    <col min="2827" max="3072" width="11.5703125" style="5"/>
    <col min="3073" max="3073" width="3.7109375" style="5" customWidth="1"/>
    <col min="3074" max="3074" width="10.7109375" style="5" customWidth="1"/>
    <col min="3075" max="3075" width="15.7109375" style="5" customWidth="1"/>
    <col min="3076" max="3076" width="4.42578125" style="5" customWidth="1"/>
    <col min="3077" max="3079" width="9.28515625" style="5" customWidth="1"/>
    <col min="3080" max="3080" width="19.7109375" style="5" customWidth="1"/>
    <col min="3081" max="3081" width="14.7109375" style="5" customWidth="1"/>
    <col min="3082" max="3082" width="19.7109375" style="5" customWidth="1"/>
    <col min="3083" max="3328" width="11.5703125" style="5"/>
    <col min="3329" max="3329" width="3.7109375" style="5" customWidth="1"/>
    <col min="3330" max="3330" width="10.7109375" style="5" customWidth="1"/>
    <col min="3331" max="3331" width="15.7109375" style="5" customWidth="1"/>
    <col min="3332" max="3332" width="4.42578125" style="5" customWidth="1"/>
    <col min="3333" max="3335" width="9.28515625" style="5" customWidth="1"/>
    <col min="3336" max="3336" width="19.7109375" style="5" customWidth="1"/>
    <col min="3337" max="3337" width="14.7109375" style="5" customWidth="1"/>
    <col min="3338" max="3338" width="19.7109375" style="5" customWidth="1"/>
    <col min="3339" max="3584" width="11.5703125" style="5"/>
    <col min="3585" max="3585" width="3.7109375" style="5" customWidth="1"/>
    <col min="3586" max="3586" width="10.7109375" style="5" customWidth="1"/>
    <col min="3587" max="3587" width="15.7109375" style="5" customWidth="1"/>
    <col min="3588" max="3588" width="4.42578125" style="5" customWidth="1"/>
    <col min="3589" max="3591" width="9.28515625" style="5" customWidth="1"/>
    <col min="3592" max="3592" width="19.7109375" style="5" customWidth="1"/>
    <col min="3593" max="3593" width="14.7109375" style="5" customWidth="1"/>
    <col min="3594" max="3594" width="19.7109375" style="5" customWidth="1"/>
    <col min="3595" max="3840" width="11.5703125" style="5"/>
    <col min="3841" max="3841" width="3.7109375" style="5" customWidth="1"/>
    <col min="3842" max="3842" width="10.7109375" style="5" customWidth="1"/>
    <col min="3843" max="3843" width="15.7109375" style="5" customWidth="1"/>
    <col min="3844" max="3844" width="4.42578125" style="5" customWidth="1"/>
    <col min="3845" max="3847" width="9.28515625" style="5" customWidth="1"/>
    <col min="3848" max="3848" width="19.7109375" style="5" customWidth="1"/>
    <col min="3849" max="3849" width="14.7109375" style="5" customWidth="1"/>
    <col min="3850" max="3850" width="19.7109375" style="5" customWidth="1"/>
    <col min="3851" max="4096" width="11.5703125" style="5"/>
    <col min="4097" max="4097" width="3.7109375" style="5" customWidth="1"/>
    <col min="4098" max="4098" width="10.7109375" style="5" customWidth="1"/>
    <col min="4099" max="4099" width="15.7109375" style="5" customWidth="1"/>
    <col min="4100" max="4100" width="4.42578125" style="5" customWidth="1"/>
    <col min="4101" max="4103" width="9.28515625" style="5" customWidth="1"/>
    <col min="4104" max="4104" width="19.7109375" style="5" customWidth="1"/>
    <col min="4105" max="4105" width="14.7109375" style="5" customWidth="1"/>
    <col min="4106" max="4106" width="19.7109375" style="5" customWidth="1"/>
    <col min="4107" max="4352" width="11.5703125" style="5"/>
    <col min="4353" max="4353" width="3.7109375" style="5" customWidth="1"/>
    <col min="4354" max="4354" width="10.7109375" style="5" customWidth="1"/>
    <col min="4355" max="4355" width="15.7109375" style="5" customWidth="1"/>
    <col min="4356" max="4356" width="4.42578125" style="5" customWidth="1"/>
    <col min="4357" max="4359" width="9.28515625" style="5" customWidth="1"/>
    <col min="4360" max="4360" width="19.7109375" style="5" customWidth="1"/>
    <col min="4361" max="4361" width="14.7109375" style="5" customWidth="1"/>
    <col min="4362" max="4362" width="19.7109375" style="5" customWidth="1"/>
    <col min="4363" max="4608" width="11.5703125" style="5"/>
    <col min="4609" max="4609" width="3.7109375" style="5" customWidth="1"/>
    <col min="4610" max="4610" width="10.7109375" style="5" customWidth="1"/>
    <col min="4611" max="4611" width="15.7109375" style="5" customWidth="1"/>
    <col min="4612" max="4612" width="4.42578125" style="5" customWidth="1"/>
    <col min="4613" max="4615" width="9.28515625" style="5" customWidth="1"/>
    <col min="4616" max="4616" width="19.7109375" style="5" customWidth="1"/>
    <col min="4617" max="4617" width="14.7109375" style="5" customWidth="1"/>
    <col min="4618" max="4618" width="19.7109375" style="5" customWidth="1"/>
    <col min="4619" max="4864" width="11.5703125" style="5"/>
    <col min="4865" max="4865" width="3.7109375" style="5" customWidth="1"/>
    <col min="4866" max="4866" width="10.7109375" style="5" customWidth="1"/>
    <col min="4867" max="4867" width="15.7109375" style="5" customWidth="1"/>
    <col min="4868" max="4868" width="4.42578125" style="5" customWidth="1"/>
    <col min="4869" max="4871" width="9.28515625" style="5" customWidth="1"/>
    <col min="4872" max="4872" width="19.7109375" style="5" customWidth="1"/>
    <col min="4873" max="4873" width="14.7109375" style="5" customWidth="1"/>
    <col min="4874" max="4874" width="19.7109375" style="5" customWidth="1"/>
    <col min="4875" max="5120" width="11.5703125" style="5"/>
    <col min="5121" max="5121" width="3.7109375" style="5" customWidth="1"/>
    <col min="5122" max="5122" width="10.7109375" style="5" customWidth="1"/>
    <col min="5123" max="5123" width="15.7109375" style="5" customWidth="1"/>
    <col min="5124" max="5124" width="4.42578125" style="5" customWidth="1"/>
    <col min="5125" max="5127" width="9.28515625" style="5" customWidth="1"/>
    <col min="5128" max="5128" width="19.7109375" style="5" customWidth="1"/>
    <col min="5129" max="5129" width="14.7109375" style="5" customWidth="1"/>
    <col min="5130" max="5130" width="19.7109375" style="5" customWidth="1"/>
    <col min="5131" max="5376" width="11.5703125" style="5"/>
    <col min="5377" max="5377" width="3.7109375" style="5" customWidth="1"/>
    <col min="5378" max="5378" width="10.7109375" style="5" customWidth="1"/>
    <col min="5379" max="5379" width="15.7109375" style="5" customWidth="1"/>
    <col min="5380" max="5380" width="4.42578125" style="5" customWidth="1"/>
    <col min="5381" max="5383" width="9.28515625" style="5" customWidth="1"/>
    <col min="5384" max="5384" width="19.7109375" style="5" customWidth="1"/>
    <col min="5385" max="5385" width="14.7109375" style="5" customWidth="1"/>
    <col min="5386" max="5386" width="19.7109375" style="5" customWidth="1"/>
    <col min="5387" max="5632" width="11.5703125" style="5"/>
    <col min="5633" max="5633" width="3.7109375" style="5" customWidth="1"/>
    <col min="5634" max="5634" width="10.7109375" style="5" customWidth="1"/>
    <col min="5635" max="5635" width="15.7109375" style="5" customWidth="1"/>
    <col min="5636" max="5636" width="4.42578125" style="5" customWidth="1"/>
    <col min="5637" max="5639" width="9.28515625" style="5" customWidth="1"/>
    <col min="5640" max="5640" width="19.7109375" style="5" customWidth="1"/>
    <col min="5641" max="5641" width="14.7109375" style="5" customWidth="1"/>
    <col min="5642" max="5642" width="19.7109375" style="5" customWidth="1"/>
    <col min="5643" max="5888" width="11.5703125" style="5"/>
    <col min="5889" max="5889" width="3.7109375" style="5" customWidth="1"/>
    <col min="5890" max="5890" width="10.7109375" style="5" customWidth="1"/>
    <col min="5891" max="5891" width="15.7109375" style="5" customWidth="1"/>
    <col min="5892" max="5892" width="4.42578125" style="5" customWidth="1"/>
    <col min="5893" max="5895" width="9.28515625" style="5" customWidth="1"/>
    <col min="5896" max="5896" width="19.7109375" style="5" customWidth="1"/>
    <col min="5897" max="5897" width="14.7109375" style="5" customWidth="1"/>
    <col min="5898" max="5898" width="19.7109375" style="5" customWidth="1"/>
    <col min="5899" max="6144" width="11.5703125" style="5"/>
    <col min="6145" max="6145" width="3.7109375" style="5" customWidth="1"/>
    <col min="6146" max="6146" width="10.7109375" style="5" customWidth="1"/>
    <col min="6147" max="6147" width="15.7109375" style="5" customWidth="1"/>
    <col min="6148" max="6148" width="4.42578125" style="5" customWidth="1"/>
    <col min="6149" max="6151" width="9.28515625" style="5" customWidth="1"/>
    <col min="6152" max="6152" width="19.7109375" style="5" customWidth="1"/>
    <col min="6153" max="6153" width="14.7109375" style="5" customWidth="1"/>
    <col min="6154" max="6154" width="19.7109375" style="5" customWidth="1"/>
    <col min="6155" max="6400" width="11.5703125" style="5"/>
    <col min="6401" max="6401" width="3.7109375" style="5" customWidth="1"/>
    <col min="6402" max="6402" width="10.7109375" style="5" customWidth="1"/>
    <col min="6403" max="6403" width="15.7109375" style="5" customWidth="1"/>
    <col min="6404" max="6404" width="4.42578125" style="5" customWidth="1"/>
    <col min="6405" max="6407" width="9.28515625" style="5" customWidth="1"/>
    <col min="6408" max="6408" width="19.7109375" style="5" customWidth="1"/>
    <col min="6409" max="6409" width="14.7109375" style="5" customWidth="1"/>
    <col min="6410" max="6410" width="19.7109375" style="5" customWidth="1"/>
    <col min="6411" max="6656" width="11.5703125" style="5"/>
    <col min="6657" max="6657" width="3.7109375" style="5" customWidth="1"/>
    <col min="6658" max="6658" width="10.7109375" style="5" customWidth="1"/>
    <col min="6659" max="6659" width="15.7109375" style="5" customWidth="1"/>
    <col min="6660" max="6660" width="4.42578125" style="5" customWidth="1"/>
    <col min="6661" max="6663" width="9.28515625" style="5" customWidth="1"/>
    <col min="6664" max="6664" width="19.7109375" style="5" customWidth="1"/>
    <col min="6665" max="6665" width="14.7109375" style="5" customWidth="1"/>
    <col min="6666" max="6666" width="19.7109375" style="5" customWidth="1"/>
    <col min="6667" max="6912" width="11.5703125" style="5"/>
    <col min="6913" max="6913" width="3.7109375" style="5" customWidth="1"/>
    <col min="6914" max="6914" width="10.7109375" style="5" customWidth="1"/>
    <col min="6915" max="6915" width="15.7109375" style="5" customWidth="1"/>
    <col min="6916" max="6916" width="4.42578125" style="5" customWidth="1"/>
    <col min="6917" max="6919" width="9.28515625" style="5" customWidth="1"/>
    <col min="6920" max="6920" width="19.7109375" style="5" customWidth="1"/>
    <col min="6921" max="6921" width="14.7109375" style="5" customWidth="1"/>
    <col min="6922" max="6922" width="19.7109375" style="5" customWidth="1"/>
    <col min="6923" max="7168" width="11.5703125" style="5"/>
    <col min="7169" max="7169" width="3.7109375" style="5" customWidth="1"/>
    <col min="7170" max="7170" width="10.7109375" style="5" customWidth="1"/>
    <col min="7171" max="7171" width="15.7109375" style="5" customWidth="1"/>
    <col min="7172" max="7172" width="4.42578125" style="5" customWidth="1"/>
    <col min="7173" max="7175" width="9.28515625" style="5" customWidth="1"/>
    <col min="7176" max="7176" width="19.7109375" style="5" customWidth="1"/>
    <col min="7177" max="7177" width="14.7109375" style="5" customWidth="1"/>
    <col min="7178" max="7178" width="19.7109375" style="5" customWidth="1"/>
    <col min="7179" max="7424" width="11.5703125" style="5"/>
    <col min="7425" max="7425" width="3.7109375" style="5" customWidth="1"/>
    <col min="7426" max="7426" width="10.7109375" style="5" customWidth="1"/>
    <col min="7427" max="7427" width="15.7109375" style="5" customWidth="1"/>
    <col min="7428" max="7428" width="4.42578125" style="5" customWidth="1"/>
    <col min="7429" max="7431" width="9.28515625" style="5" customWidth="1"/>
    <col min="7432" max="7432" width="19.7109375" style="5" customWidth="1"/>
    <col min="7433" max="7433" width="14.7109375" style="5" customWidth="1"/>
    <col min="7434" max="7434" width="19.7109375" style="5" customWidth="1"/>
    <col min="7435" max="7680" width="11.5703125" style="5"/>
    <col min="7681" max="7681" width="3.7109375" style="5" customWidth="1"/>
    <col min="7682" max="7682" width="10.7109375" style="5" customWidth="1"/>
    <col min="7683" max="7683" width="15.7109375" style="5" customWidth="1"/>
    <col min="7684" max="7684" width="4.42578125" style="5" customWidth="1"/>
    <col min="7685" max="7687" width="9.28515625" style="5" customWidth="1"/>
    <col min="7688" max="7688" width="19.7109375" style="5" customWidth="1"/>
    <col min="7689" max="7689" width="14.7109375" style="5" customWidth="1"/>
    <col min="7690" max="7690" width="19.7109375" style="5" customWidth="1"/>
    <col min="7691" max="7936" width="11.5703125" style="5"/>
    <col min="7937" max="7937" width="3.7109375" style="5" customWidth="1"/>
    <col min="7938" max="7938" width="10.7109375" style="5" customWidth="1"/>
    <col min="7939" max="7939" width="15.7109375" style="5" customWidth="1"/>
    <col min="7940" max="7940" width="4.42578125" style="5" customWidth="1"/>
    <col min="7941" max="7943" width="9.28515625" style="5" customWidth="1"/>
    <col min="7944" max="7944" width="19.7109375" style="5" customWidth="1"/>
    <col min="7945" max="7945" width="14.7109375" style="5" customWidth="1"/>
    <col min="7946" max="7946" width="19.7109375" style="5" customWidth="1"/>
    <col min="7947" max="8192" width="11.5703125" style="5"/>
    <col min="8193" max="8193" width="3.7109375" style="5" customWidth="1"/>
    <col min="8194" max="8194" width="10.7109375" style="5" customWidth="1"/>
    <col min="8195" max="8195" width="15.7109375" style="5" customWidth="1"/>
    <col min="8196" max="8196" width="4.42578125" style="5" customWidth="1"/>
    <col min="8197" max="8199" width="9.28515625" style="5" customWidth="1"/>
    <col min="8200" max="8200" width="19.7109375" style="5" customWidth="1"/>
    <col min="8201" max="8201" width="14.7109375" style="5" customWidth="1"/>
    <col min="8202" max="8202" width="19.7109375" style="5" customWidth="1"/>
    <col min="8203" max="8448" width="11.5703125" style="5"/>
    <col min="8449" max="8449" width="3.7109375" style="5" customWidth="1"/>
    <col min="8450" max="8450" width="10.7109375" style="5" customWidth="1"/>
    <col min="8451" max="8451" width="15.7109375" style="5" customWidth="1"/>
    <col min="8452" max="8452" width="4.42578125" style="5" customWidth="1"/>
    <col min="8453" max="8455" width="9.28515625" style="5" customWidth="1"/>
    <col min="8456" max="8456" width="19.7109375" style="5" customWidth="1"/>
    <col min="8457" max="8457" width="14.7109375" style="5" customWidth="1"/>
    <col min="8458" max="8458" width="19.7109375" style="5" customWidth="1"/>
    <col min="8459" max="8704" width="11.5703125" style="5"/>
    <col min="8705" max="8705" width="3.7109375" style="5" customWidth="1"/>
    <col min="8706" max="8706" width="10.7109375" style="5" customWidth="1"/>
    <col min="8707" max="8707" width="15.7109375" style="5" customWidth="1"/>
    <col min="8708" max="8708" width="4.42578125" style="5" customWidth="1"/>
    <col min="8709" max="8711" width="9.28515625" style="5" customWidth="1"/>
    <col min="8712" max="8712" width="19.7109375" style="5" customWidth="1"/>
    <col min="8713" max="8713" width="14.7109375" style="5" customWidth="1"/>
    <col min="8714" max="8714" width="19.7109375" style="5" customWidth="1"/>
    <col min="8715" max="8960" width="11.5703125" style="5"/>
    <col min="8961" max="8961" width="3.7109375" style="5" customWidth="1"/>
    <col min="8962" max="8962" width="10.7109375" style="5" customWidth="1"/>
    <col min="8963" max="8963" width="15.7109375" style="5" customWidth="1"/>
    <col min="8964" max="8964" width="4.42578125" style="5" customWidth="1"/>
    <col min="8965" max="8967" width="9.28515625" style="5" customWidth="1"/>
    <col min="8968" max="8968" width="19.7109375" style="5" customWidth="1"/>
    <col min="8969" max="8969" width="14.7109375" style="5" customWidth="1"/>
    <col min="8970" max="8970" width="19.7109375" style="5" customWidth="1"/>
    <col min="8971" max="9216" width="11.5703125" style="5"/>
    <col min="9217" max="9217" width="3.7109375" style="5" customWidth="1"/>
    <col min="9218" max="9218" width="10.7109375" style="5" customWidth="1"/>
    <col min="9219" max="9219" width="15.7109375" style="5" customWidth="1"/>
    <col min="9220" max="9220" width="4.42578125" style="5" customWidth="1"/>
    <col min="9221" max="9223" width="9.28515625" style="5" customWidth="1"/>
    <col min="9224" max="9224" width="19.7109375" style="5" customWidth="1"/>
    <col min="9225" max="9225" width="14.7109375" style="5" customWidth="1"/>
    <col min="9226" max="9226" width="19.7109375" style="5" customWidth="1"/>
    <col min="9227" max="9472" width="11.5703125" style="5"/>
    <col min="9473" max="9473" width="3.7109375" style="5" customWidth="1"/>
    <col min="9474" max="9474" width="10.7109375" style="5" customWidth="1"/>
    <col min="9475" max="9475" width="15.7109375" style="5" customWidth="1"/>
    <col min="9476" max="9476" width="4.42578125" style="5" customWidth="1"/>
    <col min="9477" max="9479" width="9.28515625" style="5" customWidth="1"/>
    <col min="9480" max="9480" width="19.7109375" style="5" customWidth="1"/>
    <col min="9481" max="9481" width="14.7109375" style="5" customWidth="1"/>
    <col min="9482" max="9482" width="19.7109375" style="5" customWidth="1"/>
    <col min="9483" max="9728" width="11.5703125" style="5"/>
    <col min="9729" max="9729" width="3.7109375" style="5" customWidth="1"/>
    <col min="9730" max="9730" width="10.7109375" style="5" customWidth="1"/>
    <col min="9731" max="9731" width="15.7109375" style="5" customWidth="1"/>
    <col min="9732" max="9732" width="4.42578125" style="5" customWidth="1"/>
    <col min="9733" max="9735" width="9.28515625" style="5" customWidth="1"/>
    <col min="9736" max="9736" width="19.7109375" style="5" customWidth="1"/>
    <col min="9737" max="9737" width="14.7109375" style="5" customWidth="1"/>
    <col min="9738" max="9738" width="19.7109375" style="5" customWidth="1"/>
    <col min="9739" max="9984" width="11.5703125" style="5"/>
    <col min="9985" max="9985" width="3.7109375" style="5" customWidth="1"/>
    <col min="9986" max="9986" width="10.7109375" style="5" customWidth="1"/>
    <col min="9987" max="9987" width="15.7109375" style="5" customWidth="1"/>
    <col min="9988" max="9988" width="4.42578125" style="5" customWidth="1"/>
    <col min="9989" max="9991" width="9.28515625" style="5" customWidth="1"/>
    <col min="9992" max="9992" width="19.7109375" style="5" customWidth="1"/>
    <col min="9993" max="9993" width="14.7109375" style="5" customWidth="1"/>
    <col min="9994" max="9994" width="19.7109375" style="5" customWidth="1"/>
    <col min="9995" max="10240" width="11.5703125" style="5"/>
    <col min="10241" max="10241" width="3.7109375" style="5" customWidth="1"/>
    <col min="10242" max="10242" width="10.7109375" style="5" customWidth="1"/>
    <col min="10243" max="10243" width="15.7109375" style="5" customWidth="1"/>
    <col min="10244" max="10244" width="4.42578125" style="5" customWidth="1"/>
    <col min="10245" max="10247" width="9.28515625" style="5" customWidth="1"/>
    <col min="10248" max="10248" width="19.7109375" style="5" customWidth="1"/>
    <col min="10249" max="10249" width="14.7109375" style="5" customWidth="1"/>
    <col min="10250" max="10250" width="19.7109375" style="5" customWidth="1"/>
    <col min="10251" max="10496" width="11.5703125" style="5"/>
    <col min="10497" max="10497" width="3.7109375" style="5" customWidth="1"/>
    <col min="10498" max="10498" width="10.7109375" style="5" customWidth="1"/>
    <col min="10499" max="10499" width="15.7109375" style="5" customWidth="1"/>
    <col min="10500" max="10500" width="4.42578125" style="5" customWidth="1"/>
    <col min="10501" max="10503" width="9.28515625" style="5" customWidth="1"/>
    <col min="10504" max="10504" width="19.7109375" style="5" customWidth="1"/>
    <col min="10505" max="10505" width="14.7109375" style="5" customWidth="1"/>
    <col min="10506" max="10506" width="19.7109375" style="5" customWidth="1"/>
    <col min="10507" max="10752" width="11.5703125" style="5"/>
    <col min="10753" max="10753" width="3.7109375" style="5" customWidth="1"/>
    <col min="10754" max="10754" width="10.7109375" style="5" customWidth="1"/>
    <col min="10755" max="10755" width="15.7109375" style="5" customWidth="1"/>
    <col min="10756" max="10756" width="4.42578125" style="5" customWidth="1"/>
    <col min="10757" max="10759" width="9.28515625" style="5" customWidth="1"/>
    <col min="10760" max="10760" width="19.7109375" style="5" customWidth="1"/>
    <col min="10761" max="10761" width="14.7109375" style="5" customWidth="1"/>
    <col min="10762" max="10762" width="19.7109375" style="5" customWidth="1"/>
    <col min="10763" max="11008" width="11.5703125" style="5"/>
    <col min="11009" max="11009" width="3.7109375" style="5" customWidth="1"/>
    <col min="11010" max="11010" width="10.7109375" style="5" customWidth="1"/>
    <col min="11011" max="11011" width="15.7109375" style="5" customWidth="1"/>
    <col min="11012" max="11012" width="4.42578125" style="5" customWidth="1"/>
    <col min="11013" max="11015" width="9.28515625" style="5" customWidth="1"/>
    <col min="11016" max="11016" width="19.7109375" style="5" customWidth="1"/>
    <col min="11017" max="11017" width="14.7109375" style="5" customWidth="1"/>
    <col min="11018" max="11018" width="19.7109375" style="5" customWidth="1"/>
    <col min="11019" max="11264" width="11.5703125" style="5"/>
    <col min="11265" max="11265" width="3.7109375" style="5" customWidth="1"/>
    <col min="11266" max="11266" width="10.7109375" style="5" customWidth="1"/>
    <col min="11267" max="11267" width="15.7109375" style="5" customWidth="1"/>
    <col min="11268" max="11268" width="4.42578125" style="5" customWidth="1"/>
    <col min="11269" max="11271" width="9.28515625" style="5" customWidth="1"/>
    <col min="11272" max="11272" width="19.7109375" style="5" customWidth="1"/>
    <col min="11273" max="11273" width="14.7109375" style="5" customWidth="1"/>
    <col min="11274" max="11274" width="19.7109375" style="5" customWidth="1"/>
    <col min="11275" max="11520" width="11.5703125" style="5"/>
    <col min="11521" max="11521" width="3.7109375" style="5" customWidth="1"/>
    <col min="11522" max="11522" width="10.7109375" style="5" customWidth="1"/>
    <col min="11523" max="11523" width="15.7109375" style="5" customWidth="1"/>
    <col min="11524" max="11524" width="4.42578125" style="5" customWidth="1"/>
    <col min="11525" max="11527" width="9.28515625" style="5" customWidth="1"/>
    <col min="11528" max="11528" width="19.7109375" style="5" customWidth="1"/>
    <col min="11529" max="11529" width="14.7109375" style="5" customWidth="1"/>
    <col min="11530" max="11530" width="19.7109375" style="5" customWidth="1"/>
    <col min="11531" max="11776" width="11.5703125" style="5"/>
    <col min="11777" max="11777" width="3.7109375" style="5" customWidth="1"/>
    <col min="11778" max="11778" width="10.7109375" style="5" customWidth="1"/>
    <col min="11779" max="11779" width="15.7109375" style="5" customWidth="1"/>
    <col min="11780" max="11780" width="4.42578125" style="5" customWidth="1"/>
    <col min="11781" max="11783" width="9.28515625" style="5" customWidth="1"/>
    <col min="11784" max="11784" width="19.7109375" style="5" customWidth="1"/>
    <col min="11785" max="11785" width="14.7109375" style="5" customWidth="1"/>
    <col min="11786" max="11786" width="19.7109375" style="5" customWidth="1"/>
    <col min="11787" max="12032" width="11.5703125" style="5"/>
    <col min="12033" max="12033" width="3.7109375" style="5" customWidth="1"/>
    <col min="12034" max="12034" width="10.7109375" style="5" customWidth="1"/>
    <col min="12035" max="12035" width="15.7109375" style="5" customWidth="1"/>
    <col min="12036" max="12036" width="4.42578125" style="5" customWidth="1"/>
    <col min="12037" max="12039" width="9.28515625" style="5" customWidth="1"/>
    <col min="12040" max="12040" width="19.7109375" style="5" customWidth="1"/>
    <col min="12041" max="12041" width="14.7109375" style="5" customWidth="1"/>
    <col min="12042" max="12042" width="19.7109375" style="5" customWidth="1"/>
    <col min="12043" max="12288" width="11.5703125" style="5"/>
    <col min="12289" max="12289" width="3.7109375" style="5" customWidth="1"/>
    <col min="12290" max="12290" width="10.7109375" style="5" customWidth="1"/>
    <col min="12291" max="12291" width="15.7109375" style="5" customWidth="1"/>
    <col min="12292" max="12292" width="4.42578125" style="5" customWidth="1"/>
    <col min="12293" max="12295" width="9.28515625" style="5" customWidth="1"/>
    <col min="12296" max="12296" width="19.7109375" style="5" customWidth="1"/>
    <col min="12297" max="12297" width="14.7109375" style="5" customWidth="1"/>
    <col min="12298" max="12298" width="19.7109375" style="5" customWidth="1"/>
    <col min="12299" max="12544" width="11.5703125" style="5"/>
    <col min="12545" max="12545" width="3.7109375" style="5" customWidth="1"/>
    <col min="12546" max="12546" width="10.7109375" style="5" customWidth="1"/>
    <col min="12547" max="12547" width="15.7109375" style="5" customWidth="1"/>
    <col min="12548" max="12548" width="4.42578125" style="5" customWidth="1"/>
    <col min="12549" max="12551" width="9.28515625" style="5" customWidth="1"/>
    <col min="12552" max="12552" width="19.7109375" style="5" customWidth="1"/>
    <col min="12553" max="12553" width="14.7109375" style="5" customWidth="1"/>
    <col min="12554" max="12554" width="19.7109375" style="5" customWidth="1"/>
    <col min="12555" max="12800" width="11.5703125" style="5"/>
    <col min="12801" max="12801" width="3.7109375" style="5" customWidth="1"/>
    <col min="12802" max="12802" width="10.7109375" style="5" customWidth="1"/>
    <col min="12803" max="12803" width="15.7109375" style="5" customWidth="1"/>
    <col min="12804" max="12804" width="4.42578125" style="5" customWidth="1"/>
    <col min="12805" max="12807" width="9.28515625" style="5" customWidth="1"/>
    <col min="12808" max="12808" width="19.7109375" style="5" customWidth="1"/>
    <col min="12809" max="12809" width="14.7109375" style="5" customWidth="1"/>
    <col min="12810" max="12810" width="19.7109375" style="5" customWidth="1"/>
    <col min="12811" max="13056" width="11.5703125" style="5"/>
    <col min="13057" max="13057" width="3.7109375" style="5" customWidth="1"/>
    <col min="13058" max="13058" width="10.7109375" style="5" customWidth="1"/>
    <col min="13059" max="13059" width="15.7109375" style="5" customWidth="1"/>
    <col min="13060" max="13060" width="4.42578125" style="5" customWidth="1"/>
    <col min="13061" max="13063" width="9.28515625" style="5" customWidth="1"/>
    <col min="13064" max="13064" width="19.7109375" style="5" customWidth="1"/>
    <col min="13065" max="13065" width="14.7109375" style="5" customWidth="1"/>
    <col min="13066" max="13066" width="19.7109375" style="5" customWidth="1"/>
    <col min="13067" max="13312" width="11.5703125" style="5"/>
    <col min="13313" max="13313" width="3.7109375" style="5" customWidth="1"/>
    <col min="13314" max="13314" width="10.7109375" style="5" customWidth="1"/>
    <col min="13315" max="13315" width="15.7109375" style="5" customWidth="1"/>
    <col min="13316" max="13316" width="4.42578125" style="5" customWidth="1"/>
    <col min="13317" max="13319" width="9.28515625" style="5" customWidth="1"/>
    <col min="13320" max="13320" width="19.7109375" style="5" customWidth="1"/>
    <col min="13321" max="13321" width="14.7109375" style="5" customWidth="1"/>
    <col min="13322" max="13322" width="19.7109375" style="5" customWidth="1"/>
    <col min="13323" max="13568" width="11.5703125" style="5"/>
    <col min="13569" max="13569" width="3.7109375" style="5" customWidth="1"/>
    <col min="13570" max="13570" width="10.7109375" style="5" customWidth="1"/>
    <col min="13571" max="13571" width="15.7109375" style="5" customWidth="1"/>
    <col min="13572" max="13572" width="4.42578125" style="5" customWidth="1"/>
    <col min="13573" max="13575" width="9.28515625" style="5" customWidth="1"/>
    <col min="13576" max="13576" width="19.7109375" style="5" customWidth="1"/>
    <col min="13577" max="13577" width="14.7109375" style="5" customWidth="1"/>
    <col min="13578" max="13578" width="19.7109375" style="5" customWidth="1"/>
    <col min="13579" max="13824" width="11.5703125" style="5"/>
    <col min="13825" max="13825" width="3.7109375" style="5" customWidth="1"/>
    <col min="13826" max="13826" width="10.7109375" style="5" customWidth="1"/>
    <col min="13827" max="13827" width="15.7109375" style="5" customWidth="1"/>
    <col min="13828" max="13828" width="4.42578125" style="5" customWidth="1"/>
    <col min="13829" max="13831" width="9.28515625" style="5" customWidth="1"/>
    <col min="13832" max="13832" width="19.7109375" style="5" customWidth="1"/>
    <col min="13833" max="13833" width="14.7109375" style="5" customWidth="1"/>
    <col min="13834" max="13834" width="19.7109375" style="5" customWidth="1"/>
    <col min="13835" max="14080" width="11.5703125" style="5"/>
    <col min="14081" max="14081" width="3.7109375" style="5" customWidth="1"/>
    <col min="14082" max="14082" width="10.7109375" style="5" customWidth="1"/>
    <col min="14083" max="14083" width="15.7109375" style="5" customWidth="1"/>
    <col min="14084" max="14084" width="4.42578125" style="5" customWidth="1"/>
    <col min="14085" max="14087" width="9.28515625" style="5" customWidth="1"/>
    <col min="14088" max="14088" width="19.7109375" style="5" customWidth="1"/>
    <col min="14089" max="14089" width="14.7109375" style="5" customWidth="1"/>
    <col min="14090" max="14090" width="19.7109375" style="5" customWidth="1"/>
    <col min="14091" max="14336" width="11.5703125" style="5"/>
    <col min="14337" max="14337" width="3.7109375" style="5" customWidth="1"/>
    <col min="14338" max="14338" width="10.7109375" style="5" customWidth="1"/>
    <col min="14339" max="14339" width="15.7109375" style="5" customWidth="1"/>
    <col min="14340" max="14340" width="4.42578125" style="5" customWidth="1"/>
    <col min="14341" max="14343" width="9.28515625" style="5" customWidth="1"/>
    <col min="14344" max="14344" width="19.7109375" style="5" customWidth="1"/>
    <col min="14345" max="14345" width="14.7109375" style="5" customWidth="1"/>
    <col min="14346" max="14346" width="19.7109375" style="5" customWidth="1"/>
    <col min="14347" max="14592" width="11.5703125" style="5"/>
    <col min="14593" max="14593" width="3.7109375" style="5" customWidth="1"/>
    <col min="14594" max="14594" width="10.7109375" style="5" customWidth="1"/>
    <col min="14595" max="14595" width="15.7109375" style="5" customWidth="1"/>
    <col min="14596" max="14596" width="4.42578125" style="5" customWidth="1"/>
    <col min="14597" max="14599" width="9.28515625" style="5" customWidth="1"/>
    <col min="14600" max="14600" width="19.7109375" style="5" customWidth="1"/>
    <col min="14601" max="14601" width="14.7109375" style="5" customWidth="1"/>
    <col min="14602" max="14602" width="19.7109375" style="5" customWidth="1"/>
    <col min="14603" max="14848" width="11.5703125" style="5"/>
    <col min="14849" max="14849" width="3.7109375" style="5" customWidth="1"/>
    <col min="14850" max="14850" width="10.7109375" style="5" customWidth="1"/>
    <col min="14851" max="14851" width="15.7109375" style="5" customWidth="1"/>
    <col min="14852" max="14852" width="4.42578125" style="5" customWidth="1"/>
    <col min="14853" max="14855" width="9.28515625" style="5" customWidth="1"/>
    <col min="14856" max="14856" width="19.7109375" style="5" customWidth="1"/>
    <col min="14857" max="14857" width="14.7109375" style="5" customWidth="1"/>
    <col min="14858" max="14858" width="19.7109375" style="5" customWidth="1"/>
    <col min="14859" max="15104" width="11.5703125" style="5"/>
    <col min="15105" max="15105" width="3.7109375" style="5" customWidth="1"/>
    <col min="15106" max="15106" width="10.7109375" style="5" customWidth="1"/>
    <col min="15107" max="15107" width="15.7109375" style="5" customWidth="1"/>
    <col min="15108" max="15108" width="4.42578125" style="5" customWidth="1"/>
    <col min="15109" max="15111" width="9.28515625" style="5" customWidth="1"/>
    <col min="15112" max="15112" width="19.7109375" style="5" customWidth="1"/>
    <col min="15113" max="15113" width="14.7109375" style="5" customWidth="1"/>
    <col min="15114" max="15114" width="19.7109375" style="5" customWidth="1"/>
    <col min="15115" max="15360" width="11.5703125" style="5"/>
    <col min="15361" max="15361" width="3.7109375" style="5" customWidth="1"/>
    <col min="15362" max="15362" width="10.7109375" style="5" customWidth="1"/>
    <col min="15363" max="15363" width="15.7109375" style="5" customWidth="1"/>
    <col min="15364" max="15364" width="4.42578125" style="5" customWidth="1"/>
    <col min="15365" max="15367" width="9.28515625" style="5" customWidth="1"/>
    <col min="15368" max="15368" width="19.7109375" style="5" customWidth="1"/>
    <col min="15369" max="15369" width="14.7109375" style="5" customWidth="1"/>
    <col min="15370" max="15370" width="19.7109375" style="5" customWidth="1"/>
    <col min="15371" max="15616" width="11.5703125" style="5"/>
    <col min="15617" max="15617" width="3.7109375" style="5" customWidth="1"/>
    <col min="15618" max="15618" width="10.7109375" style="5" customWidth="1"/>
    <col min="15619" max="15619" width="15.7109375" style="5" customWidth="1"/>
    <col min="15620" max="15620" width="4.42578125" style="5" customWidth="1"/>
    <col min="15621" max="15623" width="9.28515625" style="5" customWidth="1"/>
    <col min="15624" max="15624" width="19.7109375" style="5" customWidth="1"/>
    <col min="15625" max="15625" width="14.7109375" style="5" customWidth="1"/>
    <col min="15626" max="15626" width="19.7109375" style="5" customWidth="1"/>
    <col min="15627" max="15872" width="11.5703125" style="5"/>
    <col min="15873" max="15873" width="3.7109375" style="5" customWidth="1"/>
    <col min="15874" max="15874" width="10.7109375" style="5" customWidth="1"/>
    <col min="15875" max="15875" width="15.7109375" style="5" customWidth="1"/>
    <col min="15876" max="15876" width="4.42578125" style="5" customWidth="1"/>
    <col min="15877" max="15879" width="9.28515625" style="5" customWidth="1"/>
    <col min="15880" max="15880" width="19.7109375" style="5" customWidth="1"/>
    <col min="15881" max="15881" width="14.7109375" style="5" customWidth="1"/>
    <col min="15882" max="15882" width="19.7109375" style="5" customWidth="1"/>
    <col min="15883" max="16128" width="11.5703125" style="5"/>
    <col min="16129" max="16129" width="3.7109375" style="5" customWidth="1"/>
    <col min="16130" max="16130" width="10.7109375" style="5" customWidth="1"/>
    <col min="16131" max="16131" width="15.7109375" style="5" customWidth="1"/>
    <col min="16132" max="16132" width="4.42578125" style="5" customWidth="1"/>
    <col min="16133" max="16135" width="9.28515625" style="5" customWidth="1"/>
    <col min="16136" max="16136" width="19.7109375" style="5" customWidth="1"/>
    <col min="16137" max="16137" width="14.7109375" style="5" customWidth="1"/>
    <col min="16138" max="16138" width="19.7109375" style="5" customWidth="1"/>
    <col min="16139" max="16384" width="11.5703125" style="5"/>
  </cols>
  <sheetData>
    <row r="1" spans="1:9" ht="63.75" customHeight="1" x14ac:dyDescent="0.2">
      <c r="A1" s="419" t="s">
        <v>416</v>
      </c>
      <c r="B1" s="419"/>
      <c r="C1" s="419"/>
      <c r="D1" s="381" t="s">
        <v>417</v>
      </c>
      <c r="E1" s="381"/>
      <c r="F1" s="381"/>
      <c r="G1" s="381"/>
      <c r="H1" s="381"/>
      <c r="I1" s="381"/>
    </row>
    <row r="2" spans="1:9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9" ht="13.15" customHeight="1" x14ac:dyDescent="0.2">
      <c r="A3" s="382" t="s">
        <v>547</v>
      </c>
      <c r="B3" s="382"/>
      <c r="C3" s="382"/>
      <c r="D3" s="382"/>
      <c r="E3" s="382"/>
      <c r="F3" s="382"/>
      <c r="G3" s="382"/>
      <c r="H3" s="382"/>
      <c r="I3" s="382"/>
    </row>
    <row r="4" spans="1:9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9" ht="3.75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9" ht="66" customHeight="1" x14ac:dyDescent="0.2">
      <c r="A6" s="386" t="s">
        <v>51</v>
      </c>
      <c r="B6" s="386"/>
      <c r="C6" s="384" t="s">
        <v>418</v>
      </c>
      <c r="D6" s="384"/>
      <c r="E6" s="384"/>
      <c r="F6" s="384"/>
      <c r="G6" s="384"/>
      <c r="H6" s="384"/>
      <c r="I6" s="384"/>
    </row>
    <row r="7" spans="1:9" ht="3.95" customHeight="1" x14ac:dyDescent="0.2">
      <c r="C7" s="31"/>
    </row>
    <row r="8" spans="1:9" ht="41.25" customHeight="1" x14ac:dyDescent="0.2">
      <c r="A8" s="384" t="s">
        <v>1315</v>
      </c>
      <c r="B8" s="384"/>
      <c r="C8" s="384"/>
      <c r="D8" s="384"/>
      <c r="E8" s="384"/>
      <c r="F8" s="384"/>
      <c r="G8" s="384"/>
      <c r="H8" s="384"/>
      <c r="I8" s="384"/>
    </row>
    <row r="9" spans="1:9" ht="3.95" customHeight="1" x14ac:dyDescent="0.2"/>
    <row r="10" spans="1:9" ht="30" customHeight="1" x14ac:dyDescent="0.2">
      <c r="A10" s="384" t="s">
        <v>500</v>
      </c>
      <c r="B10" s="384"/>
      <c r="C10" s="384"/>
      <c r="D10" s="384"/>
      <c r="E10" s="384"/>
      <c r="F10" s="384"/>
      <c r="G10" s="384"/>
      <c r="H10" s="384"/>
      <c r="I10" s="384"/>
    </row>
    <row r="11" spans="1:9" ht="3.75" customHeight="1" x14ac:dyDescent="0.2">
      <c r="A11" s="29"/>
      <c r="B11" s="29"/>
      <c r="C11" s="29"/>
      <c r="D11" s="39"/>
      <c r="E11" s="39"/>
      <c r="F11" s="39"/>
      <c r="G11" s="39"/>
      <c r="H11" s="29"/>
      <c r="I11" s="29"/>
    </row>
    <row r="12" spans="1:9" ht="12.75" customHeight="1" x14ac:dyDescent="0.2">
      <c r="A12" s="384" t="s">
        <v>548</v>
      </c>
      <c r="B12" s="384"/>
      <c r="C12" s="384"/>
      <c r="D12" s="384"/>
      <c r="E12" s="384"/>
      <c r="F12" s="384"/>
      <c r="G12" s="384"/>
      <c r="H12" s="384"/>
      <c r="I12" s="384"/>
    </row>
    <row r="13" spans="1:9" ht="12" customHeight="1" x14ac:dyDescent="0.2"/>
    <row r="14" spans="1:9" ht="100.5" customHeight="1" x14ac:dyDescent="0.2">
      <c r="A14" s="27" t="s">
        <v>49</v>
      </c>
      <c r="B14" s="407" t="s">
        <v>467</v>
      </c>
      <c r="C14" s="408"/>
      <c r="D14" s="407" t="s">
        <v>468</v>
      </c>
      <c r="E14" s="409"/>
      <c r="F14" s="409"/>
      <c r="G14" s="408"/>
      <c r="H14" s="75" t="s">
        <v>469</v>
      </c>
      <c r="I14" s="27" t="s">
        <v>280</v>
      </c>
    </row>
    <row r="15" spans="1:9" x14ac:dyDescent="0.2">
      <c r="A15" s="26" t="s">
        <v>10</v>
      </c>
      <c r="B15" s="410">
        <v>2</v>
      </c>
      <c r="C15" s="411"/>
      <c r="D15" s="410">
        <v>3</v>
      </c>
      <c r="E15" s="412"/>
      <c r="F15" s="412"/>
      <c r="G15" s="411"/>
      <c r="H15" s="25">
        <v>4</v>
      </c>
      <c r="I15" s="25">
        <v>5</v>
      </c>
    </row>
    <row r="16" spans="1:9" ht="101.25" customHeight="1" x14ac:dyDescent="0.2">
      <c r="A16" s="24" t="s">
        <v>10</v>
      </c>
      <c r="B16" s="413" t="s">
        <v>549</v>
      </c>
      <c r="C16" s="414"/>
      <c r="D16" s="415" t="s">
        <v>550</v>
      </c>
      <c r="E16" s="416"/>
      <c r="F16" s="416"/>
      <c r="G16" s="417"/>
      <c r="H16" s="23" t="s">
        <v>1402</v>
      </c>
      <c r="I16" s="22">
        <f>(275380  + 73060 * 5.1) * 1 * 0.66 * 0.1152*1.4</f>
        <v>68974.740172799997</v>
      </c>
    </row>
    <row r="17" spans="1:9" ht="16.149999999999999" customHeight="1" x14ac:dyDescent="0.2">
      <c r="A17" s="19" t="s">
        <v>39</v>
      </c>
      <c r="B17" s="423"/>
      <c r="C17" s="424"/>
      <c r="D17" s="423" t="s">
        <v>45</v>
      </c>
      <c r="E17" s="418"/>
      <c r="F17" s="418"/>
      <c r="G17" s="424"/>
      <c r="H17" s="21"/>
      <c r="I17" s="20"/>
    </row>
    <row r="18" spans="1:9" ht="114.75" customHeight="1" x14ac:dyDescent="0.2">
      <c r="A18" s="19" t="s">
        <v>39</v>
      </c>
      <c r="B18" s="421"/>
      <c r="C18" s="422"/>
      <c r="D18" s="421" t="s">
        <v>1413</v>
      </c>
      <c r="E18" s="384"/>
      <c r="F18" s="384"/>
      <c r="G18" s="422"/>
      <c r="H18" s="18"/>
      <c r="I18" s="17"/>
    </row>
    <row r="19" spans="1:9" ht="102" customHeight="1" x14ac:dyDescent="0.2">
      <c r="A19" s="51" t="s">
        <v>39</v>
      </c>
      <c r="B19" s="436"/>
      <c r="C19" s="438"/>
      <c r="D19" s="436" t="s">
        <v>1306</v>
      </c>
      <c r="E19" s="437"/>
      <c r="F19" s="437"/>
      <c r="G19" s="438"/>
      <c r="H19" s="52" t="s">
        <v>1401</v>
      </c>
      <c r="I19" s="53"/>
    </row>
    <row r="20" spans="1:9" ht="13.15" customHeight="1" x14ac:dyDescent="0.2">
      <c r="A20" s="11" t="s">
        <v>11</v>
      </c>
      <c r="B20" s="395" t="s">
        <v>43</v>
      </c>
      <c r="C20" s="396"/>
      <c r="D20" s="395"/>
      <c r="E20" s="397"/>
      <c r="F20" s="397"/>
      <c r="G20" s="396"/>
      <c r="H20" s="10"/>
      <c r="I20" s="9">
        <f>I16</f>
        <v>68974.740172799997</v>
      </c>
    </row>
    <row r="21" spans="1:9" ht="39.6" customHeight="1" x14ac:dyDescent="0.2">
      <c r="A21" s="11" t="s">
        <v>13</v>
      </c>
      <c r="B21" s="392" t="s">
        <v>1075</v>
      </c>
      <c r="C21" s="393"/>
      <c r="D21" s="392" t="s">
        <v>1064</v>
      </c>
      <c r="E21" s="394"/>
      <c r="F21" s="394"/>
      <c r="G21" s="393"/>
      <c r="H21" s="13" t="s">
        <v>1065</v>
      </c>
      <c r="I21" s="12">
        <f>I20*5.94</f>
        <v>409709.95662643202</v>
      </c>
    </row>
    <row r="22" spans="1:9" ht="13.15" customHeight="1" x14ac:dyDescent="0.2">
      <c r="A22" s="11" t="s">
        <v>15</v>
      </c>
      <c r="B22" s="395" t="s">
        <v>42</v>
      </c>
      <c r="C22" s="396"/>
      <c r="D22" s="395"/>
      <c r="E22" s="397"/>
      <c r="F22" s="397"/>
      <c r="G22" s="396"/>
      <c r="H22" s="10"/>
      <c r="I22" s="9">
        <f>I21</f>
        <v>409709.95662643202</v>
      </c>
    </row>
    <row r="23" spans="1:9" ht="12.75" customHeight="1" x14ac:dyDescent="0.2"/>
    <row r="24" spans="1:9" s="8" customFormat="1" ht="25.15" customHeight="1" x14ac:dyDescent="0.2">
      <c r="A24" s="384"/>
      <c r="B24" s="384"/>
      <c r="C24" s="384"/>
      <c r="D24" s="384"/>
      <c r="E24" s="384"/>
      <c r="F24" s="384"/>
      <c r="G24" s="384"/>
      <c r="H24" s="384"/>
      <c r="I24" s="384"/>
    </row>
    <row r="25" spans="1:9" ht="12.75" customHeight="1" x14ac:dyDescent="0.2">
      <c r="D25" s="7"/>
    </row>
  </sheetData>
  <mergeCells count="30">
    <mergeCell ref="B21:C21"/>
    <mergeCell ref="D21:G21"/>
    <mergeCell ref="B22:C22"/>
    <mergeCell ref="D22:G22"/>
    <mergeCell ref="A24:C24"/>
    <mergeCell ref="D24:I24"/>
    <mergeCell ref="B18:C18"/>
    <mergeCell ref="D18:G18"/>
    <mergeCell ref="B19:C19"/>
    <mergeCell ref="D19:G19"/>
    <mergeCell ref="B20:C20"/>
    <mergeCell ref="D20:G20"/>
    <mergeCell ref="B15:C15"/>
    <mergeCell ref="D15:G15"/>
    <mergeCell ref="B16:C16"/>
    <mergeCell ref="D16:G16"/>
    <mergeCell ref="B17:C17"/>
    <mergeCell ref="D17:G17"/>
    <mergeCell ref="A8:I8"/>
    <mergeCell ref="A10:C10"/>
    <mergeCell ref="D10:I10"/>
    <mergeCell ref="A12:I12"/>
    <mergeCell ref="B14:C14"/>
    <mergeCell ref="D14:G14"/>
    <mergeCell ref="A1:C1"/>
    <mergeCell ref="D1:I1"/>
    <mergeCell ref="A3:I3"/>
    <mergeCell ref="A4:I4"/>
    <mergeCell ref="A6:B6"/>
    <mergeCell ref="C6:I6"/>
  </mergeCells>
  <pageMargins left="0.39370078740157477" right="0.39370078740157477" top="0.74803149606299213" bottom="0.74803149606299213" header="0.31496062992125984" footer="0.31496062992125984"/>
  <pageSetup paperSize="9" scale="91" orientation="portrait" useFirstPageNumber="1" horizontalDpi="300" verticalDpi="300" r:id="rId1"/>
  <headerFooter alignWithMargins="0">
    <oddFooter>&amp;CСтраница &amp;P</oddFooter>
  </headerFooter>
  <rowBreaks count="1" manualBreakCount="1">
    <brk id="2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1"/>
  <dimension ref="A1:I25"/>
  <sheetViews>
    <sheetView view="pageBreakPreview" topLeftCell="A2" zoomScale="60" zoomScaleNormal="100" workbookViewId="0">
      <selection activeCell="G35" sqref="G35"/>
    </sheetView>
  </sheetViews>
  <sheetFormatPr defaultColWidth="0" defaultRowHeight="12.75" x14ac:dyDescent="0.2"/>
  <cols>
    <col min="1" max="1" width="7.5703125" style="6" customWidth="1"/>
    <col min="2" max="2" width="23.140625" style="6" customWidth="1"/>
    <col min="3" max="3" width="2.140625" style="6" customWidth="1"/>
    <col min="4" max="7" width="9.140625" style="6" customWidth="1"/>
    <col min="8" max="8" width="21.85546875" style="6" customWidth="1"/>
    <col min="9" max="9" width="11.28515625" style="6" customWidth="1"/>
    <col min="10" max="253" width="9.140625" style="5" customWidth="1"/>
    <col min="254" max="254" width="9.5703125" style="5" customWidth="1"/>
    <col min="255" max="255" width="10" style="5" customWidth="1"/>
    <col min="256" max="256" width="12.28515625" style="5" customWidth="1"/>
    <col min="257" max="257" width="0.5703125" style="5" customWidth="1"/>
    <col min="258" max="258" width="0" style="5" hidden="1" customWidth="1"/>
    <col min="259" max="259" width="3.140625" style="5" customWidth="1"/>
    <col min="260" max="266" width="0" style="5" hidden="1" customWidth="1"/>
    <col min="267" max="512" width="0" style="5" hidden="1"/>
    <col min="513" max="513" width="0.5703125" style="5" customWidth="1"/>
    <col min="514" max="514" width="0" style="5" hidden="1" customWidth="1"/>
    <col min="515" max="515" width="3.140625" style="5" customWidth="1"/>
    <col min="516" max="522" width="0" style="5" hidden="1" customWidth="1"/>
    <col min="523" max="768" width="0" style="5" hidden="1"/>
    <col min="769" max="769" width="0.5703125" style="5" customWidth="1"/>
    <col min="770" max="770" width="0" style="5" hidden="1" customWidth="1"/>
    <col min="771" max="771" width="3.140625" style="5" customWidth="1"/>
    <col min="772" max="778" width="0" style="5" hidden="1" customWidth="1"/>
    <col min="779" max="1024" width="0" style="5" hidden="1"/>
    <col min="1025" max="1025" width="0.5703125" style="5" customWidth="1"/>
    <col min="1026" max="1026" width="0" style="5" hidden="1" customWidth="1"/>
    <col min="1027" max="1027" width="3.140625" style="5" customWidth="1"/>
    <col min="1028" max="1034" width="0" style="5" hidden="1" customWidth="1"/>
    <col min="1035" max="1280" width="0" style="5" hidden="1"/>
    <col min="1281" max="1281" width="0.5703125" style="5" customWidth="1"/>
    <col min="1282" max="1282" width="0" style="5" hidden="1" customWidth="1"/>
    <col min="1283" max="1283" width="3.140625" style="5" customWidth="1"/>
    <col min="1284" max="1290" width="0" style="5" hidden="1" customWidth="1"/>
    <col min="1291" max="1536" width="0" style="5" hidden="1"/>
    <col min="1537" max="1537" width="0.5703125" style="5" customWidth="1"/>
    <col min="1538" max="1538" width="0" style="5" hidden="1" customWidth="1"/>
    <col min="1539" max="1539" width="3.140625" style="5" customWidth="1"/>
    <col min="1540" max="1546" width="0" style="5" hidden="1" customWidth="1"/>
    <col min="1547" max="1792" width="0" style="5" hidden="1"/>
    <col min="1793" max="1793" width="0.5703125" style="5" customWidth="1"/>
    <col min="1794" max="1794" width="0" style="5" hidden="1" customWidth="1"/>
    <col min="1795" max="1795" width="3.140625" style="5" customWidth="1"/>
    <col min="1796" max="1802" width="0" style="5" hidden="1" customWidth="1"/>
    <col min="1803" max="2048" width="0" style="5" hidden="1"/>
    <col min="2049" max="2049" width="0.5703125" style="5" customWidth="1"/>
    <col min="2050" max="2050" width="0" style="5" hidden="1" customWidth="1"/>
    <col min="2051" max="2051" width="3.140625" style="5" customWidth="1"/>
    <col min="2052" max="2058" width="0" style="5" hidden="1" customWidth="1"/>
    <col min="2059" max="2304" width="0" style="5" hidden="1"/>
    <col min="2305" max="2305" width="0.5703125" style="5" customWidth="1"/>
    <col min="2306" max="2306" width="0" style="5" hidden="1" customWidth="1"/>
    <col min="2307" max="2307" width="3.140625" style="5" customWidth="1"/>
    <col min="2308" max="2314" width="0" style="5" hidden="1" customWidth="1"/>
    <col min="2315" max="2560" width="0" style="5" hidden="1"/>
    <col min="2561" max="2561" width="0.5703125" style="5" customWidth="1"/>
    <col min="2562" max="2562" width="0" style="5" hidden="1" customWidth="1"/>
    <col min="2563" max="2563" width="3.140625" style="5" customWidth="1"/>
    <col min="2564" max="2570" width="0" style="5" hidden="1" customWidth="1"/>
    <col min="2571" max="2816" width="0" style="5" hidden="1"/>
    <col min="2817" max="2817" width="0.5703125" style="5" customWidth="1"/>
    <col min="2818" max="2818" width="0" style="5" hidden="1" customWidth="1"/>
    <col min="2819" max="2819" width="3.140625" style="5" customWidth="1"/>
    <col min="2820" max="2826" width="0" style="5" hidden="1" customWidth="1"/>
    <col min="2827" max="3072" width="0" style="5" hidden="1"/>
    <col min="3073" max="3073" width="0.5703125" style="5" customWidth="1"/>
    <col min="3074" max="3074" width="0" style="5" hidden="1" customWidth="1"/>
    <col min="3075" max="3075" width="3.140625" style="5" customWidth="1"/>
    <col min="3076" max="3082" width="0" style="5" hidden="1" customWidth="1"/>
    <col min="3083" max="3328" width="0" style="5" hidden="1"/>
    <col min="3329" max="3329" width="0.5703125" style="5" customWidth="1"/>
    <col min="3330" max="3330" width="0" style="5" hidden="1" customWidth="1"/>
    <col min="3331" max="3331" width="3.140625" style="5" customWidth="1"/>
    <col min="3332" max="3338" width="0" style="5" hidden="1" customWidth="1"/>
    <col min="3339" max="3584" width="0" style="5" hidden="1"/>
    <col min="3585" max="3585" width="0.5703125" style="5" customWidth="1"/>
    <col min="3586" max="3586" width="0" style="5" hidden="1" customWidth="1"/>
    <col min="3587" max="3587" width="3.140625" style="5" customWidth="1"/>
    <col min="3588" max="3594" width="0" style="5" hidden="1" customWidth="1"/>
    <col min="3595" max="3840" width="0" style="5" hidden="1"/>
    <col min="3841" max="3841" width="0.5703125" style="5" customWidth="1"/>
    <col min="3842" max="3842" width="0" style="5" hidden="1" customWidth="1"/>
    <col min="3843" max="3843" width="3.140625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.140625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.140625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.140625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.140625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.140625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.140625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.140625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.140625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.140625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.140625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.140625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.140625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.140625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.140625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.140625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.140625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.140625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.140625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.140625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.140625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.140625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.140625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.140625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.140625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.140625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.140625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.140625" style="5" customWidth="1"/>
    <col min="10756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.140625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.140625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.140625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.140625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.140625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.140625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.140625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.140625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.140625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.140625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.140625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.140625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.140625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.140625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.140625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.140625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.140625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.140625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.140625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.140625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.140625" style="5" customWidth="1"/>
    <col min="16132" max="16138" width="0" style="5" hidden="1" customWidth="1"/>
    <col min="16139" max="16384" width="0" style="5" hidden="1"/>
  </cols>
  <sheetData>
    <row r="1" spans="1:9" ht="0" hidden="1" customHeight="1" x14ac:dyDescent="0.2">
      <c r="A1" s="419" t="s">
        <v>416</v>
      </c>
      <c r="B1" s="419"/>
      <c r="C1" s="419"/>
      <c r="D1" s="381" t="s">
        <v>417</v>
      </c>
      <c r="E1" s="381"/>
      <c r="F1" s="381"/>
      <c r="G1" s="381"/>
      <c r="H1" s="381"/>
      <c r="I1" s="381"/>
    </row>
    <row r="2" spans="1:9" ht="12.75" customHeight="1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9" ht="0" hidden="1" customHeight="1" x14ac:dyDescent="0.2">
      <c r="A3" s="382" t="s">
        <v>551</v>
      </c>
      <c r="B3" s="382"/>
      <c r="C3" s="382"/>
      <c r="D3" s="382"/>
      <c r="E3" s="382"/>
      <c r="F3" s="382"/>
      <c r="G3" s="382"/>
      <c r="H3" s="382"/>
      <c r="I3" s="382"/>
    </row>
    <row r="4" spans="1:9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9" ht="0" hidden="1" customHeight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9" ht="66" customHeight="1" x14ac:dyDescent="0.2">
      <c r="A6" s="386" t="s">
        <v>51</v>
      </c>
      <c r="B6" s="386"/>
      <c r="C6" s="384" t="s">
        <v>418</v>
      </c>
      <c r="D6" s="384"/>
      <c r="E6" s="384"/>
      <c r="F6" s="384"/>
      <c r="G6" s="384"/>
      <c r="H6" s="384"/>
      <c r="I6" s="384"/>
    </row>
    <row r="7" spans="1:9" ht="20.25" customHeight="1" x14ac:dyDescent="0.2">
      <c r="C7" s="31"/>
    </row>
    <row r="8" spans="1:9" ht="41.25" customHeight="1" x14ac:dyDescent="0.2">
      <c r="A8" s="384" t="s">
        <v>1315</v>
      </c>
      <c r="B8" s="384"/>
      <c r="C8" s="384"/>
      <c r="D8" s="384"/>
      <c r="E8" s="384"/>
      <c r="F8" s="384"/>
      <c r="G8" s="384"/>
      <c r="H8" s="384"/>
      <c r="I8" s="384"/>
    </row>
    <row r="9" spans="1:9" ht="28.5" customHeight="1" x14ac:dyDescent="0.2"/>
    <row r="10" spans="1:9" ht="23.25" customHeight="1" x14ac:dyDescent="0.2">
      <c r="A10" s="384" t="s">
        <v>500</v>
      </c>
      <c r="B10" s="384"/>
      <c r="C10" s="384"/>
      <c r="D10" s="384"/>
      <c r="E10" s="384"/>
      <c r="F10" s="384"/>
      <c r="G10" s="384"/>
      <c r="H10" s="384"/>
      <c r="I10" s="384"/>
    </row>
    <row r="11" spans="1:9" ht="19.5" customHeight="1" x14ac:dyDescent="0.2">
      <c r="A11" s="29"/>
      <c r="B11" s="29"/>
      <c r="C11" s="29"/>
      <c r="D11" s="39"/>
      <c r="E11" s="39"/>
      <c r="F11" s="39"/>
      <c r="G11" s="39"/>
      <c r="H11" s="29"/>
      <c r="I11" s="29"/>
    </row>
    <row r="12" spans="1:9" ht="12.75" customHeight="1" x14ac:dyDescent="0.2">
      <c r="A12" s="384" t="s">
        <v>548</v>
      </c>
      <c r="B12" s="384"/>
      <c r="C12" s="384"/>
      <c r="D12" s="384"/>
      <c r="E12" s="384"/>
      <c r="F12" s="384"/>
      <c r="G12" s="384"/>
      <c r="H12" s="384"/>
      <c r="I12" s="384"/>
    </row>
    <row r="13" spans="1:9" ht="12" customHeight="1" x14ac:dyDescent="0.2"/>
    <row r="14" spans="1:9" ht="36.6" customHeight="1" x14ac:dyDescent="0.2">
      <c r="A14" s="27" t="s">
        <v>49</v>
      </c>
      <c r="B14" s="407" t="s">
        <v>467</v>
      </c>
      <c r="C14" s="408"/>
      <c r="D14" s="407" t="s">
        <v>468</v>
      </c>
      <c r="E14" s="409"/>
      <c r="F14" s="409"/>
      <c r="G14" s="408"/>
      <c r="H14" s="75" t="s">
        <v>469</v>
      </c>
      <c r="I14" s="27" t="s">
        <v>280</v>
      </c>
    </row>
    <row r="15" spans="1:9" x14ac:dyDescent="0.2">
      <c r="A15" s="26" t="s">
        <v>10</v>
      </c>
      <c r="B15" s="410">
        <v>2</v>
      </c>
      <c r="C15" s="411"/>
      <c r="D15" s="410">
        <v>3</v>
      </c>
      <c r="E15" s="412"/>
      <c r="F15" s="412"/>
      <c r="G15" s="411"/>
      <c r="H15" s="25">
        <v>4</v>
      </c>
      <c r="I15" s="25">
        <v>5</v>
      </c>
    </row>
    <row r="16" spans="1:9" ht="99" customHeight="1" x14ac:dyDescent="0.2">
      <c r="A16" t="s">
        <v>10</v>
      </c>
      <c r="B16" s="413" t="s">
        <v>549</v>
      </c>
      <c r="C16" s="414"/>
      <c r="D16" s="415" t="s">
        <v>550</v>
      </c>
      <c r="E16" s="416"/>
      <c r="F16" s="416"/>
      <c r="G16" s="417"/>
      <c r="H16" s="86" t="s">
        <v>1402</v>
      </c>
      <c r="I16" s="22">
        <f>(275380  + 73060 * 5.1) * 1 * 0.66 * 0.1152*1.4</f>
        <v>68974.740172799997</v>
      </c>
    </row>
    <row r="17" spans="1:9" ht="16.149999999999999" customHeight="1" x14ac:dyDescent="0.2">
      <c r="A17" t="s">
        <v>39</v>
      </c>
      <c r="B17" s="423"/>
      <c r="C17" s="424"/>
      <c r="D17" s="423" t="s">
        <v>45</v>
      </c>
      <c r="E17" s="418"/>
      <c r="F17" s="418"/>
      <c r="G17" s="424"/>
      <c r="H17" s="84"/>
      <c r="I17" s="84"/>
    </row>
    <row r="18" spans="1:9" ht="39" customHeight="1" x14ac:dyDescent="0.2">
      <c r="A18" t="s">
        <v>39</v>
      </c>
      <c r="B18" s="421"/>
      <c r="C18" s="422"/>
      <c r="D18" s="421" t="s">
        <v>1414</v>
      </c>
      <c r="E18" s="384"/>
      <c r="F18" s="384"/>
      <c r="G18" s="422"/>
      <c r="H18" s="84"/>
      <c r="I18" s="84"/>
    </row>
    <row r="19" spans="1:9" ht="70.5" customHeight="1" x14ac:dyDescent="0.2">
      <c r="A19" t="s">
        <v>39</v>
      </c>
      <c r="B19" s="436"/>
      <c r="C19" s="438"/>
      <c r="D19" s="436" t="s">
        <v>1306</v>
      </c>
      <c r="E19" s="437"/>
      <c r="F19" s="437"/>
      <c r="G19" s="438"/>
      <c r="H19" s="52" t="s">
        <v>1401</v>
      </c>
      <c r="I19" s="85"/>
    </row>
    <row r="20" spans="1:9" ht="26.25" customHeight="1" x14ac:dyDescent="0.2">
      <c r="A20" s="11" t="s">
        <v>11</v>
      </c>
      <c r="B20" s="395" t="s">
        <v>43</v>
      </c>
      <c r="C20" s="396"/>
      <c r="D20" s="395"/>
      <c r="E20" s="397"/>
      <c r="F20" s="397"/>
      <c r="G20" s="396"/>
      <c r="H20" s="10"/>
      <c r="I20" s="9">
        <f>I16</f>
        <v>68974.740172799997</v>
      </c>
    </row>
    <row r="21" spans="1:9" ht="43.5" customHeight="1" x14ac:dyDescent="0.2">
      <c r="A21" s="11" t="s">
        <v>13</v>
      </c>
      <c r="B21" s="392" t="s">
        <v>1075</v>
      </c>
      <c r="C21" s="393"/>
      <c r="D21" s="392" t="s">
        <v>1064</v>
      </c>
      <c r="E21" s="394"/>
      <c r="F21" s="394"/>
      <c r="G21" s="393"/>
      <c r="H21" s="13" t="s">
        <v>1065</v>
      </c>
      <c r="I21" s="12">
        <f>I20*5.94</f>
        <v>409709.95662643202</v>
      </c>
    </row>
    <row r="22" spans="1:9" ht="18" customHeight="1" x14ac:dyDescent="0.2">
      <c r="A22" s="11" t="s">
        <v>15</v>
      </c>
      <c r="B22" s="395" t="s">
        <v>42</v>
      </c>
      <c r="C22" s="396"/>
      <c r="D22" s="395"/>
      <c r="E22" s="397"/>
      <c r="F22" s="397"/>
      <c r="G22" s="396"/>
      <c r="H22" s="10"/>
      <c r="I22" s="9">
        <f>I21</f>
        <v>409709.95662643202</v>
      </c>
    </row>
    <row r="23" spans="1:9" ht="12.75" customHeight="1" x14ac:dyDescent="0.2"/>
    <row r="24" spans="1:9" s="8" customFormat="1" ht="25.15" customHeight="1" x14ac:dyDescent="0.2">
      <c r="A24" s="384"/>
      <c r="B24" s="384"/>
      <c r="C24" s="384"/>
      <c r="D24" s="384"/>
      <c r="E24" s="384"/>
      <c r="F24" s="384"/>
      <c r="G24" s="384"/>
      <c r="H24" s="384"/>
      <c r="I24" s="384"/>
    </row>
    <row r="25" spans="1:9" ht="12.75" customHeight="1" x14ac:dyDescent="0.2">
      <c r="D25" s="7"/>
    </row>
  </sheetData>
  <mergeCells count="30">
    <mergeCell ref="B21:C21"/>
    <mergeCell ref="D21:G21"/>
    <mergeCell ref="B22:C22"/>
    <mergeCell ref="D22:G22"/>
    <mergeCell ref="A24:C24"/>
    <mergeCell ref="D24:I24"/>
    <mergeCell ref="B18:C18"/>
    <mergeCell ref="D18:G18"/>
    <mergeCell ref="B19:C19"/>
    <mergeCell ref="D19:G19"/>
    <mergeCell ref="B20:C20"/>
    <mergeCell ref="D20:G20"/>
    <mergeCell ref="B15:C15"/>
    <mergeCell ref="D15:G15"/>
    <mergeCell ref="B16:C16"/>
    <mergeCell ref="D16:G16"/>
    <mergeCell ref="B17:C17"/>
    <mergeCell ref="D17:G17"/>
    <mergeCell ref="A8:I8"/>
    <mergeCell ref="A10:C10"/>
    <mergeCell ref="D10:I10"/>
    <mergeCell ref="A12:I12"/>
    <mergeCell ref="B14:C14"/>
    <mergeCell ref="D14:G14"/>
    <mergeCell ref="A1:C1"/>
    <mergeCell ref="D1:I1"/>
    <mergeCell ref="A3:I3"/>
    <mergeCell ref="A4:I4"/>
    <mergeCell ref="A6:B6"/>
    <mergeCell ref="C6:I6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16"/>
  <dimension ref="A1:J44"/>
  <sheetViews>
    <sheetView view="pageBreakPreview" topLeftCell="A2" zoomScale="60" zoomScaleNormal="100" workbookViewId="0">
      <selection activeCell="J11" sqref="J11:J12"/>
    </sheetView>
  </sheetViews>
  <sheetFormatPr defaultColWidth="0" defaultRowHeight="12.75" x14ac:dyDescent="0.2"/>
  <cols>
    <col min="1" max="1" width="6.42578125" style="6" customWidth="1"/>
    <col min="2" max="2" width="9.85546875" style="6" customWidth="1"/>
    <col min="3" max="3" width="16.140625" style="6" customWidth="1"/>
    <col min="4" max="7" width="9.140625" style="6" customWidth="1"/>
    <col min="8" max="8" width="24.42578125" style="6" customWidth="1"/>
    <col min="9" max="9" width="14.85546875" style="6" customWidth="1"/>
    <col min="10" max="256" width="9.140625" style="5" customWidth="1"/>
    <col min="257" max="257" width="0.5703125" style="5" customWidth="1"/>
    <col min="258" max="258" width="9.140625" style="5" customWidth="1"/>
    <col min="259" max="259" width="3" style="5" customWidth="1"/>
    <col min="260" max="266" width="0" style="5" hidden="1" customWidth="1"/>
    <col min="267" max="512" width="0" style="5" hidden="1"/>
    <col min="513" max="513" width="0.5703125" style="5" customWidth="1"/>
    <col min="514" max="514" width="0" style="5" hidden="1" customWidth="1"/>
    <col min="515" max="515" width="3" style="5" customWidth="1"/>
    <col min="516" max="522" width="0" style="5" hidden="1" customWidth="1"/>
    <col min="523" max="768" width="0" style="5" hidden="1"/>
    <col min="769" max="769" width="0.5703125" style="5" customWidth="1"/>
    <col min="770" max="770" width="0" style="5" hidden="1" customWidth="1"/>
    <col min="771" max="771" width="3" style="5" customWidth="1"/>
    <col min="772" max="778" width="0" style="5" hidden="1" customWidth="1"/>
    <col min="779" max="1024" width="0" style="5" hidden="1"/>
    <col min="1025" max="1025" width="0.5703125" style="5" customWidth="1"/>
    <col min="1026" max="1026" width="0" style="5" hidden="1" customWidth="1"/>
    <col min="1027" max="1027" width="3" style="5" customWidth="1"/>
    <col min="1028" max="1034" width="0" style="5" hidden="1" customWidth="1"/>
    <col min="1035" max="1280" width="0" style="5" hidden="1"/>
    <col min="1281" max="1281" width="0.5703125" style="5" customWidth="1"/>
    <col min="1282" max="1282" width="0" style="5" hidden="1" customWidth="1"/>
    <col min="1283" max="1283" width="3" style="5" customWidth="1"/>
    <col min="1284" max="1290" width="0" style="5" hidden="1" customWidth="1"/>
    <col min="1291" max="1536" width="0" style="5" hidden="1"/>
    <col min="1537" max="1537" width="0.5703125" style="5" customWidth="1"/>
    <col min="1538" max="1538" width="0" style="5" hidden="1" customWidth="1"/>
    <col min="1539" max="1539" width="3" style="5" customWidth="1"/>
    <col min="1540" max="1546" width="0" style="5" hidden="1" customWidth="1"/>
    <col min="1547" max="1792" width="0" style="5" hidden="1"/>
    <col min="1793" max="1793" width="0.5703125" style="5" customWidth="1"/>
    <col min="1794" max="1794" width="0" style="5" hidden="1" customWidth="1"/>
    <col min="1795" max="1795" width="3" style="5" customWidth="1"/>
    <col min="1796" max="1802" width="0" style="5" hidden="1" customWidth="1"/>
    <col min="1803" max="2048" width="0" style="5" hidden="1"/>
    <col min="2049" max="2049" width="0.5703125" style="5" customWidth="1"/>
    <col min="2050" max="2050" width="0" style="5" hidden="1" customWidth="1"/>
    <col min="2051" max="2051" width="3" style="5" customWidth="1"/>
    <col min="2052" max="2058" width="0" style="5" hidden="1" customWidth="1"/>
    <col min="2059" max="2304" width="0" style="5" hidden="1"/>
    <col min="2305" max="2305" width="0.5703125" style="5" customWidth="1"/>
    <col min="2306" max="2306" width="0" style="5" hidden="1" customWidth="1"/>
    <col min="2307" max="2307" width="3" style="5" customWidth="1"/>
    <col min="2308" max="2314" width="0" style="5" hidden="1" customWidth="1"/>
    <col min="2315" max="2560" width="0" style="5" hidden="1"/>
    <col min="2561" max="2561" width="0.5703125" style="5" customWidth="1"/>
    <col min="2562" max="2562" width="0" style="5" hidden="1" customWidth="1"/>
    <col min="2563" max="2563" width="3" style="5" customWidth="1"/>
    <col min="2564" max="2570" width="0" style="5" hidden="1" customWidth="1"/>
    <col min="2571" max="2816" width="0" style="5" hidden="1"/>
    <col min="2817" max="2817" width="0.5703125" style="5" customWidth="1"/>
    <col min="2818" max="2818" width="0" style="5" hidden="1" customWidth="1"/>
    <col min="2819" max="2819" width="3" style="5" customWidth="1"/>
    <col min="2820" max="2826" width="0" style="5" hidden="1" customWidth="1"/>
    <col min="2827" max="3072" width="0" style="5" hidden="1"/>
    <col min="3073" max="3073" width="0.5703125" style="5" customWidth="1"/>
    <col min="3074" max="3074" width="0" style="5" hidden="1" customWidth="1"/>
    <col min="3075" max="3075" width="3" style="5" customWidth="1"/>
    <col min="3076" max="3082" width="0" style="5" hidden="1" customWidth="1"/>
    <col min="3083" max="3328" width="0" style="5" hidden="1"/>
    <col min="3329" max="3329" width="0.5703125" style="5" customWidth="1"/>
    <col min="3330" max="3330" width="0" style="5" hidden="1" customWidth="1"/>
    <col min="3331" max="3331" width="3" style="5" customWidth="1"/>
    <col min="3332" max="3338" width="0" style="5" hidden="1" customWidth="1"/>
    <col min="3339" max="3584" width="0" style="5" hidden="1"/>
    <col min="3585" max="3585" width="0.5703125" style="5" customWidth="1"/>
    <col min="3586" max="3586" width="0" style="5" hidden="1" customWidth="1"/>
    <col min="3587" max="3587" width="3" style="5" customWidth="1"/>
    <col min="3588" max="3594" width="0" style="5" hidden="1" customWidth="1"/>
    <col min="3595" max="3840" width="0" style="5" hidden="1"/>
    <col min="3841" max="3841" width="0.5703125" style="5" customWidth="1"/>
    <col min="3842" max="3842" width="0" style="5" hidden="1" customWidth="1"/>
    <col min="3843" max="3843" width="3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" style="5" customWidth="1"/>
    <col min="10756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" style="5" customWidth="1"/>
    <col min="16132" max="16138" width="0" style="5" hidden="1" customWidth="1"/>
    <col min="16139" max="16384" width="0" style="5" hidden="1"/>
  </cols>
  <sheetData>
    <row r="1" spans="1:10" ht="19.5" hidden="1" customHeight="1" x14ac:dyDescent="0.2">
      <c r="A1" s="419" t="s">
        <v>1161</v>
      </c>
      <c r="B1" s="419"/>
      <c r="C1" s="419"/>
      <c r="D1" s="381" t="s">
        <v>1190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1210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0" hidden="1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12.75" customHeight="1" x14ac:dyDescent="0.2">
      <c r="A8" s="384" t="s">
        <v>1316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36.6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44" customHeight="1" x14ac:dyDescent="0.2">
      <c r="A18" s="24" t="s">
        <v>10</v>
      </c>
      <c r="B18" s="413" t="s">
        <v>1407</v>
      </c>
      <c r="C18" s="414"/>
      <c r="D18" s="415" t="s">
        <v>1408</v>
      </c>
      <c r="E18" s="416"/>
      <c r="F18" s="416"/>
      <c r="G18" s="417"/>
      <c r="H18" s="23" t="s">
        <v>1410</v>
      </c>
      <c r="I18" s="160">
        <f>ROUND((17.7  + 0.234  * (0.4 * 100 + 0.6 * 70)) * 1 * 0.6 * 1.4 * 1.4 * 1.9 * 0.8,3)</f>
        <v>65.938000000000002</v>
      </c>
    </row>
    <row r="19" spans="1:9" ht="21" customHeight="1" x14ac:dyDescent="0.2">
      <c r="A19" s="161" t="s">
        <v>39</v>
      </c>
      <c r="B19" s="398" t="s">
        <v>45</v>
      </c>
      <c r="C19" s="399"/>
      <c r="D19" s="398"/>
      <c r="E19" s="400"/>
      <c r="F19" s="400"/>
      <c r="G19" s="399"/>
      <c r="H19" s="162"/>
      <c r="I19" s="163"/>
    </row>
    <row r="20" spans="1:9" ht="26.25" customHeight="1" x14ac:dyDescent="0.2">
      <c r="A20" s="164" t="s">
        <v>39</v>
      </c>
      <c r="B20" s="459" t="s">
        <v>1211</v>
      </c>
      <c r="C20" s="460"/>
      <c r="D20" s="459" t="s">
        <v>1212</v>
      </c>
      <c r="E20" s="461"/>
      <c r="F20" s="461"/>
      <c r="G20" s="460"/>
      <c r="H20" s="165"/>
      <c r="I20" s="166"/>
    </row>
    <row r="21" spans="1:9" ht="204" customHeight="1" x14ac:dyDescent="0.2">
      <c r="A21" s="164" t="s">
        <v>39</v>
      </c>
      <c r="B21" s="459" t="s">
        <v>1202</v>
      </c>
      <c r="C21" s="460"/>
      <c r="D21" s="459" t="s">
        <v>1203</v>
      </c>
      <c r="E21" s="461"/>
      <c r="F21" s="461"/>
      <c r="G21" s="460"/>
      <c r="H21" s="165"/>
      <c r="I21" s="166"/>
    </row>
    <row r="22" spans="1:9" ht="119.25" customHeight="1" x14ac:dyDescent="0.2">
      <c r="A22" s="164" t="s">
        <v>39</v>
      </c>
      <c r="B22" s="459" t="s">
        <v>1204</v>
      </c>
      <c r="C22" s="460"/>
      <c r="D22" s="459" t="s">
        <v>1205</v>
      </c>
      <c r="E22" s="461"/>
      <c r="F22" s="461"/>
      <c r="G22" s="460"/>
      <c r="H22" s="165"/>
      <c r="I22" s="166"/>
    </row>
    <row r="23" spans="1:9" ht="33.75" customHeight="1" x14ac:dyDescent="0.2">
      <c r="A23" s="440" t="s">
        <v>39</v>
      </c>
      <c r="B23" s="421" t="s">
        <v>1206</v>
      </c>
      <c r="C23" s="422"/>
      <c r="D23" s="421" t="s">
        <v>1207</v>
      </c>
      <c r="E23" s="384"/>
      <c r="F23" s="384"/>
      <c r="G23" s="422"/>
      <c r="H23" s="431"/>
      <c r="I23" s="462"/>
    </row>
    <row r="24" spans="1:9" ht="132" customHeight="1" x14ac:dyDescent="0.2">
      <c r="A24" s="440"/>
      <c r="B24" s="421"/>
      <c r="C24" s="422"/>
      <c r="D24" s="421"/>
      <c r="E24" s="384"/>
      <c r="F24" s="384"/>
      <c r="G24" s="422"/>
      <c r="H24" s="431"/>
      <c r="I24" s="462"/>
    </row>
    <row r="25" spans="1:9" ht="87.75" customHeight="1" x14ac:dyDescent="0.2">
      <c r="A25" s="175" t="s">
        <v>39</v>
      </c>
      <c r="B25" s="401" t="s">
        <v>1208</v>
      </c>
      <c r="C25" s="402"/>
      <c r="D25" s="401" t="s">
        <v>1209</v>
      </c>
      <c r="E25" s="403"/>
      <c r="F25" s="403"/>
      <c r="G25" s="402"/>
      <c r="H25" s="176"/>
      <c r="I25" s="177"/>
    </row>
    <row r="26" spans="1:9" ht="12.75" customHeight="1" x14ac:dyDescent="0.2">
      <c r="A26" s="51" t="s">
        <v>11</v>
      </c>
      <c r="B26" s="404" t="s">
        <v>43</v>
      </c>
      <c r="C26" s="405"/>
      <c r="D26" s="404"/>
      <c r="E26" s="406"/>
      <c r="F26" s="406"/>
      <c r="G26" s="405"/>
      <c r="H26" s="170"/>
      <c r="I26" s="171">
        <f>ROUND(($I$18),3)</f>
        <v>65.938000000000002</v>
      </c>
    </row>
    <row r="27" spans="1:9" ht="44.25" customHeight="1" x14ac:dyDescent="0.2">
      <c r="A27" s="11" t="s">
        <v>13</v>
      </c>
      <c r="B27" s="392" t="s">
        <v>1076</v>
      </c>
      <c r="C27" s="393"/>
      <c r="D27" s="392" t="s">
        <v>1064</v>
      </c>
      <c r="E27" s="394"/>
      <c r="F27" s="394"/>
      <c r="G27" s="393"/>
      <c r="H27" s="13" t="s">
        <v>1077</v>
      </c>
      <c r="I27" s="302">
        <f>I26*1.4</f>
        <v>92.313199999999995</v>
      </c>
    </row>
    <row r="28" spans="1:9" ht="12.75" customHeight="1" x14ac:dyDescent="0.2">
      <c r="A28" s="11" t="s">
        <v>13</v>
      </c>
      <c r="B28" s="395" t="s">
        <v>42</v>
      </c>
      <c r="C28" s="396"/>
      <c r="D28" s="395"/>
      <c r="E28" s="397"/>
      <c r="F28" s="397"/>
      <c r="G28" s="396"/>
      <c r="H28" s="10"/>
      <c r="I28" s="172">
        <f>I27</f>
        <v>92.313199999999995</v>
      </c>
    </row>
    <row r="29" spans="1:9" ht="12.75" customHeight="1" x14ac:dyDescent="0.2"/>
    <row r="30" spans="1:9" s="8" customFormat="1" ht="24.95" customHeight="1" x14ac:dyDescent="0.2">
      <c r="A30" s="384" t="s">
        <v>725</v>
      </c>
      <c r="B30" s="384"/>
      <c r="C30" s="384"/>
      <c r="D30" s="384" t="str">
        <f>convertNumToStr($I$28,1000,3)</f>
        <v xml:space="preserve">  92.313 (Девяносто двe тысячи триста тринадцать рублей двадцать  копеек)</v>
      </c>
      <c r="E30" s="384"/>
      <c r="F30" s="384"/>
      <c r="G30" s="384"/>
      <c r="H30" s="384"/>
      <c r="I30" s="384"/>
    </row>
    <row r="31" spans="1:9" ht="12.75" customHeight="1" x14ac:dyDescent="0.2">
      <c r="D31" s="7"/>
    </row>
    <row r="32" spans="1:9" x14ac:dyDescent="0.2">
      <c r="A32" s="391" t="s">
        <v>0</v>
      </c>
      <c r="B32" s="391"/>
      <c r="C32" s="391"/>
      <c r="D32" s="391"/>
      <c r="E32" s="391"/>
      <c r="F32" s="391"/>
      <c r="G32" s="391"/>
      <c r="H32" s="391"/>
      <c r="I32" s="391"/>
    </row>
    <row r="33" spans="1:9" x14ac:dyDescent="0.2">
      <c r="A33" s="391"/>
      <c r="B33" s="391"/>
      <c r="C33" s="391"/>
      <c r="D33" s="391"/>
      <c r="E33" s="391"/>
      <c r="F33" s="391"/>
      <c r="G33" s="391"/>
      <c r="H33" s="391"/>
      <c r="I33" s="391"/>
    </row>
    <row r="34" spans="1:9" x14ac:dyDescent="0.2">
      <c r="D34" s="389" t="s">
        <v>2</v>
      </c>
      <c r="E34" s="390"/>
      <c r="F34" s="390"/>
      <c r="G34" s="390"/>
      <c r="H34" s="390"/>
      <c r="I34" s="390"/>
    </row>
    <row r="36" spans="1:9" x14ac:dyDescent="0.2">
      <c r="A36" s="391" t="s">
        <v>1</v>
      </c>
      <c r="B36" s="391"/>
      <c r="C36" s="391"/>
      <c r="D36" s="391"/>
      <c r="E36" s="391"/>
      <c r="F36" s="391"/>
      <c r="G36" s="391"/>
      <c r="H36" s="391"/>
      <c r="I36" s="391"/>
    </row>
    <row r="37" spans="1:9" x14ac:dyDescent="0.2">
      <c r="A37" s="391"/>
      <c r="B37" s="391"/>
      <c r="C37" s="391"/>
      <c r="D37" s="391"/>
      <c r="E37" s="391"/>
      <c r="F37" s="391"/>
      <c r="G37" s="391"/>
      <c r="H37" s="391"/>
      <c r="I37" s="391"/>
    </row>
    <row r="38" spans="1:9" x14ac:dyDescent="0.2">
      <c r="D38" s="389" t="s">
        <v>2</v>
      </c>
      <c r="E38" s="390"/>
      <c r="F38" s="390"/>
      <c r="G38" s="390"/>
      <c r="H38" s="390"/>
      <c r="I38" s="390"/>
    </row>
    <row r="40" spans="1:9" x14ac:dyDescent="0.2">
      <c r="A40" s="391" t="s">
        <v>5</v>
      </c>
      <c r="B40" s="391"/>
      <c r="C40" s="391"/>
      <c r="D40" s="391"/>
      <c r="E40" s="391"/>
      <c r="F40" s="391"/>
      <c r="G40" s="6" t="s">
        <v>7</v>
      </c>
      <c r="H40" s="391"/>
      <c r="I40" s="391"/>
    </row>
    <row r="41" spans="1:9" x14ac:dyDescent="0.2">
      <c r="D41" s="389" t="s">
        <v>40</v>
      </c>
      <c r="E41" s="390"/>
      <c r="F41" s="390"/>
      <c r="H41" s="389" t="s">
        <v>2</v>
      </c>
      <c r="I41" s="390"/>
    </row>
    <row r="43" spans="1:9" x14ac:dyDescent="0.2">
      <c r="A43" s="391" t="s">
        <v>3</v>
      </c>
      <c r="B43" s="391"/>
      <c r="C43" s="391"/>
      <c r="D43" s="391"/>
      <c r="E43" s="391"/>
      <c r="F43" s="391"/>
      <c r="G43" s="391"/>
      <c r="H43" s="391"/>
      <c r="I43" s="391"/>
    </row>
    <row r="44" spans="1:9" x14ac:dyDescent="0.2">
      <c r="D44" s="389" t="s">
        <v>6</v>
      </c>
      <c r="E44" s="390"/>
      <c r="F44" s="390"/>
      <c r="G44" s="390"/>
      <c r="H44" s="390"/>
      <c r="I44" s="390"/>
    </row>
  </sheetData>
  <mergeCells count="55">
    <mergeCell ref="A36:C37"/>
    <mergeCell ref="D36:I37"/>
    <mergeCell ref="B28:C28"/>
    <mergeCell ref="D28:G28"/>
    <mergeCell ref="A30:C30"/>
    <mergeCell ref="D30:I30"/>
    <mergeCell ref="A32:C33"/>
    <mergeCell ref="D32:I33"/>
    <mergeCell ref="D34:I34"/>
    <mergeCell ref="A43:C43"/>
    <mergeCell ref="D43:I43"/>
    <mergeCell ref="D44:I44"/>
    <mergeCell ref="D38:I38"/>
    <mergeCell ref="A40:C40"/>
    <mergeCell ref="D40:F40"/>
    <mergeCell ref="H40:I40"/>
    <mergeCell ref="D41:F41"/>
    <mergeCell ref="H41:I41"/>
    <mergeCell ref="B27:C27"/>
    <mergeCell ref="B22:C22"/>
    <mergeCell ref="D22:G22"/>
    <mergeCell ref="A23:A24"/>
    <mergeCell ref="B23:C24"/>
    <mergeCell ref="D23:G24"/>
    <mergeCell ref="D27:G27"/>
    <mergeCell ref="I23:I24"/>
    <mergeCell ref="B25:C25"/>
    <mergeCell ref="D25:G25"/>
    <mergeCell ref="B26:C26"/>
    <mergeCell ref="D26:G26"/>
    <mergeCell ref="H23:H24"/>
    <mergeCell ref="B19:C19"/>
    <mergeCell ref="D19:G19"/>
    <mergeCell ref="B20:C20"/>
    <mergeCell ref="D20:G20"/>
    <mergeCell ref="B21:C21"/>
    <mergeCell ref="D21:G21"/>
    <mergeCell ref="B16:C16"/>
    <mergeCell ref="D16:G16"/>
    <mergeCell ref="B17:C17"/>
    <mergeCell ref="D17:G17"/>
    <mergeCell ref="B18:C18"/>
    <mergeCell ref="D18:G18"/>
    <mergeCell ref="A14:I14"/>
    <mergeCell ref="A1:C1"/>
    <mergeCell ref="D1:I1"/>
    <mergeCell ref="A3:I3"/>
    <mergeCell ref="A4:I4"/>
    <mergeCell ref="A6:B6"/>
    <mergeCell ref="C6:I6"/>
    <mergeCell ref="A8:I8"/>
    <mergeCell ref="A10:C10"/>
    <mergeCell ref="D10:I10"/>
    <mergeCell ref="A12:C12"/>
    <mergeCell ref="D12:I12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D2D5-F8C0-4D44-A7BC-3993012033C7}">
  <sheetPr codeName="Лист19"/>
  <dimension ref="A1:J82"/>
  <sheetViews>
    <sheetView view="pageBreakPreview" zoomScale="60" zoomScaleNormal="100" workbookViewId="0">
      <selection activeCell="O15" sqref="O15"/>
    </sheetView>
  </sheetViews>
  <sheetFormatPr defaultColWidth="0" defaultRowHeight="12.75" x14ac:dyDescent="0.2"/>
  <cols>
    <col min="1" max="1" width="4.7109375" style="6" customWidth="1"/>
    <col min="2" max="2" width="8.28515625" style="6" customWidth="1"/>
    <col min="3" max="3" width="26.5703125" style="6" customWidth="1"/>
    <col min="4" max="7" width="9.140625" style="6" customWidth="1"/>
    <col min="8" max="8" width="28" style="6" customWidth="1"/>
    <col min="9" max="9" width="12.85546875" style="6" customWidth="1"/>
    <col min="10" max="256" width="9.140625" style="5" customWidth="1"/>
    <col min="257" max="257" width="0.5703125" style="5" customWidth="1"/>
    <col min="258" max="258" width="9.140625" style="5" customWidth="1"/>
    <col min="259" max="259" width="3" style="5" customWidth="1"/>
    <col min="260" max="266" width="0" style="5" hidden="1" customWidth="1"/>
    <col min="267" max="512" width="0" style="5" hidden="1"/>
    <col min="513" max="513" width="0.5703125" style="5" customWidth="1"/>
    <col min="514" max="514" width="0" style="5" hidden="1" customWidth="1"/>
    <col min="515" max="515" width="3" style="5" customWidth="1"/>
    <col min="516" max="522" width="0" style="5" hidden="1" customWidth="1"/>
    <col min="523" max="768" width="0" style="5" hidden="1"/>
    <col min="769" max="769" width="0.5703125" style="5" customWidth="1"/>
    <col min="770" max="770" width="0" style="5" hidden="1" customWidth="1"/>
    <col min="771" max="771" width="3" style="5" customWidth="1"/>
    <col min="772" max="778" width="0" style="5" hidden="1" customWidth="1"/>
    <col min="779" max="1024" width="0" style="5" hidden="1"/>
    <col min="1025" max="1025" width="0.5703125" style="5" customWidth="1"/>
    <col min="1026" max="1026" width="0" style="5" hidden="1" customWidth="1"/>
    <col min="1027" max="1027" width="3" style="5" customWidth="1"/>
    <col min="1028" max="1034" width="0" style="5" hidden="1" customWidth="1"/>
    <col min="1035" max="1280" width="0" style="5" hidden="1"/>
    <col min="1281" max="1281" width="0.5703125" style="5" customWidth="1"/>
    <col min="1282" max="1282" width="0" style="5" hidden="1" customWidth="1"/>
    <col min="1283" max="1283" width="3" style="5" customWidth="1"/>
    <col min="1284" max="1290" width="0" style="5" hidden="1" customWidth="1"/>
    <col min="1291" max="1536" width="0" style="5" hidden="1"/>
    <col min="1537" max="1537" width="0.5703125" style="5" customWidth="1"/>
    <col min="1538" max="1538" width="0" style="5" hidden="1" customWidth="1"/>
    <col min="1539" max="1539" width="3" style="5" customWidth="1"/>
    <col min="1540" max="1546" width="0" style="5" hidden="1" customWidth="1"/>
    <col min="1547" max="1792" width="0" style="5" hidden="1"/>
    <col min="1793" max="1793" width="0.5703125" style="5" customWidth="1"/>
    <col min="1794" max="1794" width="0" style="5" hidden="1" customWidth="1"/>
    <col min="1795" max="1795" width="3" style="5" customWidth="1"/>
    <col min="1796" max="1802" width="0" style="5" hidden="1" customWidth="1"/>
    <col min="1803" max="2048" width="0" style="5" hidden="1"/>
    <col min="2049" max="2049" width="0.5703125" style="5" customWidth="1"/>
    <col min="2050" max="2050" width="0" style="5" hidden="1" customWidth="1"/>
    <col min="2051" max="2051" width="3" style="5" customWidth="1"/>
    <col min="2052" max="2058" width="0" style="5" hidden="1" customWidth="1"/>
    <col min="2059" max="2304" width="0" style="5" hidden="1"/>
    <col min="2305" max="2305" width="0.5703125" style="5" customWidth="1"/>
    <col min="2306" max="2306" width="0" style="5" hidden="1" customWidth="1"/>
    <col min="2307" max="2307" width="3" style="5" customWidth="1"/>
    <col min="2308" max="2314" width="0" style="5" hidden="1" customWidth="1"/>
    <col min="2315" max="2560" width="0" style="5" hidden="1"/>
    <col min="2561" max="2561" width="0.5703125" style="5" customWidth="1"/>
    <col min="2562" max="2562" width="0" style="5" hidden="1" customWidth="1"/>
    <col min="2563" max="2563" width="3" style="5" customWidth="1"/>
    <col min="2564" max="2570" width="0" style="5" hidden="1" customWidth="1"/>
    <col min="2571" max="2816" width="0" style="5" hidden="1"/>
    <col min="2817" max="2817" width="0.5703125" style="5" customWidth="1"/>
    <col min="2818" max="2818" width="0" style="5" hidden="1" customWidth="1"/>
    <col min="2819" max="2819" width="3" style="5" customWidth="1"/>
    <col min="2820" max="2826" width="0" style="5" hidden="1" customWidth="1"/>
    <col min="2827" max="3072" width="0" style="5" hidden="1"/>
    <col min="3073" max="3073" width="0.5703125" style="5" customWidth="1"/>
    <col min="3074" max="3074" width="0" style="5" hidden="1" customWidth="1"/>
    <col min="3075" max="3075" width="3" style="5" customWidth="1"/>
    <col min="3076" max="3082" width="0" style="5" hidden="1" customWidth="1"/>
    <col min="3083" max="3328" width="0" style="5" hidden="1"/>
    <col min="3329" max="3329" width="0.5703125" style="5" customWidth="1"/>
    <col min="3330" max="3330" width="0" style="5" hidden="1" customWidth="1"/>
    <col min="3331" max="3331" width="3" style="5" customWidth="1"/>
    <col min="3332" max="3338" width="0" style="5" hidden="1" customWidth="1"/>
    <col min="3339" max="3584" width="0" style="5" hidden="1"/>
    <col min="3585" max="3585" width="0.5703125" style="5" customWidth="1"/>
    <col min="3586" max="3586" width="0" style="5" hidden="1" customWidth="1"/>
    <col min="3587" max="3587" width="3" style="5" customWidth="1"/>
    <col min="3588" max="3594" width="0" style="5" hidden="1" customWidth="1"/>
    <col min="3595" max="3840" width="0" style="5" hidden="1"/>
    <col min="3841" max="3841" width="0.5703125" style="5" customWidth="1"/>
    <col min="3842" max="3842" width="0" style="5" hidden="1" customWidth="1"/>
    <col min="3843" max="3843" width="3" style="5" customWidth="1"/>
    <col min="3844" max="3850" width="0" style="5" hidden="1" customWidth="1"/>
    <col min="3851" max="4096" width="0" style="5" hidden="1"/>
    <col min="4097" max="4097" width="0.5703125" style="5" customWidth="1"/>
    <col min="4098" max="4098" width="0" style="5" hidden="1" customWidth="1"/>
    <col min="4099" max="4099" width="3" style="5" customWidth="1"/>
    <col min="4100" max="4106" width="0" style="5" hidden="1" customWidth="1"/>
    <col min="4107" max="4352" width="0" style="5" hidden="1"/>
    <col min="4353" max="4353" width="0.5703125" style="5" customWidth="1"/>
    <col min="4354" max="4354" width="0" style="5" hidden="1" customWidth="1"/>
    <col min="4355" max="4355" width="3" style="5" customWidth="1"/>
    <col min="4356" max="4362" width="0" style="5" hidden="1" customWidth="1"/>
    <col min="4363" max="4608" width="0" style="5" hidden="1"/>
    <col min="4609" max="4609" width="0.5703125" style="5" customWidth="1"/>
    <col min="4610" max="4610" width="0" style="5" hidden="1" customWidth="1"/>
    <col min="4611" max="4611" width="3" style="5" customWidth="1"/>
    <col min="4612" max="4618" width="0" style="5" hidden="1" customWidth="1"/>
    <col min="4619" max="4864" width="0" style="5" hidden="1"/>
    <col min="4865" max="4865" width="0.5703125" style="5" customWidth="1"/>
    <col min="4866" max="4866" width="0" style="5" hidden="1" customWidth="1"/>
    <col min="4867" max="4867" width="3" style="5" customWidth="1"/>
    <col min="4868" max="4874" width="0" style="5" hidden="1" customWidth="1"/>
    <col min="4875" max="5120" width="0" style="5" hidden="1"/>
    <col min="5121" max="5121" width="0.5703125" style="5" customWidth="1"/>
    <col min="5122" max="5122" width="0" style="5" hidden="1" customWidth="1"/>
    <col min="5123" max="5123" width="3" style="5" customWidth="1"/>
    <col min="5124" max="5130" width="0" style="5" hidden="1" customWidth="1"/>
    <col min="5131" max="5376" width="0" style="5" hidden="1"/>
    <col min="5377" max="5377" width="0.5703125" style="5" customWidth="1"/>
    <col min="5378" max="5378" width="0" style="5" hidden="1" customWidth="1"/>
    <col min="5379" max="5379" width="3" style="5" customWidth="1"/>
    <col min="5380" max="5386" width="0" style="5" hidden="1" customWidth="1"/>
    <col min="5387" max="5632" width="0" style="5" hidden="1"/>
    <col min="5633" max="5633" width="0.5703125" style="5" customWidth="1"/>
    <col min="5634" max="5634" width="0" style="5" hidden="1" customWidth="1"/>
    <col min="5635" max="5635" width="3" style="5" customWidth="1"/>
    <col min="5636" max="5642" width="0" style="5" hidden="1" customWidth="1"/>
    <col min="5643" max="5888" width="0" style="5" hidden="1"/>
    <col min="5889" max="5889" width="0.5703125" style="5" customWidth="1"/>
    <col min="5890" max="5890" width="0" style="5" hidden="1" customWidth="1"/>
    <col min="5891" max="5891" width="3" style="5" customWidth="1"/>
    <col min="5892" max="5898" width="0" style="5" hidden="1" customWidth="1"/>
    <col min="5899" max="6144" width="0" style="5" hidden="1"/>
    <col min="6145" max="6145" width="0.5703125" style="5" customWidth="1"/>
    <col min="6146" max="6146" width="0" style="5" hidden="1" customWidth="1"/>
    <col min="6147" max="6147" width="3" style="5" customWidth="1"/>
    <col min="6148" max="6154" width="0" style="5" hidden="1" customWidth="1"/>
    <col min="6155" max="6400" width="0" style="5" hidden="1"/>
    <col min="6401" max="6401" width="0.5703125" style="5" customWidth="1"/>
    <col min="6402" max="6402" width="0" style="5" hidden="1" customWidth="1"/>
    <col min="6403" max="6403" width="3" style="5" customWidth="1"/>
    <col min="6404" max="6410" width="0" style="5" hidden="1" customWidth="1"/>
    <col min="6411" max="6656" width="0" style="5" hidden="1"/>
    <col min="6657" max="6657" width="0.5703125" style="5" customWidth="1"/>
    <col min="6658" max="6658" width="0" style="5" hidden="1" customWidth="1"/>
    <col min="6659" max="6659" width="3" style="5" customWidth="1"/>
    <col min="6660" max="6666" width="0" style="5" hidden="1" customWidth="1"/>
    <col min="6667" max="6912" width="0" style="5" hidden="1"/>
    <col min="6913" max="6913" width="0.5703125" style="5" customWidth="1"/>
    <col min="6914" max="6914" width="0" style="5" hidden="1" customWidth="1"/>
    <col min="6915" max="6915" width="3" style="5" customWidth="1"/>
    <col min="6916" max="6922" width="0" style="5" hidden="1" customWidth="1"/>
    <col min="6923" max="7168" width="0" style="5" hidden="1"/>
    <col min="7169" max="7169" width="0.5703125" style="5" customWidth="1"/>
    <col min="7170" max="7170" width="0" style="5" hidden="1" customWidth="1"/>
    <col min="7171" max="7171" width="3" style="5" customWidth="1"/>
    <col min="7172" max="7178" width="0" style="5" hidden="1" customWidth="1"/>
    <col min="7179" max="7424" width="0" style="5" hidden="1"/>
    <col min="7425" max="7425" width="0.5703125" style="5" customWidth="1"/>
    <col min="7426" max="7426" width="0" style="5" hidden="1" customWidth="1"/>
    <col min="7427" max="7427" width="3" style="5" customWidth="1"/>
    <col min="7428" max="7434" width="0" style="5" hidden="1" customWidth="1"/>
    <col min="7435" max="7680" width="0" style="5" hidden="1"/>
    <col min="7681" max="7681" width="0.5703125" style="5" customWidth="1"/>
    <col min="7682" max="7682" width="0" style="5" hidden="1" customWidth="1"/>
    <col min="7683" max="7683" width="3" style="5" customWidth="1"/>
    <col min="7684" max="7690" width="0" style="5" hidden="1" customWidth="1"/>
    <col min="7691" max="7936" width="0" style="5" hidden="1"/>
    <col min="7937" max="7937" width="0.5703125" style="5" customWidth="1"/>
    <col min="7938" max="7938" width="0" style="5" hidden="1" customWidth="1"/>
    <col min="7939" max="7939" width="3" style="5" customWidth="1"/>
    <col min="7940" max="7946" width="0" style="5" hidden="1" customWidth="1"/>
    <col min="7947" max="8192" width="0" style="5" hidden="1"/>
    <col min="8193" max="8193" width="0.5703125" style="5" customWidth="1"/>
    <col min="8194" max="8194" width="0" style="5" hidden="1" customWidth="1"/>
    <col min="8195" max="8195" width="3" style="5" customWidth="1"/>
    <col min="8196" max="8202" width="0" style="5" hidden="1" customWidth="1"/>
    <col min="8203" max="8448" width="0" style="5" hidden="1"/>
    <col min="8449" max="8449" width="0.5703125" style="5" customWidth="1"/>
    <col min="8450" max="8450" width="0" style="5" hidden="1" customWidth="1"/>
    <col min="8451" max="8451" width="3" style="5" customWidth="1"/>
    <col min="8452" max="8458" width="0" style="5" hidden="1" customWidth="1"/>
    <col min="8459" max="8704" width="0" style="5" hidden="1"/>
    <col min="8705" max="8705" width="0.5703125" style="5" customWidth="1"/>
    <col min="8706" max="8706" width="0" style="5" hidden="1" customWidth="1"/>
    <col min="8707" max="8707" width="3" style="5" customWidth="1"/>
    <col min="8708" max="8714" width="0" style="5" hidden="1" customWidth="1"/>
    <col min="8715" max="8960" width="0" style="5" hidden="1"/>
    <col min="8961" max="8961" width="0.5703125" style="5" customWidth="1"/>
    <col min="8962" max="8962" width="0" style="5" hidden="1" customWidth="1"/>
    <col min="8963" max="8963" width="3" style="5" customWidth="1"/>
    <col min="8964" max="8970" width="0" style="5" hidden="1" customWidth="1"/>
    <col min="8971" max="9216" width="0" style="5" hidden="1"/>
    <col min="9217" max="9217" width="0.5703125" style="5" customWidth="1"/>
    <col min="9218" max="9218" width="0" style="5" hidden="1" customWidth="1"/>
    <col min="9219" max="9219" width="3" style="5" customWidth="1"/>
    <col min="9220" max="9226" width="0" style="5" hidden="1" customWidth="1"/>
    <col min="9227" max="9472" width="0" style="5" hidden="1"/>
    <col min="9473" max="9473" width="0.5703125" style="5" customWidth="1"/>
    <col min="9474" max="9474" width="0" style="5" hidden="1" customWidth="1"/>
    <col min="9475" max="9475" width="3" style="5" customWidth="1"/>
    <col min="9476" max="9482" width="0" style="5" hidden="1" customWidth="1"/>
    <col min="9483" max="9728" width="0" style="5" hidden="1"/>
    <col min="9729" max="9729" width="0.5703125" style="5" customWidth="1"/>
    <col min="9730" max="9730" width="0" style="5" hidden="1" customWidth="1"/>
    <col min="9731" max="9731" width="3" style="5" customWidth="1"/>
    <col min="9732" max="9738" width="0" style="5" hidden="1" customWidth="1"/>
    <col min="9739" max="9984" width="0" style="5" hidden="1"/>
    <col min="9985" max="9985" width="0.5703125" style="5" customWidth="1"/>
    <col min="9986" max="9986" width="0" style="5" hidden="1" customWidth="1"/>
    <col min="9987" max="9987" width="3" style="5" customWidth="1"/>
    <col min="9988" max="9994" width="0" style="5" hidden="1" customWidth="1"/>
    <col min="9995" max="10240" width="0" style="5" hidden="1"/>
    <col min="10241" max="10241" width="0.5703125" style="5" customWidth="1"/>
    <col min="10242" max="10242" width="0" style="5" hidden="1" customWidth="1"/>
    <col min="10243" max="10243" width="3" style="5" customWidth="1"/>
    <col min="10244" max="10250" width="0" style="5" hidden="1" customWidth="1"/>
    <col min="10251" max="10496" width="0" style="5" hidden="1"/>
    <col min="10497" max="10497" width="0.5703125" style="5" customWidth="1"/>
    <col min="10498" max="10498" width="0" style="5" hidden="1" customWidth="1"/>
    <col min="10499" max="10499" width="3" style="5" customWidth="1"/>
    <col min="10500" max="10506" width="0" style="5" hidden="1" customWidth="1"/>
    <col min="10507" max="10752" width="0" style="5" hidden="1"/>
    <col min="10753" max="10753" width="0.5703125" style="5" customWidth="1"/>
    <col min="10754" max="10754" width="0" style="5" hidden="1" customWidth="1"/>
    <col min="10755" max="10755" width="3" style="5" customWidth="1"/>
    <col min="10756" max="10759" width="0" style="5" hidden="1" customWidth="1"/>
    <col min="10760" max="10760" width="19.7109375" style="5" customWidth="1"/>
    <col min="10761" max="10761" width="6.7109375" style="5" customWidth="1"/>
    <col min="10762" max="10762" width="0" style="5" hidden="1" customWidth="1"/>
    <col min="10763" max="11008" width="0" style="5" hidden="1"/>
    <col min="11009" max="11009" width="0.5703125" style="5" customWidth="1"/>
    <col min="11010" max="11010" width="0" style="5" hidden="1" customWidth="1"/>
    <col min="11011" max="11011" width="3" style="5" customWidth="1"/>
    <col min="11012" max="11018" width="0" style="5" hidden="1" customWidth="1"/>
    <col min="11019" max="11264" width="0" style="5" hidden="1"/>
    <col min="11265" max="11265" width="0.5703125" style="5" customWidth="1"/>
    <col min="11266" max="11266" width="0" style="5" hidden="1" customWidth="1"/>
    <col min="11267" max="11267" width="3" style="5" customWidth="1"/>
    <col min="11268" max="11274" width="0" style="5" hidden="1" customWidth="1"/>
    <col min="11275" max="11520" width="0" style="5" hidden="1"/>
    <col min="11521" max="11521" width="0.5703125" style="5" customWidth="1"/>
    <col min="11522" max="11522" width="0" style="5" hidden="1" customWidth="1"/>
    <col min="11523" max="11523" width="3" style="5" customWidth="1"/>
    <col min="11524" max="11530" width="0" style="5" hidden="1" customWidth="1"/>
    <col min="11531" max="11776" width="0" style="5" hidden="1"/>
    <col min="11777" max="11777" width="0.5703125" style="5" customWidth="1"/>
    <col min="11778" max="11778" width="0" style="5" hidden="1" customWidth="1"/>
    <col min="11779" max="11779" width="3" style="5" customWidth="1"/>
    <col min="11780" max="11786" width="0" style="5" hidden="1" customWidth="1"/>
    <col min="11787" max="12032" width="0" style="5" hidden="1"/>
    <col min="12033" max="12033" width="0.5703125" style="5" customWidth="1"/>
    <col min="12034" max="12034" width="0" style="5" hidden="1" customWidth="1"/>
    <col min="12035" max="12035" width="3" style="5" customWidth="1"/>
    <col min="12036" max="12042" width="0" style="5" hidden="1" customWidth="1"/>
    <col min="12043" max="12288" width="0" style="5" hidden="1"/>
    <col min="12289" max="12289" width="0.5703125" style="5" customWidth="1"/>
    <col min="12290" max="12290" width="0" style="5" hidden="1" customWidth="1"/>
    <col min="12291" max="12291" width="3" style="5" customWidth="1"/>
    <col min="12292" max="12298" width="0" style="5" hidden="1" customWidth="1"/>
    <col min="12299" max="12544" width="0" style="5" hidden="1"/>
    <col min="12545" max="12545" width="0.5703125" style="5" customWidth="1"/>
    <col min="12546" max="12546" width="0" style="5" hidden="1" customWidth="1"/>
    <col min="12547" max="12547" width="3" style="5" customWidth="1"/>
    <col min="12548" max="12554" width="0" style="5" hidden="1" customWidth="1"/>
    <col min="12555" max="12800" width="0" style="5" hidden="1"/>
    <col min="12801" max="12801" width="0.5703125" style="5" customWidth="1"/>
    <col min="12802" max="12802" width="0" style="5" hidden="1" customWidth="1"/>
    <col min="12803" max="12803" width="3" style="5" customWidth="1"/>
    <col min="12804" max="12810" width="0" style="5" hidden="1" customWidth="1"/>
    <col min="12811" max="13056" width="0" style="5" hidden="1"/>
    <col min="13057" max="13057" width="0.5703125" style="5" customWidth="1"/>
    <col min="13058" max="13058" width="0" style="5" hidden="1" customWidth="1"/>
    <col min="13059" max="13059" width="3" style="5" customWidth="1"/>
    <col min="13060" max="13066" width="0" style="5" hidden="1" customWidth="1"/>
    <col min="13067" max="13312" width="0" style="5" hidden="1"/>
    <col min="13313" max="13313" width="0.5703125" style="5" customWidth="1"/>
    <col min="13314" max="13314" width="0" style="5" hidden="1" customWidth="1"/>
    <col min="13315" max="13315" width="3" style="5" customWidth="1"/>
    <col min="13316" max="13322" width="0" style="5" hidden="1" customWidth="1"/>
    <col min="13323" max="13568" width="0" style="5" hidden="1"/>
    <col min="13569" max="13569" width="0.5703125" style="5" customWidth="1"/>
    <col min="13570" max="13570" width="0" style="5" hidden="1" customWidth="1"/>
    <col min="13571" max="13571" width="3" style="5" customWidth="1"/>
    <col min="13572" max="13578" width="0" style="5" hidden="1" customWidth="1"/>
    <col min="13579" max="13824" width="0" style="5" hidden="1"/>
    <col min="13825" max="13825" width="0.5703125" style="5" customWidth="1"/>
    <col min="13826" max="13826" width="0" style="5" hidden="1" customWidth="1"/>
    <col min="13827" max="13827" width="3" style="5" customWidth="1"/>
    <col min="13828" max="13834" width="0" style="5" hidden="1" customWidth="1"/>
    <col min="13835" max="14080" width="0" style="5" hidden="1"/>
    <col min="14081" max="14081" width="0.5703125" style="5" customWidth="1"/>
    <col min="14082" max="14082" width="0" style="5" hidden="1" customWidth="1"/>
    <col min="14083" max="14083" width="3" style="5" customWidth="1"/>
    <col min="14084" max="14090" width="0" style="5" hidden="1" customWidth="1"/>
    <col min="14091" max="14336" width="0" style="5" hidden="1"/>
    <col min="14337" max="14337" width="0.5703125" style="5" customWidth="1"/>
    <col min="14338" max="14338" width="0" style="5" hidden="1" customWidth="1"/>
    <col min="14339" max="14339" width="3" style="5" customWidth="1"/>
    <col min="14340" max="14346" width="0" style="5" hidden="1" customWidth="1"/>
    <col min="14347" max="14592" width="0" style="5" hidden="1"/>
    <col min="14593" max="14593" width="0.5703125" style="5" customWidth="1"/>
    <col min="14594" max="14594" width="0" style="5" hidden="1" customWidth="1"/>
    <col min="14595" max="14595" width="3" style="5" customWidth="1"/>
    <col min="14596" max="14602" width="0" style="5" hidden="1" customWidth="1"/>
    <col min="14603" max="14848" width="0" style="5" hidden="1"/>
    <col min="14849" max="14849" width="0.5703125" style="5" customWidth="1"/>
    <col min="14850" max="14850" width="0" style="5" hidden="1" customWidth="1"/>
    <col min="14851" max="14851" width="3" style="5" customWidth="1"/>
    <col min="14852" max="14858" width="0" style="5" hidden="1" customWidth="1"/>
    <col min="14859" max="15104" width="0" style="5" hidden="1"/>
    <col min="15105" max="15105" width="0.5703125" style="5" customWidth="1"/>
    <col min="15106" max="15106" width="0" style="5" hidden="1" customWidth="1"/>
    <col min="15107" max="15107" width="3" style="5" customWidth="1"/>
    <col min="15108" max="15114" width="0" style="5" hidden="1" customWidth="1"/>
    <col min="15115" max="15360" width="0" style="5" hidden="1"/>
    <col min="15361" max="15361" width="0.5703125" style="5" customWidth="1"/>
    <col min="15362" max="15362" width="0" style="5" hidden="1" customWidth="1"/>
    <col min="15363" max="15363" width="3" style="5" customWidth="1"/>
    <col min="15364" max="15370" width="0" style="5" hidden="1" customWidth="1"/>
    <col min="15371" max="15616" width="0" style="5" hidden="1"/>
    <col min="15617" max="15617" width="0.5703125" style="5" customWidth="1"/>
    <col min="15618" max="15618" width="0" style="5" hidden="1" customWidth="1"/>
    <col min="15619" max="15619" width="3" style="5" customWidth="1"/>
    <col min="15620" max="15626" width="0" style="5" hidden="1" customWidth="1"/>
    <col min="15627" max="15872" width="0" style="5" hidden="1"/>
    <col min="15873" max="15873" width="0.5703125" style="5" customWidth="1"/>
    <col min="15874" max="15874" width="0" style="5" hidden="1" customWidth="1"/>
    <col min="15875" max="15875" width="3" style="5" customWidth="1"/>
    <col min="15876" max="15882" width="0" style="5" hidden="1" customWidth="1"/>
    <col min="15883" max="16128" width="0" style="5" hidden="1"/>
    <col min="16129" max="16129" width="0.5703125" style="5" customWidth="1"/>
    <col min="16130" max="16130" width="0" style="5" hidden="1" customWidth="1"/>
    <col min="16131" max="16131" width="3" style="5" customWidth="1"/>
    <col min="16132" max="16138" width="0" style="5" hidden="1" customWidth="1"/>
    <col min="16139" max="16384" width="0" style="5" hidden="1"/>
  </cols>
  <sheetData>
    <row r="1" spans="1:10" ht="9.6" customHeight="1" x14ac:dyDescent="0.2">
      <c r="A1" s="419" t="s">
        <v>1161</v>
      </c>
      <c r="B1" s="419"/>
      <c r="C1" s="419"/>
      <c r="D1" s="381" t="s">
        <v>1190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1418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0" hidden="1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12.75" customHeight="1" x14ac:dyDescent="0.2">
      <c r="A8" s="384" t="s">
        <v>1411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557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36.6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9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</row>
    <row r="18" spans="1:9" ht="147" customHeight="1" x14ac:dyDescent="0.2">
      <c r="A18" s="24" t="s">
        <v>10</v>
      </c>
      <c r="B18" s="413" t="s">
        <v>1215</v>
      </c>
      <c r="C18" s="414"/>
      <c r="D18" s="415" t="s">
        <v>1388</v>
      </c>
      <c r="E18" s="416"/>
      <c r="F18" s="416"/>
      <c r="G18" s="417"/>
      <c r="H18" s="23" t="s">
        <v>1419</v>
      </c>
      <c r="I18" s="160">
        <f>ROUND((35  + 0.19  * (0.4 * 250 + 0.6 * 250 / 2)) * 5 * 0.6 * 1.4 * 0.2 * 1.1 * 0.1,3)</f>
        <v>6.306</v>
      </c>
    </row>
    <row r="19" spans="1:9" ht="21.75" customHeight="1" x14ac:dyDescent="0.2">
      <c r="A19" s="161" t="s">
        <v>39</v>
      </c>
      <c r="B19" s="398" t="s">
        <v>45</v>
      </c>
      <c r="C19" s="399"/>
      <c r="D19" s="398"/>
      <c r="E19" s="400"/>
      <c r="F19" s="400"/>
      <c r="G19" s="399"/>
      <c r="H19" s="162"/>
      <c r="I19" s="163"/>
    </row>
    <row r="20" spans="1:9" ht="18.75" customHeight="1" x14ac:dyDescent="0.2">
      <c r="A20" s="164" t="s">
        <v>39</v>
      </c>
      <c r="B20" s="459" t="s">
        <v>1211</v>
      </c>
      <c r="C20" s="460"/>
      <c r="D20" s="459" t="s">
        <v>1212</v>
      </c>
      <c r="E20" s="461"/>
      <c r="F20" s="461"/>
      <c r="G20" s="460"/>
      <c r="H20" s="165"/>
      <c r="I20" s="166"/>
    </row>
    <row r="21" spans="1:9" ht="106.5" customHeight="1" x14ac:dyDescent="0.2">
      <c r="A21" s="164" t="s">
        <v>39</v>
      </c>
      <c r="B21" s="459" t="s">
        <v>1216</v>
      </c>
      <c r="C21" s="460"/>
      <c r="D21" s="459" t="s">
        <v>1217</v>
      </c>
      <c r="E21" s="461"/>
      <c r="F21" s="461"/>
      <c r="G21" s="460"/>
      <c r="H21" s="165"/>
      <c r="I21" s="166"/>
    </row>
    <row r="22" spans="1:9" ht="62.25" customHeight="1" x14ac:dyDescent="0.2">
      <c r="A22" s="440" t="s">
        <v>39</v>
      </c>
      <c r="B22" s="421" t="s">
        <v>1218</v>
      </c>
      <c r="C22" s="422"/>
      <c r="D22" s="421" t="s">
        <v>1219</v>
      </c>
      <c r="E22" s="384"/>
      <c r="F22" s="384"/>
      <c r="G22" s="422"/>
      <c r="H22" s="431"/>
      <c r="I22" s="462"/>
    </row>
    <row r="23" spans="1:9" ht="123" customHeight="1" x14ac:dyDescent="0.2">
      <c r="A23" s="440"/>
      <c r="B23" s="421"/>
      <c r="C23" s="422"/>
      <c r="D23" s="421"/>
      <c r="E23" s="384"/>
      <c r="F23" s="384"/>
      <c r="G23" s="422"/>
      <c r="H23" s="431"/>
      <c r="I23" s="462"/>
    </row>
    <row r="24" spans="1:9" ht="57" customHeight="1" x14ac:dyDescent="0.2">
      <c r="A24" s="161" t="s">
        <v>39</v>
      </c>
      <c r="B24" s="464" t="s">
        <v>1220</v>
      </c>
      <c r="C24" s="465"/>
      <c r="D24" s="464" t="s">
        <v>1221</v>
      </c>
      <c r="E24" s="466"/>
      <c r="F24" s="466"/>
      <c r="G24" s="465"/>
      <c r="H24" s="178"/>
      <c r="I24" s="179"/>
    </row>
    <row r="25" spans="1:9" ht="73.5" customHeight="1" x14ac:dyDescent="0.2">
      <c r="A25" s="51" t="s">
        <v>39</v>
      </c>
      <c r="B25" s="436" t="s">
        <v>1222</v>
      </c>
      <c r="C25" s="438"/>
      <c r="D25" s="436" t="s">
        <v>1223</v>
      </c>
      <c r="E25" s="437"/>
      <c r="F25" s="437"/>
      <c r="G25" s="438"/>
      <c r="H25" s="52"/>
      <c r="I25" s="53"/>
    </row>
    <row r="26" spans="1:9" ht="21.75" customHeight="1" x14ac:dyDescent="0.2">
      <c r="A26" s="51" t="s">
        <v>11</v>
      </c>
      <c r="B26" s="404" t="s">
        <v>78</v>
      </c>
      <c r="C26" s="405"/>
      <c r="D26" s="404" t="s">
        <v>1224</v>
      </c>
      <c r="E26" s="406"/>
      <c r="F26" s="406"/>
      <c r="G26" s="405"/>
      <c r="H26" s="170"/>
      <c r="I26" s="180"/>
    </row>
    <row r="27" spans="1:9" ht="96" customHeight="1" x14ac:dyDescent="0.2">
      <c r="A27" s="24" t="s">
        <v>76</v>
      </c>
      <c r="B27" s="413" t="s">
        <v>1225</v>
      </c>
      <c r="C27" s="414"/>
      <c r="D27" s="415" t="s">
        <v>1226</v>
      </c>
      <c r="E27" s="416"/>
      <c r="F27" s="416"/>
      <c r="G27" s="417"/>
      <c r="H27" s="23" t="s">
        <v>1249</v>
      </c>
      <c r="I27" s="160">
        <f>ROUND((0  + 98.56  * 5.49) * 1 * 0.6 * 0.35 * 1.4 * 1.1,3)</f>
        <v>174.99</v>
      </c>
    </row>
    <row r="28" spans="1:9" ht="15" customHeight="1" x14ac:dyDescent="0.2">
      <c r="A28" s="161" t="s">
        <v>39</v>
      </c>
      <c r="B28" s="398" t="s">
        <v>45</v>
      </c>
      <c r="C28" s="399"/>
      <c r="D28" s="398"/>
      <c r="E28" s="400"/>
      <c r="F28" s="400"/>
      <c r="G28" s="399"/>
      <c r="H28" s="162"/>
      <c r="I28" s="163"/>
    </row>
    <row r="29" spans="1:9" ht="27.75" customHeight="1" x14ac:dyDescent="0.2">
      <c r="A29" s="164" t="s">
        <v>39</v>
      </c>
      <c r="B29" s="459" t="s">
        <v>1211</v>
      </c>
      <c r="C29" s="460"/>
      <c r="D29" s="459" t="s">
        <v>1212</v>
      </c>
      <c r="E29" s="461"/>
      <c r="F29" s="461"/>
      <c r="G29" s="460"/>
      <c r="H29" s="165"/>
      <c r="I29" s="166"/>
    </row>
    <row r="30" spans="1:9" ht="171.75" customHeight="1" x14ac:dyDescent="0.2">
      <c r="A30" s="164" t="s">
        <v>39</v>
      </c>
      <c r="B30" s="459" t="s">
        <v>1228</v>
      </c>
      <c r="C30" s="460"/>
      <c r="D30" s="459" t="s">
        <v>1229</v>
      </c>
      <c r="E30" s="461"/>
      <c r="F30" s="461"/>
      <c r="G30" s="460"/>
      <c r="H30" s="165"/>
      <c r="I30" s="166"/>
    </row>
    <row r="31" spans="1:9" ht="27.75" customHeight="1" x14ac:dyDescent="0.2">
      <c r="A31" s="440" t="s">
        <v>39</v>
      </c>
      <c r="B31" s="421" t="s">
        <v>1216</v>
      </c>
      <c r="C31" s="422"/>
      <c r="D31" s="421" t="s">
        <v>1230</v>
      </c>
      <c r="E31" s="384"/>
      <c r="F31" s="384"/>
      <c r="G31" s="422"/>
      <c r="H31" s="431"/>
      <c r="I31" s="462"/>
    </row>
    <row r="32" spans="1:9" ht="79.5" customHeight="1" x14ac:dyDescent="0.2">
      <c r="A32" s="440"/>
      <c r="B32" s="421"/>
      <c r="C32" s="422"/>
      <c r="D32" s="421"/>
      <c r="E32" s="384"/>
      <c r="F32" s="384"/>
      <c r="G32" s="422"/>
      <c r="H32" s="431"/>
      <c r="I32" s="462"/>
    </row>
    <row r="33" spans="1:9" ht="58.5" customHeight="1" x14ac:dyDescent="0.2">
      <c r="A33" s="175" t="s">
        <v>39</v>
      </c>
      <c r="B33" s="401" t="s">
        <v>1231</v>
      </c>
      <c r="C33" s="402"/>
      <c r="D33" s="401" t="s">
        <v>1232</v>
      </c>
      <c r="E33" s="403"/>
      <c r="F33" s="403"/>
      <c r="G33" s="402"/>
      <c r="H33" s="176"/>
      <c r="I33" s="177"/>
    </row>
    <row r="34" spans="1:9" ht="105" customHeight="1" x14ac:dyDescent="0.2">
      <c r="A34" s="19" t="s">
        <v>75</v>
      </c>
      <c r="B34" s="423" t="s">
        <v>1233</v>
      </c>
      <c r="C34" s="424"/>
      <c r="D34" s="421" t="s">
        <v>1234</v>
      </c>
      <c r="E34" s="384"/>
      <c r="F34" s="384"/>
      <c r="G34" s="422"/>
      <c r="H34" s="18" t="s">
        <v>1250</v>
      </c>
      <c r="I34" s="173">
        <f>ROUND((0  + 98.56  * 4.71) * 1 * 0.6 * 0.35 * 1.4 * 1.1 * 0.3,3)</f>
        <v>45.037999999999997</v>
      </c>
    </row>
    <row r="35" spans="1:9" ht="21.75" customHeight="1" x14ac:dyDescent="0.2">
      <c r="A35" s="161" t="s">
        <v>39</v>
      </c>
      <c r="B35" s="398" t="s">
        <v>45</v>
      </c>
      <c r="C35" s="399"/>
      <c r="D35" s="398"/>
      <c r="E35" s="400"/>
      <c r="F35" s="400"/>
      <c r="G35" s="399"/>
      <c r="H35" s="162"/>
      <c r="I35" s="163"/>
    </row>
    <row r="36" spans="1:9" ht="32.25" customHeight="1" x14ac:dyDescent="0.2">
      <c r="A36" s="164" t="s">
        <v>39</v>
      </c>
      <c r="B36" s="459" t="s">
        <v>1211</v>
      </c>
      <c r="C36" s="460"/>
      <c r="D36" s="459" t="s">
        <v>1212</v>
      </c>
      <c r="E36" s="461"/>
      <c r="F36" s="461"/>
      <c r="G36" s="460"/>
      <c r="H36" s="165"/>
      <c r="I36" s="166"/>
    </row>
    <row r="37" spans="1:9" ht="40.5" customHeight="1" x14ac:dyDescent="0.2">
      <c r="A37" s="440" t="s">
        <v>39</v>
      </c>
      <c r="B37" s="421" t="s">
        <v>1228</v>
      </c>
      <c r="C37" s="422"/>
      <c r="D37" s="421" t="s">
        <v>1229</v>
      </c>
      <c r="E37" s="384"/>
      <c r="F37" s="384"/>
      <c r="G37" s="422"/>
      <c r="H37" s="431"/>
      <c r="I37" s="462"/>
    </row>
    <row r="38" spans="1:9" ht="137.25" customHeight="1" x14ac:dyDescent="0.2">
      <c r="A38" s="440"/>
      <c r="B38" s="421"/>
      <c r="C38" s="422"/>
      <c r="D38" s="421"/>
      <c r="E38" s="384"/>
      <c r="F38" s="384"/>
      <c r="G38" s="422"/>
      <c r="H38" s="431"/>
      <c r="I38" s="462"/>
    </row>
    <row r="39" spans="1:9" ht="112.5" customHeight="1" x14ac:dyDescent="0.2">
      <c r="A39" s="161" t="s">
        <v>39</v>
      </c>
      <c r="B39" s="464" t="s">
        <v>1216</v>
      </c>
      <c r="C39" s="465"/>
      <c r="D39" s="464" t="s">
        <v>1230</v>
      </c>
      <c r="E39" s="466"/>
      <c r="F39" s="466"/>
      <c r="G39" s="465"/>
      <c r="H39" s="178"/>
      <c r="I39" s="179"/>
    </row>
    <row r="40" spans="1:9" ht="58.5" customHeight="1" x14ac:dyDescent="0.2">
      <c r="A40" s="164" t="s">
        <v>39</v>
      </c>
      <c r="B40" s="459" t="s">
        <v>1231</v>
      </c>
      <c r="C40" s="460"/>
      <c r="D40" s="459" t="s">
        <v>1232</v>
      </c>
      <c r="E40" s="461"/>
      <c r="F40" s="461"/>
      <c r="G40" s="460"/>
      <c r="H40" s="165"/>
      <c r="I40" s="166"/>
    </row>
    <row r="41" spans="1:9" ht="39" customHeight="1" x14ac:dyDescent="0.2">
      <c r="A41" s="51" t="s">
        <v>39</v>
      </c>
      <c r="B41" s="436" t="s">
        <v>1236</v>
      </c>
      <c r="C41" s="438"/>
      <c r="D41" s="436" t="s">
        <v>1237</v>
      </c>
      <c r="E41" s="437"/>
      <c r="F41" s="437"/>
      <c r="G41" s="438"/>
      <c r="H41" s="52"/>
      <c r="I41" s="53"/>
    </row>
    <row r="42" spans="1:9" ht="25.5" customHeight="1" x14ac:dyDescent="0.2">
      <c r="A42" s="51" t="s">
        <v>73</v>
      </c>
      <c r="B42" s="404" t="s">
        <v>1238</v>
      </c>
      <c r="C42" s="405"/>
      <c r="D42" s="404"/>
      <c r="E42" s="406"/>
      <c r="F42" s="406"/>
      <c r="G42" s="405"/>
      <c r="H42" s="170"/>
      <c r="I42" s="171">
        <f>ROUND((SUM($I$27:$I$34)),3)</f>
        <v>220.02799999999999</v>
      </c>
    </row>
    <row r="43" spans="1:9" ht="25.5" customHeight="1" x14ac:dyDescent="0.2">
      <c r="A43" s="11" t="s">
        <v>353</v>
      </c>
      <c r="B43" s="395" t="s">
        <v>1239</v>
      </c>
      <c r="C43" s="396"/>
      <c r="D43" s="395"/>
      <c r="E43" s="397"/>
      <c r="F43" s="397"/>
      <c r="G43" s="396"/>
      <c r="H43" s="10"/>
      <c r="I43" s="172">
        <f>ROUND(($I$42),3)</f>
        <v>220.02799999999999</v>
      </c>
    </row>
    <row r="44" spans="1:9" ht="12.75" customHeight="1" x14ac:dyDescent="0.2">
      <c r="A44" s="11" t="s">
        <v>13</v>
      </c>
      <c r="B44" s="395" t="s">
        <v>78</v>
      </c>
      <c r="C44" s="396"/>
      <c r="D44" s="395" t="s">
        <v>1240</v>
      </c>
      <c r="E44" s="397"/>
      <c r="F44" s="397"/>
      <c r="G44" s="396"/>
      <c r="H44" s="10"/>
      <c r="I44" s="35"/>
    </row>
    <row r="45" spans="1:9" ht="120.75" customHeight="1" x14ac:dyDescent="0.2">
      <c r="A45" s="24" t="s">
        <v>292</v>
      </c>
      <c r="B45" s="413" t="s">
        <v>543</v>
      </c>
      <c r="C45" s="414"/>
      <c r="D45" s="415" t="s">
        <v>1241</v>
      </c>
      <c r="E45" s="416"/>
      <c r="F45" s="416"/>
      <c r="G45" s="417"/>
      <c r="H45" s="23" t="s">
        <v>1251</v>
      </c>
      <c r="I45" s="160">
        <f>ROUND((29.05  + 7.4  * 5.49) * 1 * 0.6 * 0.35 * 1.4 * 1.1 * 0.9,3)</f>
        <v>20.28</v>
      </c>
    </row>
    <row r="46" spans="1:9" ht="36.75" customHeight="1" x14ac:dyDescent="0.2">
      <c r="A46" s="161" t="s">
        <v>39</v>
      </c>
      <c r="B46" s="398" t="s">
        <v>45</v>
      </c>
      <c r="C46" s="399"/>
      <c r="D46" s="398"/>
      <c r="E46" s="400"/>
      <c r="F46" s="400"/>
      <c r="G46" s="399"/>
      <c r="H46" s="162"/>
      <c r="I46" s="163"/>
    </row>
    <row r="47" spans="1:9" ht="24.75" customHeight="1" x14ac:dyDescent="0.2">
      <c r="A47" s="164" t="s">
        <v>39</v>
      </c>
      <c r="B47" s="459" t="s">
        <v>1211</v>
      </c>
      <c r="C47" s="460"/>
      <c r="D47" s="459" t="s">
        <v>1212</v>
      </c>
      <c r="E47" s="461"/>
      <c r="F47" s="461"/>
      <c r="G47" s="460"/>
      <c r="H47" s="165"/>
      <c r="I47" s="166"/>
    </row>
    <row r="48" spans="1:9" ht="35.25" customHeight="1" x14ac:dyDescent="0.2">
      <c r="A48" s="440" t="s">
        <v>39</v>
      </c>
      <c r="B48" s="421" t="s">
        <v>1228</v>
      </c>
      <c r="C48" s="422"/>
      <c r="D48" s="421" t="s">
        <v>1229</v>
      </c>
      <c r="E48" s="384"/>
      <c r="F48" s="384"/>
      <c r="G48" s="422"/>
      <c r="H48" s="431"/>
      <c r="I48" s="462"/>
    </row>
    <row r="49" spans="1:9" ht="140.25" customHeight="1" x14ac:dyDescent="0.2">
      <c r="A49" s="440"/>
      <c r="B49" s="421"/>
      <c r="C49" s="422"/>
      <c r="D49" s="421"/>
      <c r="E49" s="384"/>
      <c r="F49" s="384"/>
      <c r="G49" s="422"/>
      <c r="H49" s="431"/>
      <c r="I49" s="462"/>
    </row>
    <row r="50" spans="1:9" ht="111" customHeight="1" x14ac:dyDescent="0.2">
      <c r="A50" s="161" t="s">
        <v>39</v>
      </c>
      <c r="B50" s="464" t="s">
        <v>1216</v>
      </c>
      <c r="C50" s="465"/>
      <c r="D50" s="464" t="s">
        <v>1230</v>
      </c>
      <c r="E50" s="466"/>
      <c r="F50" s="466"/>
      <c r="G50" s="465"/>
      <c r="H50" s="178"/>
      <c r="I50" s="179"/>
    </row>
    <row r="51" spans="1:9" ht="61.5" customHeight="1" x14ac:dyDescent="0.2">
      <c r="A51" s="164" t="s">
        <v>39</v>
      </c>
      <c r="B51" s="459" t="s">
        <v>1231</v>
      </c>
      <c r="C51" s="460"/>
      <c r="D51" s="459" t="s">
        <v>1232</v>
      </c>
      <c r="E51" s="461"/>
      <c r="F51" s="461"/>
      <c r="G51" s="460"/>
      <c r="H51" s="165"/>
      <c r="I51" s="166"/>
    </row>
    <row r="52" spans="1:9" ht="62.25" customHeight="1" x14ac:dyDescent="0.2">
      <c r="A52" s="51" t="s">
        <v>39</v>
      </c>
      <c r="B52" s="436" t="s">
        <v>1243</v>
      </c>
      <c r="C52" s="438"/>
      <c r="D52" s="436" t="s">
        <v>1244</v>
      </c>
      <c r="E52" s="437"/>
      <c r="F52" s="437"/>
      <c r="G52" s="438"/>
      <c r="H52" s="52"/>
      <c r="I52" s="53"/>
    </row>
    <row r="53" spans="1:9" ht="94.35" customHeight="1" x14ac:dyDescent="0.2">
      <c r="A53" s="440" t="s">
        <v>293</v>
      </c>
      <c r="B53" s="423" t="s">
        <v>545</v>
      </c>
      <c r="C53" s="424"/>
      <c r="D53" s="421" t="s">
        <v>1245</v>
      </c>
      <c r="E53" s="384"/>
      <c r="F53" s="384"/>
      <c r="G53" s="422"/>
      <c r="H53" s="431" t="s">
        <v>1412</v>
      </c>
      <c r="I53" s="467">
        <f>ROUND((29.05  + 7.4  * 4.71) * 1 * 0.6 * 0.35 * 1.4 * 1.1 * 0.9*0.3,3)</f>
        <v>5.58</v>
      </c>
    </row>
    <row r="54" spans="1:9" ht="1.5" customHeight="1" x14ac:dyDescent="0.2">
      <c r="A54" s="440"/>
      <c r="B54" s="423"/>
      <c r="C54" s="424"/>
      <c r="D54" s="421"/>
      <c r="E54" s="384"/>
      <c r="F54" s="384"/>
      <c r="G54" s="422"/>
      <c r="H54" s="431"/>
      <c r="I54" s="467"/>
    </row>
    <row r="55" spans="1:9" ht="18" customHeight="1" x14ac:dyDescent="0.2">
      <c r="A55" s="161" t="s">
        <v>39</v>
      </c>
      <c r="B55" s="398" t="s">
        <v>45</v>
      </c>
      <c r="C55" s="399"/>
      <c r="D55" s="398"/>
      <c r="E55" s="400"/>
      <c r="F55" s="400"/>
      <c r="G55" s="399"/>
      <c r="H55" s="162"/>
      <c r="I55" s="163"/>
    </row>
    <row r="56" spans="1:9" ht="27" customHeight="1" x14ac:dyDescent="0.2">
      <c r="A56" s="164" t="s">
        <v>39</v>
      </c>
      <c r="B56" s="459" t="s">
        <v>1211</v>
      </c>
      <c r="C56" s="460"/>
      <c r="D56" s="459" t="s">
        <v>1212</v>
      </c>
      <c r="E56" s="461"/>
      <c r="F56" s="461"/>
      <c r="G56" s="460"/>
      <c r="H56" s="165"/>
      <c r="I56" s="166"/>
    </row>
    <row r="57" spans="1:9" ht="172.5" customHeight="1" x14ac:dyDescent="0.2">
      <c r="A57" s="164" t="s">
        <v>39</v>
      </c>
      <c r="B57" s="459" t="s">
        <v>1228</v>
      </c>
      <c r="C57" s="460"/>
      <c r="D57" s="459" t="s">
        <v>1229</v>
      </c>
      <c r="E57" s="461"/>
      <c r="F57" s="461"/>
      <c r="G57" s="460"/>
      <c r="H57" s="165"/>
      <c r="I57" s="166"/>
    </row>
    <row r="58" spans="1:9" ht="108" customHeight="1" x14ac:dyDescent="0.2">
      <c r="A58" s="164" t="s">
        <v>39</v>
      </c>
      <c r="B58" s="459" t="s">
        <v>1216</v>
      </c>
      <c r="C58" s="460"/>
      <c r="D58" s="459" t="s">
        <v>1230</v>
      </c>
      <c r="E58" s="461"/>
      <c r="F58" s="461"/>
      <c r="G58" s="460"/>
      <c r="H58" s="165"/>
      <c r="I58" s="166"/>
    </row>
    <row r="59" spans="1:9" ht="73.5" customHeight="1" x14ac:dyDescent="0.2">
      <c r="A59" s="164" t="s">
        <v>39</v>
      </c>
      <c r="B59" s="459" t="s">
        <v>1231</v>
      </c>
      <c r="C59" s="460"/>
      <c r="D59" s="459" t="s">
        <v>1232</v>
      </c>
      <c r="E59" s="461"/>
      <c r="F59" s="461"/>
      <c r="G59" s="460"/>
      <c r="H59" s="165"/>
      <c r="I59" s="166"/>
    </row>
    <row r="60" spans="1:9" ht="79.5" customHeight="1" x14ac:dyDescent="0.2">
      <c r="A60" s="51" t="s">
        <v>39</v>
      </c>
      <c r="B60" s="436" t="s">
        <v>1243</v>
      </c>
      <c r="C60" s="438"/>
      <c r="D60" s="436" t="s">
        <v>1244</v>
      </c>
      <c r="E60" s="437"/>
      <c r="F60" s="437"/>
      <c r="G60" s="438"/>
      <c r="H60" s="52"/>
      <c r="I60" s="53"/>
    </row>
    <row r="61" spans="1:9" ht="48" customHeight="1" x14ac:dyDescent="0.2">
      <c r="A61" s="11" t="s">
        <v>39</v>
      </c>
      <c r="B61" s="392" t="s">
        <v>1406</v>
      </c>
      <c r="C61" s="393"/>
      <c r="D61" s="392" t="s">
        <v>1405</v>
      </c>
      <c r="E61" s="394"/>
      <c r="F61" s="394"/>
      <c r="G61" s="393"/>
      <c r="H61" s="10"/>
      <c r="I61" s="35"/>
    </row>
    <row r="62" spans="1:9" ht="17.25" customHeight="1" x14ac:dyDescent="0.2">
      <c r="A62" s="51" t="s">
        <v>294</v>
      </c>
      <c r="B62" s="404" t="s">
        <v>1246</v>
      </c>
      <c r="C62" s="405"/>
      <c r="D62" s="404"/>
      <c r="E62" s="406"/>
      <c r="F62" s="406"/>
      <c r="G62" s="405"/>
      <c r="H62" s="170"/>
      <c r="I62" s="171">
        <f>ROUND((SUM($I$45:$I$53)),3)</f>
        <v>25.86</v>
      </c>
    </row>
    <row r="63" spans="1:9" ht="24.75" customHeight="1" x14ac:dyDescent="0.2">
      <c r="A63" s="11" t="s">
        <v>296</v>
      </c>
      <c r="B63" s="395" t="s">
        <v>1247</v>
      </c>
      <c r="C63" s="396"/>
      <c r="D63" s="395"/>
      <c r="E63" s="397"/>
      <c r="F63" s="397"/>
      <c r="G63" s="396"/>
      <c r="H63" s="10"/>
      <c r="I63" s="172">
        <f>ROUND(($I$62),3)</f>
        <v>25.86</v>
      </c>
    </row>
    <row r="64" spans="1:9" ht="17.25" customHeight="1" x14ac:dyDescent="0.2">
      <c r="A64" s="11" t="s">
        <v>15</v>
      </c>
      <c r="B64" s="395" t="s">
        <v>43</v>
      </c>
      <c r="C64" s="396"/>
      <c r="D64" s="395"/>
      <c r="E64" s="397"/>
      <c r="F64" s="397"/>
      <c r="G64" s="396"/>
      <c r="H64" s="10"/>
      <c r="I64" s="172">
        <f>ROUND(($I$18 + $I$43 + $I$63),3)</f>
        <v>252.19399999999999</v>
      </c>
    </row>
    <row r="65" spans="1:9" ht="50.25" customHeight="1" x14ac:dyDescent="0.2">
      <c r="A65" s="11" t="s">
        <v>17</v>
      </c>
      <c r="B65" s="392" t="s">
        <v>1063</v>
      </c>
      <c r="C65" s="393"/>
      <c r="D65" s="392" t="s">
        <v>1064</v>
      </c>
      <c r="E65" s="394"/>
      <c r="F65" s="394"/>
      <c r="G65" s="393"/>
      <c r="H65" s="13" t="s">
        <v>1248</v>
      </c>
      <c r="I65" s="174">
        <f>ROUND(($I$64) * 5.94 * 1,3)</f>
        <v>1498.0319999999999</v>
      </c>
    </row>
    <row r="66" spans="1:9" ht="19.5" customHeight="1" x14ac:dyDescent="0.2">
      <c r="A66" s="11" t="s">
        <v>19</v>
      </c>
      <c r="B66" s="395" t="s">
        <v>42</v>
      </c>
      <c r="C66" s="396"/>
      <c r="D66" s="395"/>
      <c r="E66" s="397"/>
      <c r="F66" s="397"/>
      <c r="G66" s="396"/>
      <c r="H66" s="10"/>
      <c r="I66" s="172">
        <f>ROUND(($I$65),3)</f>
        <v>1498.0319999999999</v>
      </c>
    </row>
    <row r="67" spans="1:9" ht="12.75" customHeight="1" x14ac:dyDescent="0.2"/>
    <row r="68" spans="1:9" s="8" customFormat="1" ht="24.95" customHeight="1" x14ac:dyDescent="0.2">
      <c r="A68" s="384" t="s">
        <v>725</v>
      </c>
      <c r="B68" s="384"/>
      <c r="C68" s="384"/>
      <c r="D68" s="384" t="str">
        <f>convertNumToStr($I$66,1000,3)</f>
        <v xml:space="preserve"> 1 498.032 (Один миллион четыреста девяносто восемь тысяч тридцать два рубля, 00 копеек)</v>
      </c>
      <c r="E68" s="384"/>
      <c r="F68" s="384"/>
      <c r="G68" s="384"/>
      <c r="H68" s="384"/>
      <c r="I68" s="384"/>
    </row>
    <row r="69" spans="1:9" ht="12.75" customHeight="1" x14ac:dyDescent="0.2">
      <c r="D69" s="7"/>
    </row>
    <row r="70" spans="1:9" x14ac:dyDescent="0.2">
      <c r="A70" s="391" t="s">
        <v>0</v>
      </c>
      <c r="B70" s="391"/>
      <c r="C70" s="391"/>
      <c r="D70" s="391"/>
      <c r="E70" s="391"/>
      <c r="F70" s="391"/>
      <c r="G70" s="391"/>
      <c r="H70" s="391"/>
      <c r="I70" s="391"/>
    </row>
    <row r="71" spans="1:9" x14ac:dyDescent="0.2">
      <c r="A71" s="391"/>
      <c r="B71" s="391"/>
      <c r="C71" s="391"/>
      <c r="D71" s="391"/>
      <c r="E71" s="391"/>
      <c r="F71" s="391"/>
      <c r="G71" s="391"/>
      <c r="H71" s="391"/>
      <c r="I71" s="391"/>
    </row>
    <row r="72" spans="1:9" x14ac:dyDescent="0.2">
      <c r="D72" s="389" t="s">
        <v>2</v>
      </c>
      <c r="E72" s="390"/>
      <c r="F72" s="390"/>
      <c r="G72" s="390"/>
      <c r="H72" s="390"/>
      <c r="I72" s="390"/>
    </row>
    <row r="74" spans="1:9" x14ac:dyDescent="0.2">
      <c r="A74" s="391" t="s">
        <v>1</v>
      </c>
      <c r="B74" s="391"/>
      <c r="C74" s="391"/>
      <c r="D74" s="391"/>
      <c r="E74" s="391"/>
      <c r="F74" s="391"/>
      <c r="G74" s="391"/>
      <c r="H74" s="391"/>
      <c r="I74" s="391"/>
    </row>
    <row r="75" spans="1:9" x14ac:dyDescent="0.2">
      <c r="A75" s="391"/>
      <c r="B75" s="391"/>
      <c r="C75" s="391"/>
      <c r="D75" s="391"/>
      <c r="E75" s="391"/>
      <c r="F75" s="391"/>
      <c r="G75" s="391"/>
      <c r="H75" s="391"/>
      <c r="I75" s="391"/>
    </row>
    <row r="76" spans="1:9" x14ac:dyDescent="0.2">
      <c r="D76" s="389" t="s">
        <v>2</v>
      </c>
      <c r="E76" s="390"/>
      <c r="F76" s="390"/>
      <c r="G76" s="390"/>
      <c r="H76" s="390"/>
      <c r="I76" s="390"/>
    </row>
    <row r="78" spans="1:9" x14ac:dyDescent="0.2">
      <c r="A78" s="391" t="s">
        <v>5</v>
      </c>
      <c r="B78" s="391"/>
      <c r="C78" s="391"/>
      <c r="D78" s="391"/>
      <c r="E78" s="391"/>
      <c r="F78" s="391"/>
      <c r="G78" s="6" t="s">
        <v>7</v>
      </c>
      <c r="H78" s="391"/>
      <c r="I78" s="391"/>
    </row>
    <row r="79" spans="1:9" x14ac:dyDescent="0.2">
      <c r="D79" s="389" t="s">
        <v>40</v>
      </c>
      <c r="E79" s="390"/>
      <c r="F79" s="390"/>
      <c r="H79" s="389" t="s">
        <v>2</v>
      </c>
      <c r="I79" s="390"/>
    </row>
    <row r="81" spans="1:9" x14ac:dyDescent="0.2">
      <c r="A81" s="391" t="s">
        <v>3</v>
      </c>
      <c r="B81" s="391"/>
      <c r="C81" s="391"/>
      <c r="D81" s="391"/>
      <c r="E81" s="391"/>
      <c r="F81" s="391"/>
      <c r="G81" s="391"/>
      <c r="H81" s="391"/>
      <c r="I81" s="391"/>
    </row>
    <row r="82" spans="1:9" x14ac:dyDescent="0.2">
      <c r="D82" s="389" t="s">
        <v>6</v>
      </c>
      <c r="E82" s="390"/>
      <c r="F82" s="390"/>
      <c r="G82" s="390"/>
      <c r="H82" s="390"/>
      <c r="I82" s="390"/>
    </row>
  </sheetData>
  <mergeCells count="135">
    <mergeCell ref="A81:C81"/>
    <mergeCell ref="D81:I81"/>
    <mergeCell ref="D82:I82"/>
    <mergeCell ref="D76:I76"/>
    <mergeCell ref="A78:C78"/>
    <mergeCell ref="D78:F78"/>
    <mergeCell ref="H78:I78"/>
    <mergeCell ref="D79:F79"/>
    <mergeCell ref="H79:I79"/>
    <mergeCell ref="A68:C68"/>
    <mergeCell ref="D68:I68"/>
    <mergeCell ref="A70:C71"/>
    <mergeCell ref="D70:I71"/>
    <mergeCell ref="D72:I72"/>
    <mergeCell ref="A74:C75"/>
    <mergeCell ref="D74:I75"/>
    <mergeCell ref="B64:C64"/>
    <mergeCell ref="D64:G64"/>
    <mergeCell ref="B65:C65"/>
    <mergeCell ref="D65:G65"/>
    <mergeCell ref="B66:C66"/>
    <mergeCell ref="D66:G66"/>
    <mergeCell ref="B62:C62"/>
    <mergeCell ref="D62:G62"/>
    <mergeCell ref="B63:C63"/>
    <mergeCell ref="D63:G63"/>
    <mergeCell ref="B58:C58"/>
    <mergeCell ref="D58:G58"/>
    <mergeCell ref="B59:C59"/>
    <mergeCell ref="D59:G59"/>
    <mergeCell ref="B60:C60"/>
    <mergeCell ref="D60:G60"/>
    <mergeCell ref="B55:C55"/>
    <mergeCell ref="D55:G55"/>
    <mergeCell ref="B56:C56"/>
    <mergeCell ref="D56:G56"/>
    <mergeCell ref="B57:C57"/>
    <mergeCell ref="D57:G57"/>
    <mergeCell ref="B52:C52"/>
    <mergeCell ref="D52:G52"/>
    <mergeCell ref="B61:C61"/>
    <mergeCell ref="D61:G61"/>
    <mergeCell ref="A53:A54"/>
    <mergeCell ref="B53:C54"/>
    <mergeCell ref="D53:G54"/>
    <mergeCell ref="H53:H54"/>
    <mergeCell ref="H48:H49"/>
    <mergeCell ref="I48:I49"/>
    <mergeCell ref="B50:C50"/>
    <mergeCell ref="D50:G50"/>
    <mergeCell ref="B51:C51"/>
    <mergeCell ref="D51:G51"/>
    <mergeCell ref="I53:I54"/>
    <mergeCell ref="B46:C46"/>
    <mergeCell ref="D46:G46"/>
    <mergeCell ref="B47:C47"/>
    <mergeCell ref="D47:G47"/>
    <mergeCell ref="A48:A49"/>
    <mergeCell ref="B48:C49"/>
    <mergeCell ref="D48:G49"/>
    <mergeCell ref="B43:C43"/>
    <mergeCell ref="D43:G43"/>
    <mergeCell ref="B44:C44"/>
    <mergeCell ref="D44:G44"/>
    <mergeCell ref="B45:C45"/>
    <mergeCell ref="D45:G45"/>
    <mergeCell ref="B40:C40"/>
    <mergeCell ref="D40:G40"/>
    <mergeCell ref="B41:C41"/>
    <mergeCell ref="D41:G41"/>
    <mergeCell ref="B42:C42"/>
    <mergeCell ref="D42:G42"/>
    <mergeCell ref="A37:A38"/>
    <mergeCell ref="B37:C38"/>
    <mergeCell ref="D37:G38"/>
    <mergeCell ref="H37:H38"/>
    <mergeCell ref="I37:I38"/>
    <mergeCell ref="B39:C39"/>
    <mergeCell ref="D39:G39"/>
    <mergeCell ref="B34:C34"/>
    <mergeCell ref="D34:G34"/>
    <mergeCell ref="B35:C35"/>
    <mergeCell ref="D35:G35"/>
    <mergeCell ref="B36:C36"/>
    <mergeCell ref="D36:G36"/>
    <mergeCell ref="A31:A32"/>
    <mergeCell ref="B31:C32"/>
    <mergeCell ref="D31:G32"/>
    <mergeCell ref="B24:C24"/>
    <mergeCell ref="D24:G24"/>
    <mergeCell ref="H31:H32"/>
    <mergeCell ref="I31:I32"/>
    <mergeCell ref="B33:C33"/>
    <mergeCell ref="D33:G33"/>
    <mergeCell ref="B28:C28"/>
    <mergeCell ref="D28:G28"/>
    <mergeCell ref="B29:C29"/>
    <mergeCell ref="D29:G29"/>
    <mergeCell ref="B30:C30"/>
    <mergeCell ref="D30:G30"/>
    <mergeCell ref="B25:C25"/>
    <mergeCell ref="D25:G25"/>
    <mergeCell ref="B18:C18"/>
    <mergeCell ref="D18:G18"/>
    <mergeCell ref="B26:C26"/>
    <mergeCell ref="D26:G26"/>
    <mergeCell ref="B27:C27"/>
    <mergeCell ref="D27:G27"/>
    <mergeCell ref="A22:A23"/>
    <mergeCell ref="B22:C23"/>
    <mergeCell ref="D22:G23"/>
    <mergeCell ref="A8:I8"/>
    <mergeCell ref="A10:C10"/>
    <mergeCell ref="D10:I10"/>
    <mergeCell ref="A12:C12"/>
    <mergeCell ref="D12:I12"/>
    <mergeCell ref="A14:I14"/>
    <mergeCell ref="H22:H23"/>
    <mergeCell ref="I22:I23"/>
    <mergeCell ref="A1:C1"/>
    <mergeCell ref="D1:I1"/>
    <mergeCell ref="A3:I3"/>
    <mergeCell ref="A4:I4"/>
    <mergeCell ref="A6:B6"/>
    <mergeCell ref="C6:I6"/>
    <mergeCell ref="B16:C16"/>
    <mergeCell ref="D16:G16"/>
    <mergeCell ref="B17:C17"/>
    <mergeCell ref="D17:G17"/>
    <mergeCell ref="B19:C19"/>
    <mergeCell ref="D19:G19"/>
    <mergeCell ref="B20:C20"/>
    <mergeCell ref="D20:G20"/>
    <mergeCell ref="B21:C21"/>
    <mergeCell ref="D21:G21"/>
  </mergeCells>
  <pageMargins left="0.39370078740157477" right="0.39370078740157477" top="0.74803149606299213" bottom="0.74803149606299213" header="0.31496062992125984" footer="0.31496062992125984"/>
  <pageSetup paperSize="9" scale="83" orientation="portrait" useFirstPageNumber="1" horizontalDpi="300" verticalDpi="300" r:id="rId1"/>
  <headerFooter alignWithMargins="0">
    <oddFooter>&amp;CСтраница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23">
    <tabColor rgb="FF92D050"/>
  </sheetPr>
  <dimension ref="A1:IV103"/>
  <sheetViews>
    <sheetView workbookViewId="0">
      <selection activeCell="B16" sqref="B16:D16"/>
    </sheetView>
  </sheetViews>
  <sheetFormatPr defaultColWidth="11.5703125" defaultRowHeight="12.75" x14ac:dyDescent="0.2"/>
  <cols>
    <col min="1" max="1" width="3.5703125" style="6" customWidth="1"/>
    <col min="2" max="2" width="26.5703125" style="6" customWidth="1"/>
    <col min="3" max="3" width="7.5703125" style="6" customWidth="1"/>
    <col min="4" max="4" width="4.85546875" style="6" customWidth="1"/>
    <col min="5" max="5" width="27.5703125" style="6" customWidth="1"/>
    <col min="6" max="6" width="14.42578125" style="6" customWidth="1"/>
    <col min="7" max="7" width="11.5703125" style="6" customWidth="1"/>
    <col min="8" max="256" width="11.5703125" style="5"/>
  </cols>
  <sheetData>
    <row r="1" spans="1:7" ht="51.2" customHeight="1" x14ac:dyDescent="0.2">
      <c r="A1" s="380" t="s">
        <v>270</v>
      </c>
      <c r="B1" s="380"/>
      <c r="C1" s="381" t="s">
        <v>271</v>
      </c>
      <c r="D1" s="381"/>
      <c r="E1" s="381"/>
      <c r="F1" s="381"/>
      <c r="G1" s="381"/>
    </row>
    <row r="2" spans="1:7" x14ac:dyDescent="0.2">
      <c r="A2" s="34"/>
      <c r="B2" s="34"/>
      <c r="C2" s="33"/>
      <c r="D2" s="33"/>
      <c r="E2" s="33"/>
      <c r="F2" s="33"/>
      <c r="G2" s="33"/>
    </row>
    <row r="3" spans="1:7" x14ac:dyDescent="0.2">
      <c r="A3" s="34"/>
      <c r="B3" s="34"/>
      <c r="C3" s="33"/>
      <c r="D3" s="33"/>
      <c r="E3" s="33"/>
      <c r="F3" s="33"/>
      <c r="G3" s="33"/>
    </row>
    <row r="4" spans="1:7" x14ac:dyDescent="0.2">
      <c r="B4" s="382" t="s">
        <v>316</v>
      </c>
      <c r="C4" s="382"/>
      <c r="D4" s="382"/>
      <c r="E4" s="382"/>
      <c r="F4" s="382"/>
    </row>
    <row r="5" spans="1:7" x14ac:dyDescent="0.2">
      <c r="B5" s="383" t="s">
        <v>272</v>
      </c>
      <c r="C5" s="383"/>
      <c r="D5" s="383"/>
      <c r="E5" s="383"/>
      <c r="F5" s="383"/>
    </row>
    <row r="6" spans="1:7" x14ac:dyDescent="0.2">
      <c r="C6" s="38"/>
      <c r="D6" s="38"/>
      <c r="E6" s="38"/>
    </row>
    <row r="7" spans="1:7" ht="75.599999999999994" customHeight="1" x14ac:dyDescent="0.2">
      <c r="A7" s="384" t="s">
        <v>273</v>
      </c>
      <c r="B7" s="384"/>
      <c r="C7" s="384"/>
      <c r="D7" s="388" t="s">
        <v>274</v>
      </c>
      <c r="E7" s="388"/>
      <c r="F7" s="388"/>
      <c r="G7" s="388"/>
    </row>
    <row r="8" spans="1:7" x14ac:dyDescent="0.2">
      <c r="A8" s="39"/>
      <c r="B8" s="39"/>
      <c r="C8" s="29"/>
      <c r="D8" s="40"/>
      <c r="E8" s="40"/>
      <c r="F8" s="40"/>
      <c r="G8" s="40"/>
    </row>
    <row r="9" spans="1:7" x14ac:dyDescent="0.2">
      <c r="A9" s="384" t="s">
        <v>275</v>
      </c>
      <c r="B9" s="384"/>
      <c r="C9" s="384"/>
      <c r="D9" s="388"/>
      <c r="E9" s="388"/>
      <c r="F9" s="388"/>
      <c r="G9" s="388"/>
    </row>
    <row r="10" spans="1:7" x14ac:dyDescent="0.2">
      <c r="D10" s="388"/>
      <c r="E10" s="388"/>
      <c r="F10" s="388"/>
      <c r="G10" s="388"/>
    </row>
    <row r="11" spans="1:7" ht="13.5" customHeight="1" x14ac:dyDescent="0.2">
      <c r="A11" s="384" t="s">
        <v>276</v>
      </c>
      <c r="B11" s="384"/>
      <c r="C11" s="384"/>
      <c r="D11" s="388" t="s">
        <v>9</v>
      </c>
      <c r="E11" s="388"/>
      <c r="F11" s="388"/>
      <c r="G11" s="388"/>
    </row>
    <row r="12" spans="1:7" ht="12" customHeight="1" x14ac:dyDescent="0.2">
      <c r="A12" s="29"/>
      <c r="B12" s="29"/>
      <c r="D12" s="388"/>
      <c r="E12" s="388"/>
      <c r="F12" s="388"/>
      <c r="G12" s="388"/>
    </row>
    <row r="13" spans="1:7" ht="51" customHeight="1" x14ac:dyDescent="0.2">
      <c r="A13" s="384" t="s">
        <v>317</v>
      </c>
      <c r="B13" s="386"/>
      <c r="C13" s="386"/>
      <c r="D13" s="386"/>
      <c r="E13" s="386"/>
      <c r="F13" s="386"/>
      <c r="G13" s="386"/>
    </row>
    <row r="14" spans="1:7" ht="12.75" customHeight="1" x14ac:dyDescent="0.2">
      <c r="A14" s="7"/>
      <c r="B14" s="8"/>
      <c r="C14" s="8"/>
      <c r="D14" s="8"/>
      <c r="E14" s="8"/>
      <c r="F14" s="8"/>
      <c r="G14" s="8"/>
    </row>
    <row r="15" spans="1:7" ht="12.75" customHeight="1" x14ac:dyDescent="0.2">
      <c r="A15" s="478" t="s">
        <v>318</v>
      </c>
      <c r="B15" s="478"/>
      <c r="C15" s="478"/>
      <c r="D15" s="478"/>
      <c r="E15" s="478"/>
      <c r="F15" s="478"/>
      <c r="G15" s="478"/>
    </row>
    <row r="16" spans="1:7" ht="32.25" customHeight="1" x14ac:dyDescent="0.2">
      <c r="A16" s="41" t="s">
        <v>49</v>
      </c>
      <c r="B16" s="468" t="s">
        <v>278</v>
      </c>
      <c r="C16" s="469"/>
      <c r="D16" s="470"/>
      <c r="E16" s="41" t="s">
        <v>279</v>
      </c>
      <c r="F16" s="41" t="s">
        <v>46</v>
      </c>
      <c r="G16" s="41" t="s">
        <v>280</v>
      </c>
    </row>
    <row r="17" spans="1:7" x14ac:dyDescent="0.2">
      <c r="A17" s="26">
        <v>1</v>
      </c>
      <c r="B17" s="471">
        <v>2</v>
      </c>
      <c r="C17" s="472"/>
      <c r="D17" s="473"/>
      <c r="E17" s="25">
        <v>3</v>
      </c>
      <c r="F17" s="25">
        <v>4</v>
      </c>
      <c r="G17" s="25">
        <v>5</v>
      </c>
    </row>
    <row r="18" spans="1:7" ht="12.95" customHeight="1" x14ac:dyDescent="0.2">
      <c r="A18" s="11" t="s">
        <v>10</v>
      </c>
      <c r="B18" s="474" t="s">
        <v>78</v>
      </c>
      <c r="C18" s="475"/>
      <c r="D18" s="476"/>
      <c r="E18" s="10" t="s">
        <v>281</v>
      </c>
      <c r="F18" s="10"/>
      <c r="G18" s="35"/>
    </row>
    <row r="19" spans="1:7" ht="200.1" customHeight="1" x14ac:dyDescent="0.2">
      <c r="A19" s="42" t="s">
        <v>88</v>
      </c>
      <c r="B19" s="413" t="s">
        <v>319</v>
      </c>
      <c r="C19" s="477"/>
      <c r="D19" s="414"/>
      <c r="E19" s="43" t="s">
        <v>320</v>
      </c>
      <c r="F19" s="43" t="s">
        <v>321</v>
      </c>
      <c r="G19" s="44">
        <f>ROUND(27  * 4.6,0)</f>
        <v>124</v>
      </c>
    </row>
    <row r="20" spans="1:7" ht="15.95" customHeight="1" x14ac:dyDescent="0.2">
      <c r="A20" s="19" t="s">
        <v>39</v>
      </c>
      <c r="B20" s="423"/>
      <c r="C20" s="418"/>
      <c r="D20" s="424"/>
      <c r="E20" s="21" t="s">
        <v>45</v>
      </c>
      <c r="F20" s="21"/>
      <c r="G20" s="20"/>
    </row>
    <row r="21" spans="1:7" ht="12.95" customHeight="1" x14ac:dyDescent="0.2">
      <c r="A21" s="19" t="s">
        <v>39</v>
      </c>
      <c r="B21" s="421"/>
      <c r="C21" s="384"/>
      <c r="D21" s="422"/>
      <c r="E21" s="18" t="s">
        <v>282</v>
      </c>
      <c r="F21" s="18"/>
      <c r="G21" s="17"/>
    </row>
    <row r="22" spans="1:7" ht="24.95" customHeight="1" x14ac:dyDescent="0.2">
      <c r="A22" s="16" t="s">
        <v>39</v>
      </c>
      <c r="B22" s="427"/>
      <c r="C22" s="429"/>
      <c r="D22" s="428"/>
      <c r="E22" s="15" t="s">
        <v>283</v>
      </c>
      <c r="F22" s="15" t="s">
        <v>284</v>
      </c>
      <c r="G22" s="14"/>
    </row>
    <row r="23" spans="1:7" ht="125.1" customHeight="1" x14ac:dyDescent="0.2">
      <c r="A23" s="42" t="s">
        <v>85</v>
      </c>
      <c r="B23" s="413" t="s">
        <v>322</v>
      </c>
      <c r="C23" s="477"/>
      <c r="D23" s="414"/>
      <c r="E23" s="43" t="s">
        <v>323</v>
      </c>
      <c r="F23" s="43" t="s">
        <v>324</v>
      </c>
      <c r="G23" s="44">
        <f>ROUND(14.4  * 12,0)</f>
        <v>173</v>
      </c>
    </row>
    <row r="24" spans="1:7" ht="15.95" customHeight="1" x14ac:dyDescent="0.2">
      <c r="A24" s="19" t="s">
        <v>39</v>
      </c>
      <c r="B24" s="423"/>
      <c r="C24" s="418"/>
      <c r="D24" s="424"/>
      <c r="E24" s="21" t="s">
        <v>45</v>
      </c>
      <c r="F24" s="21"/>
      <c r="G24" s="20"/>
    </row>
    <row r="25" spans="1:7" ht="12.95" customHeight="1" x14ac:dyDescent="0.2">
      <c r="A25" s="19" t="s">
        <v>39</v>
      </c>
      <c r="B25" s="421"/>
      <c r="C25" s="384"/>
      <c r="D25" s="422"/>
      <c r="E25" s="18" t="s">
        <v>282</v>
      </c>
      <c r="F25" s="18"/>
      <c r="G25" s="17"/>
    </row>
    <row r="26" spans="1:7" ht="24.95" customHeight="1" x14ac:dyDescent="0.2">
      <c r="A26" s="16" t="s">
        <v>39</v>
      </c>
      <c r="B26" s="427"/>
      <c r="C26" s="429"/>
      <c r="D26" s="428"/>
      <c r="E26" s="15" t="s">
        <v>283</v>
      </c>
      <c r="F26" s="15" t="s">
        <v>284</v>
      </c>
      <c r="G26" s="14"/>
    </row>
    <row r="27" spans="1:7" ht="137.44999999999999" customHeight="1" x14ac:dyDescent="0.2">
      <c r="A27" s="42" t="s">
        <v>83</v>
      </c>
      <c r="B27" s="413" t="s">
        <v>325</v>
      </c>
      <c r="C27" s="477"/>
      <c r="D27" s="414"/>
      <c r="E27" s="43" t="s">
        <v>326</v>
      </c>
      <c r="F27" s="43" t="s">
        <v>327</v>
      </c>
      <c r="G27" s="44">
        <f>ROUND(29.2  * 90,0)</f>
        <v>2628</v>
      </c>
    </row>
    <row r="28" spans="1:7" ht="15.95" customHeight="1" x14ac:dyDescent="0.2">
      <c r="A28" s="19" t="s">
        <v>39</v>
      </c>
      <c r="B28" s="423"/>
      <c r="C28" s="418"/>
      <c r="D28" s="424"/>
      <c r="E28" s="21" t="s">
        <v>45</v>
      </c>
      <c r="F28" s="21"/>
      <c r="G28" s="20"/>
    </row>
    <row r="29" spans="1:7" ht="12.95" customHeight="1" x14ac:dyDescent="0.2">
      <c r="A29" s="19" t="s">
        <v>39</v>
      </c>
      <c r="B29" s="421"/>
      <c r="C29" s="384"/>
      <c r="D29" s="422"/>
      <c r="E29" s="18" t="s">
        <v>282</v>
      </c>
      <c r="F29" s="18"/>
      <c r="G29" s="17"/>
    </row>
    <row r="30" spans="1:7" ht="24.95" customHeight="1" x14ac:dyDescent="0.2">
      <c r="A30" s="16" t="s">
        <v>39</v>
      </c>
      <c r="B30" s="427"/>
      <c r="C30" s="429"/>
      <c r="D30" s="428"/>
      <c r="E30" s="15" t="s">
        <v>283</v>
      </c>
      <c r="F30" s="15" t="s">
        <v>284</v>
      </c>
      <c r="G30" s="14"/>
    </row>
    <row r="31" spans="1:7" ht="162.6" customHeight="1" x14ac:dyDescent="0.2">
      <c r="A31" s="42" t="s">
        <v>81</v>
      </c>
      <c r="B31" s="413" t="s">
        <v>328</v>
      </c>
      <c r="C31" s="477"/>
      <c r="D31" s="414"/>
      <c r="E31" s="43" t="s">
        <v>329</v>
      </c>
      <c r="F31" s="43" t="s">
        <v>330</v>
      </c>
      <c r="G31" s="44">
        <f>ROUND(22.9  * 26,0)</f>
        <v>595</v>
      </c>
    </row>
    <row r="32" spans="1:7" ht="15.95" customHeight="1" x14ac:dyDescent="0.2">
      <c r="A32" s="19" t="s">
        <v>39</v>
      </c>
      <c r="B32" s="423"/>
      <c r="C32" s="418"/>
      <c r="D32" s="424"/>
      <c r="E32" s="21" t="s">
        <v>45</v>
      </c>
      <c r="F32" s="21"/>
      <c r="G32" s="20"/>
    </row>
    <row r="33" spans="1:7" ht="12.95" customHeight="1" x14ac:dyDescent="0.2">
      <c r="A33" s="19" t="s">
        <v>39</v>
      </c>
      <c r="B33" s="421"/>
      <c r="C33" s="384"/>
      <c r="D33" s="422"/>
      <c r="E33" s="18" t="s">
        <v>282</v>
      </c>
      <c r="F33" s="18"/>
      <c r="G33" s="17"/>
    </row>
    <row r="34" spans="1:7" ht="24.95" customHeight="1" x14ac:dyDescent="0.2">
      <c r="A34" s="16" t="s">
        <v>39</v>
      </c>
      <c r="B34" s="427"/>
      <c r="C34" s="429"/>
      <c r="D34" s="428"/>
      <c r="E34" s="15" t="s">
        <v>283</v>
      </c>
      <c r="F34" s="15" t="s">
        <v>284</v>
      </c>
      <c r="G34" s="14"/>
    </row>
    <row r="35" spans="1:7" ht="225" customHeight="1" x14ac:dyDescent="0.2">
      <c r="A35" s="42" t="s">
        <v>167</v>
      </c>
      <c r="B35" s="413" t="s">
        <v>331</v>
      </c>
      <c r="C35" s="477"/>
      <c r="D35" s="414"/>
      <c r="E35" s="43" t="s">
        <v>332</v>
      </c>
      <c r="F35" s="43" t="s">
        <v>333</v>
      </c>
      <c r="G35" s="44">
        <f>ROUND(6.9  * 6,0)</f>
        <v>41</v>
      </c>
    </row>
    <row r="36" spans="1:7" ht="15.95" customHeight="1" x14ac:dyDescent="0.2">
      <c r="A36" s="19" t="s">
        <v>39</v>
      </c>
      <c r="B36" s="423"/>
      <c r="C36" s="418"/>
      <c r="D36" s="424"/>
      <c r="E36" s="21" t="s">
        <v>45</v>
      </c>
      <c r="F36" s="21"/>
      <c r="G36" s="20"/>
    </row>
    <row r="37" spans="1:7" ht="12.95" customHeight="1" x14ac:dyDescent="0.2">
      <c r="A37" s="19" t="s">
        <v>39</v>
      </c>
      <c r="B37" s="421"/>
      <c r="C37" s="384"/>
      <c r="D37" s="422"/>
      <c r="E37" s="18" t="s">
        <v>282</v>
      </c>
      <c r="F37" s="18"/>
      <c r="G37" s="17"/>
    </row>
    <row r="38" spans="1:7" ht="24.95" customHeight="1" x14ac:dyDescent="0.2">
      <c r="A38" s="16" t="s">
        <v>39</v>
      </c>
      <c r="B38" s="427"/>
      <c r="C38" s="429"/>
      <c r="D38" s="428"/>
      <c r="E38" s="15" t="s">
        <v>283</v>
      </c>
      <c r="F38" s="15" t="s">
        <v>284</v>
      </c>
      <c r="G38" s="14"/>
    </row>
    <row r="39" spans="1:7" ht="212.45" customHeight="1" x14ac:dyDescent="0.2">
      <c r="A39" s="439" t="s">
        <v>166</v>
      </c>
      <c r="B39" s="413" t="s">
        <v>334</v>
      </c>
      <c r="C39" s="477"/>
      <c r="D39" s="414"/>
      <c r="E39" s="430" t="s">
        <v>335</v>
      </c>
      <c r="F39" s="430" t="s">
        <v>336</v>
      </c>
      <c r="G39" s="432">
        <f>ROUND(4.6  * 3,0)</f>
        <v>14</v>
      </c>
    </row>
    <row r="40" spans="1:7" ht="12.6" customHeight="1" x14ac:dyDescent="0.2">
      <c r="A40" s="440"/>
      <c r="B40" s="423"/>
      <c r="C40" s="418"/>
      <c r="D40" s="424"/>
      <c r="E40" s="431"/>
      <c r="F40" s="431"/>
      <c r="G40" s="433"/>
    </row>
    <row r="41" spans="1:7" ht="15.95" customHeight="1" x14ac:dyDescent="0.2">
      <c r="A41" s="19" t="s">
        <v>39</v>
      </c>
      <c r="B41" s="423"/>
      <c r="C41" s="418"/>
      <c r="D41" s="424"/>
      <c r="E41" s="21" t="s">
        <v>45</v>
      </c>
      <c r="F41" s="21"/>
      <c r="G41" s="20"/>
    </row>
    <row r="42" spans="1:7" ht="12.95" customHeight="1" x14ac:dyDescent="0.2">
      <c r="A42" s="19" t="s">
        <v>39</v>
      </c>
      <c r="B42" s="421"/>
      <c r="C42" s="384"/>
      <c r="D42" s="422"/>
      <c r="E42" s="18" t="s">
        <v>282</v>
      </c>
      <c r="F42" s="18"/>
      <c r="G42" s="17"/>
    </row>
    <row r="43" spans="1:7" ht="24.95" customHeight="1" x14ac:dyDescent="0.2">
      <c r="A43" s="16" t="s">
        <v>39</v>
      </c>
      <c r="B43" s="427"/>
      <c r="C43" s="429"/>
      <c r="D43" s="428"/>
      <c r="E43" s="15" t="s">
        <v>283</v>
      </c>
      <c r="F43" s="15" t="s">
        <v>284</v>
      </c>
      <c r="G43" s="14"/>
    </row>
    <row r="44" spans="1:7" ht="137.44999999999999" customHeight="1" x14ac:dyDescent="0.2">
      <c r="A44" s="42" t="s">
        <v>337</v>
      </c>
      <c r="B44" s="413" t="s">
        <v>338</v>
      </c>
      <c r="C44" s="477"/>
      <c r="D44" s="414"/>
      <c r="E44" s="43" t="s">
        <v>339</v>
      </c>
      <c r="F44" s="43" t="s">
        <v>340</v>
      </c>
      <c r="G44" s="44">
        <f>ROUND(128.3  * 6,0)</f>
        <v>770</v>
      </c>
    </row>
    <row r="45" spans="1:7" ht="15.95" customHeight="1" x14ac:dyDescent="0.2">
      <c r="A45" s="19" t="s">
        <v>39</v>
      </c>
      <c r="B45" s="423"/>
      <c r="C45" s="418"/>
      <c r="D45" s="424"/>
      <c r="E45" s="21" t="s">
        <v>45</v>
      </c>
      <c r="F45" s="21"/>
      <c r="G45" s="20"/>
    </row>
    <row r="46" spans="1:7" ht="12.95" customHeight="1" x14ac:dyDescent="0.2">
      <c r="A46" s="19" t="s">
        <v>39</v>
      </c>
      <c r="B46" s="421"/>
      <c r="C46" s="384"/>
      <c r="D46" s="422"/>
      <c r="E46" s="18" t="s">
        <v>282</v>
      </c>
      <c r="F46" s="18"/>
      <c r="G46" s="17"/>
    </row>
    <row r="47" spans="1:7" ht="24.95" customHeight="1" x14ac:dyDescent="0.2">
      <c r="A47" s="16" t="s">
        <v>39</v>
      </c>
      <c r="B47" s="427"/>
      <c r="C47" s="429"/>
      <c r="D47" s="428"/>
      <c r="E47" s="15" t="s">
        <v>283</v>
      </c>
      <c r="F47" s="15" t="s">
        <v>284</v>
      </c>
      <c r="G47" s="14"/>
    </row>
    <row r="48" spans="1:7" ht="12.95" customHeight="1" x14ac:dyDescent="0.2">
      <c r="A48" s="45" t="s">
        <v>341</v>
      </c>
      <c r="B48" s="395" t="s">
        <v>285</v>
      </c>
      <c r="C48" s="397"/>
      <c r="D48" s="396"/>
      <c r="E48" s="46"/>
      <c r="F48" s="46"/>
      <c r="G48" s="47">
        <f>ROUND((SUM($G$19:$G$44)),0)</f>
        <v>4345</v>
      </c>
    </row>
    <row r="49" spans="1:7" ht="12.95" customHeight="1" x14ac:dyDescent="0.2">
      <c r="A49" s="45" t="s">
        <v>342</v>
      </c>
      <c r="B49" s="395" t="s">
        <v>286</v>
      </c>
      <c r="C49" s="397"/>
      <c r="D49" s="396"/>
      <c r="E49" s="46"/>
      <c r="F49" s="46" t="s">
        <v>343</v>
      </c>
      <c r="G49" s="47">
        <f>ROUND(($G$48),0)</f>
        <v>4345</v>
      </c>
    </row>
    <row r="50" spans="1:7" ht="12.95" customHeight="1" x14ac:dyDescent="0.2">
      <c r="A50" s="45" t="s">
        <v>11</v>
      </c>
      <c r="B50" s="395" t="s">
        <v>78</v>
      </c>
      <c r="C50" s="397"/>
      <c r="D50" s="396"/>
      <c r="E50" s="46" t="s">
        <v>287</v>
      </c>
      <c r="F50" s="46"/>
      <c r="G50" s="48"/>
    </row>
    <row r="51" spans="1:7" ht="247.5" customHeight="1" x14ac:dyDescent="0.2">
      <c r="A51" s="439" t="s">
        <v>76</v>
      </c>
      <c r="B51" s="413" t="s">
        <v>344</v>
      </c>
      <c r="C51" s="477"/>
      <c r="D51" s="414"/>
      <c r="E51" s="430" t="s">
        <v>345</v>
      </c>
      <c r="F51" s="430" t="s">
        <v>346</v>
      </c>
      <c r="G51" s="432">
        <f>ROUND(353.6  * 22,0)</f>
        <v>7779</v>
      </c>
    </row>
    <row r="52" spans="1:7" ht="12.6" hidden="1" customHeight="1" x14ac:dyDescent="0.2">
      <c r="A52" s="440"/>
      <c r="B52" s="423"/>
      <c r="C52" s="418"/>
      <c r="D52" s="424"/>
      <c r="E52" s="431"/>
      <c r="F52" s="431"/>
      <c r="G52" s="433"/>
    </row>
    <row r="53" spans="1:7" ht="12.6" customHeight="1" x14ac:dyDescent="0.2">
      <c r="A53" s="440"/>
      <c r="B53" s="423"/>
      <c r="C53" s="418"/>
      <c r="D53" s="424"/>
      <c r="E53" s="431"/>
      <c r="F53" s="431"/>
      <c r="G53" s="433"/>
    </row>
    <row r="54" spans="1:7" ht="15.95" customHeight="1" x14ac:dyDescent="0.2">
      <c r="A54" s="19" t="s">
        <v>39</v>
      </c>
      <c r="B54" s="423"/>
      <c r="C54" s="418"/>
      <c r="D54" s="424"/>
      <c r="E54" s="21" t="s">
        <v>45</v>
      </c>
      <c r="F54" s="21"/>
      <c r="G54" s="20"/>
    </row>
    <row r="55" spans="1:7" ht="12.95" customHeight="1" x14ac:dyDescent="0.2">
      <c r="A55" s="19" t="s">
        <v>39</v>
      </c>
      <c r="B55" s="421"/>
      <c r="C55" s="384"/>
      <c r="D55" s="422"/>
      <c r="E55" s="18" t="s">
        <v>282</v>
      </c>
      <c r="F55" s="18"/>
      <c r="G55" s="17"/>
    </row>
    <row r="56" spans="1:7" ht="24.95" customHeight="1" x14ac:dyDescent="0.2">
      <c r="A56" s="16" t="s">
        <v>39</v>
      </c>
      <c r="B56" s="427"/>
      <c r="C56" s="429"/>
      <c r="D56" s="428"/>
      <c r="E56" s="15" t="s">
        <v>283</v>
      </c>
      <c r="F56" s="15" t="s">
        <v>284</v>
      </c>
      <c r="G56" s="14"/>
    </row>
    <row r="57" spans="1:7" ht="187.5" customHeight="1" x14ac:dyDescent="0.2">
      <c r="A57" s="42" t="s">
        <v>75</v>
      </c>
      <c r="B57" s="413" t="s">
        <v>347</v>
      </c>
      <c r="C57" s="477"/>
      <c r="D57" s="414"/>
      <c r="E57" s="43" t="s">
        <v>348</v>
      </c>
      <c r="F57" s="43" t="s">
        <v>349</v>
      </c>
      <c r="G57" s="44">
        <f>ROUND(8.7  * 15,0)</f>
        <v>131</v>
      </c>
    </row>
    <row r="58" spans="1:7" ht="15.95" customHeight="1" x14ac:dyDescent="0.2">
      <c r="A58" s="19" t="s">
        <v>39</v>
      </c>
      <c r="B58" s="423"/>
      <c r="C58" s="418"/>
      <c r="D58" s="424"/>
      <c r="E58" s="21" t="s">
        <v>45</v>
      </c>
      <c r="F58" s="21"/>
      <c r="G58" s="20"/>
    </row>
    <row r="59" spans="1:7" ht="12.95" customHeight="1" x14ac:dyDescent="0.2">
      <c r="A59" s="19" t="s">
        <v>39</v>
      </c>
      <c r="B59" s="421"/>
      <c r="C59" s="384"/>
      <c r="D59" s="422"/>
      <c r="E59" s="18" t="s">
        <v>282</v>
      </c>
      <c r="F59" s="18"/>
      <c r="G59" s="17"/>
    </row>
    <row r="60" spans="1:7" ht="24.95" customHeight="1" x14ac:dyDescent="0.2">
      <c r="A60" s="16" t="s">
        <v>39</v>
      </c>
      <c r="B60" s="427"/>
      <c r="C60" s="429"/>
      <c r="D60" s="428"/>
      <c r="E60" s="15" t="s">
        <v>283</v>
      </c>
      <c r="F60" s="15" t="s">
        <v>284</v>
      </c>
      <c r="G60" s="14"/>
    </row>
    <row r="61" spans="1:7" ht="187.5" customHeight="1" x14ac:dyDescent="0.2">
      <c r="A61" s="42" t="s">
        <v>73</v>
      </c>
      <c r="B61" s="413" t="s">
        <v>350</v>
      </c>
      <c r="C61" s="477"/>
      <c r="D61" s="414"/>
      <c r="E61" s="43" t="s">
        <v>351</v>
      </c>
      <c r="F61" s="43" t="s">
        <v>352</v>
      </c>
      <c r="G61" s="44">
        <f>ROUND(13.7  * 4,0)</f>
        <v>55</v>
      </c>
    </row>
    <row r="62" spans="1:7" ht="15.95" customHeight="1" x14ac:dyDescent="0.2">
      <c r="A62" s="19" t="s">
        <v>39</v>
      </c>
      <c r="B62" s="423"/>
      <c r="C62" s="418"/>
      <c r="D62" s="424"/>
      <c r="E62" s="21" t="s">
        <v>45</v>
      </c>
      <c r="F62" s="21"/>
      <c r="G62" s="20"/>
    </row>
    <row r="63" spans="1:7" ht="12.95" customHeight="1" x14ac:dyDescent="0.2">
      <c r="A63" s="19" t="s">
        <v>39</v>
      </c>
      <c r="B63" s="421"/>
      <c r="C63" s="384"/>
      <c r="D63" s="422"/>
      <c r="E63" s="18" t="s">
        <v>282</v>
      </c>
      <c r="F63" s="18"/>
      <c r="G63" s="17"/>
    </row>
    <row r="64" spans="1:7" ht="24.95" customHeight="1" x14ac:dyDescent="0.2">
      <c r="A64" s="16" t="s">
        <v>39</v>
      </c>
      <c r="B64" s="427"/>
      <c r="C64" s="429"/>
      <c r="D64" s="428"/>
      <c r="E64" s="15" t="s">
        <v>283</v>
      </c>
      <c r="F64" s="15" t="s">
        <v>284</v>
      </c>
      <c r="G64" s="14"/>
    </row>
    <row r="65" spans="1:7" ht="162.6" customHeight="1" x14ac:dyDescent="0.2">
      <c r="A65" s="439" t="s">
        <v>353</v>
      </c>
      <c r="B65" s="413" t="s">
        <v>354</v>
      </c>
      <c r="C65" s="477"/>
      <c r="D65" s="414"/>
      <c r="E65" s="430" t="s">
        <v>355</v>
      </c>
      <c r="F65" s="430" t="s">
        <v>356</v>
      </c>
      <c r="G65" s="432">
        <f>ROUND(1.9  * 2,0)</f>
        <v>4</v>
      </c>
    </row>
    <row r="66" spans="1:7" ht="12.6" customHeight="1" x14ac:dyDescent="0.2">
      <c r="A66" s="440"/>
      <c r="B66" s="423"/>
      <c r="C66" s="418"/>
      <c r="D66" s="424"/>
      <c r="E66" s="431"/>
      <c r="F66" s="431"/>
      <c r="G66" s="433"/>
    </row>
    <row r="67" spans="1:7" ht="15.95" customHeight="1" x14ac:dyDescent="0.2">
      <c r="A67" s="19" t="s">
        <v>39</v>
      </c>
      <c r="B67" s="423"/>
      <c r="C67" s="418"/>
      <c r="D67" s="424"/>
      <c r="E67" s="21" t="s">
        <v>45</v>
      </c>
      <c r="F67" s="21"/>
      <c r="G67" s="20"/>
    </row>
    <row r="68" spans="1:7" ht="12.95" customHeight="1" x14ac:dyDescent="0.2">
      <c r="A68" s="19" t="s">
        <v>39</v>
      </c>
      <c r="B68" s="421"/>
      <c r="C68" s="384"/>
      <c r="D68" s="422"/>
      <c r="E68" s="18" t="s">
        <v>282</v>
      </c>
      <c r="F68" s="18"/>
      <c r="G68" s="17"/>
    </row>
    <row r="69" spans="1:7" ht="24.95" customHeight="1" x14ac:dyDescent="0.2">
      <c r="A69" s="16" t="s">
        <v>39</v>
      </c>
      <c r="B69" s="427"/>
      <c r="C69" s="429"/>
      <c r="D69" s="428"/>
      <c r="E69" s="15" t="s">
        <v>283</v>
      </c>
      <c r="F69" s="15" t="s">
        <v>284</v>
      </c>
      <c r="G69" s="14"/>
    </row>
    <row r="70" spans="1:7" ht="112.5" customHeight="1" x14ac:dyDescent="0.2">
      <c r="A70" s="42" t="s">
        <v>357</v>
      </c>
      <c r="B70" s="413" t="s">
        <v>358</v>
      </c>
      <c r="C70" s="477"/>
      <c r="D70" s="414"/>
      <c r="E70" s="43" t="s">
        <v>359</v>
      </c>
      <c r="F70" s="43" t="s">
        <v>360</v>
      </c>
      <c r="G70" s="44">
        <f>ROUND(1  * 3,0)</f>
        <v>3</v>
      </c>
    </row>
    <row r="71" spans="1:7" ht="15.95" customHeight="1" x14ac:dyDescent="0.2">
      <c r="A71" s="19" t="s">
        <v>39</v>
      </c>
      <c r="B71" s="423"/>
      <c r="C71" s="418"/>
      <c r="D71" s="424"/>
      <c r="E71" s="21" t="s">
        <v>45</v>
      </c>
      <c r="F71" s="21"/>
      <c r="G71" s="20"/>
    </row>
    <row r="72" spans="1:7" ht="12.95" customHeight="1" x14ac:dyDescent="0.2">
      <c r="A72" s="19" t="s">
        <v>39</v>
      </c>
      <c r="B72" s="421"/>
      <c r="C72" s="384"/>
      <c r="D72" s="422"/>
      <c r="E72" s="18" t="s">
        <v>282</v>
      </c>
      <c r="F72" s="18"/>
      <c r="G72" s="17"/>
    </row>
    <row r="73" spans="1:7" ht="24.95" customHeight="1" x14ac:dyDescent="0.2">
      <c r="A73" s="16" t="s">
        <v>39</v>
      </c>
      <c r="B73" s="427"/>
      <c r="C73" s="429"/>
      <c r="D73" s="428"/>
      <c r="E73" s="15" t="s">
        <v>283</v>
      </c>
      <c r="F73" s="15" t="s">
        <v>284</v>
      </c>
      <c r="G73" s="14"/>
    </row>
    <row r="74" spans="1:7" ht="174.95" customHeight="1" x14ac:dyDescent="0.2">
      <c r="A74" s="42" t="s">
        <v>361</v>
      </c>
      <c r="B74" s="413" t="s">
        <v>362</v>
      </c>
      <c r="C74" s="477"/>
      <c r="D74" s="414"/>
      <c r="E74" s="43" t="s">
        <v>363</v>
      </c>
      <c r="F74" s="43" t="s">
        <v>364</v>
      </c>
      <c r="G74" s="44">
        <f>ROUND(147.1  * 3,0)</f>
        <v>441</v>
      </c>
    </row>
    <row r="75" spans="1:7" ht="15.95" customHeight="1" x14ac:dyDescent="0.2">
      <c r="A75" s="19" t="s">
        <v>39</v>
      </c>
      <c r="B75" s="423"/>
      <c r="C75" s="418"/>
      <c r="D75" s="424"/>
      <c r="E75" s="21" t="s">
        <v>45</v>
      </c>
      <c r="F75" s="21"/>
      <c r="G75" s="20"/>
    </row>
    <row r="76" spans="1:7" ht="12.95" customHeight="1" x14ac:dyDescent="0.2">
      <c r="A76" s="19" t="s">
        <v>39</v>
      </c>
      <c r="B76" s="421"/>
      <c r="C76" s="384"/>
      <c r="D76" s="422"/>
      <c r="E76" s="18" t="s">
        <v>282</v>
      </c>
      <c r="F76" s="18"/>
      <c r="G76" s="17"/>
    </row>
    <row r="77" spans="1:7" ht="24.95" customHeight="1" x14ac:dyDescent="0.2">
      <c r="A77" s="16" t="s">
        <v>39</v>
      </c>
      <c r="B77" s="427"/>
      <c r="C77" s="429"/>
      <c r="D77" s="428"/>
      <c r="E77" s="15" t="s">
        <v>283</v>
      </c>
      <c r="F77" s="15" t="s">
        <v>284</v>
      </c>
      <c r="G77" s="14"/>
    </row>
    <row r="78" spans="1:7" ht="12.95" customHeight="1" x14ac:dyDescent="0.2">
      <c r="A78" s="45" t="s">
        <v>365</v>
      </c>
      <c r="B78" s="395" t="s">
        <v>288</v>
      </c>
      <c r="C78" s="397"/>
      <c r="D78" s="396"/>
      <c r="E78" s="46"/>
      <c r="F78" s="46"/>
      <c r="G78" s="47">
        <f>ROUND((SUM($G$51:$G$74)),0)</f>
        <v>8413</v>
      </c>
    </row>
    <row r="79" spans="1:7" ht="12.95" customHeight="1" x14ac:dyDescent="0.2">
      <c r="A79" s="45" t="s">
        <v>366</v>
      </c>
      <c r="B79" s="395" t="s">
        <v>289</v>
      </c>
      <c r="C79" s="397"/>
      <c r="D79" s="396"/>
      <c r="E79" s="46"/>
      <c r="F79" s="46" t="s">
        <v>367</v>
      </c>
      <c r="G79" s="47">
        <f>ROUND(($G$78),0)</f>
        <v>8413</v>
      </c>
    </row>
    <row r="80" spans="1:7" ht="12.95" customHeight="1" x14ac:dyDescent="0.2">
      <c r="A80" s="45" t="s">
        <v>13</v>
      </c>
      <c r="B80" s="395" t="s">
        <v>78</v>
      </c>
      <c r="C80" s="397"/>
      <c r="D80" s="396"/>
      <c r="E80" s="46" t="s">
        <v>291</v>
      </c>
      <c r="F80" s="46"/>
      <c r="G80" s="48"/>
    </row>
    <row r="81" spans="1:7" ht="200.1" customHeight="1" x14ac:dyDescent="0.2">
      <c r="A81" s="42" t="s">
        <v>292</v>
      </c>
      <c r="B81" s="413" t="s">
        <v>319</v>
      </c>
      <c r="C81" s="477"/>
      <c r="D81" s="414"/>
      <c r="E81" s="43" t="s">
        <v>368</v>
      </c>
      <c r="F81" s="43" t="s">
        <v>369</v>
      </c>
      <c r="G81" s="44">
        <f>ROUND(18.5  * 4.6,0)</f>
        <v>85</v>
      </c>
    </row>
    <row r="82" spans="1:7" ht="15.95" customHeight="1" x14ac:dyDescent="0.2">
      <c r="A82" s="19" t="s">
        <v>39</v>
      </c>
      <c r="B82" s="423"/>
      <c r="C82" s="418"/>
      <c r="D82" s="424"/>
      <c r="E82" s="21" t="s">
        <v>45</v>
      </c>
      <c r="F82" s="21"/>
      <c r="G82" s="20"/>
    </row>
    <row r="83" spans="1:7" ht="12.95" customHeight="1" x14ac:dyDescent="0.2">
      <c r="A83" s="19" t="s">
        <v>39</v>
      </c>
      <c r="B83" s="421"/>
      <c r="C83" s="384"/>
      <c r="D83" s="422"/>
      <c r="E83" s="18" t="s">
        <v>282</v>
      </c>
      <c r="F83" s="18"/>
      <c r="G83" s="17"/>
    </row>
    <row r="84" spans="1:7" ht="24.95" customHeight="1" x14ac:dyDescent="0.2">
      <c r="A84" s="16" t="s">
        <v>39</v>
      </c>
      <c r="B84" s="427"/>
      <c r="C84" s="429"/>
      <c r="D84" s="428"/>
      <c r="E84" s="15" t="s">
        <v>283</v>
      </c>
      <c r="F84" s="15" t="s">
        <v>284</v>
      </c>
      <c r="G84" s="14"/>
    </row>
    <row r="85" spans="1:7" ht="150" customHeight="1" x14ac:dyDescent="0.2">
      <c r="A85" s="42" t="s">
        <v>293</v>
      </c>
      <c r="B85" s="413" t="s">
        <v>370</v>
      </c>
      <c r="C85" s="477"/>
      <c r="D85" s="414"/>
      <c r="E85" s="43" t="s">
        <v>371</v>
      </c>
      <c r="F85" s="43" t="s">
        <v>372</v>
      </c>
      <c r="G85" s="44">
        <f>ROUND(8.1  * 25,0)</f>
        <v>203</v>
      </c>
    </row>
    <row r="86" spans="1:7" ht="15.95" customHeight="1" x14ac:dyDescent="0.2">
      <c r="A86" s="19" t="s">
        <v>39</v>
      </c>
      <c r="B86" s="423"/>
      <c r="C86" s="418"/>
      <c r="D86" s="424"/>
      <c r="E86" s="21" t="s">
        <v>45</v>
      </c>
      <c r="F86" s="21"/>
      <c r="G86" s="20"/>
    </row>
    <row r="87" spans="1:7" ht="12.95" customHeight="1" x14ac:dyDescent="0.2">
      <c r="A87" s="19" t="s">
        <v>39</v>
      </c>
      <c r="B87" s="421"/>
      <c r="C87" s="384"/>
      <c r="D87" s="422"/>
      <c r="E87" s="18" t="s">
        <v>282</v>
      </c>
      <c r="F87" s="18"/>
      <c r="G87" s="17"/>
    </row>
    <row r="88" spans="1:7" ht="24.95" customHeight="1" x14ac:dyDescent="0.2">
      <c r="A88" s="16" t="s">
        <v>39</v>
      </c>
      <c r="B88" s="427"/>
      <c r="C88" s="429"/>
      <c r="D88" s="428"/>
      <c r="E88" s="15" t="s">
        <v>283</v>
      </c>
      <c r="F88" s="15" t="s">
        <v>284</v>
      </c>
      <c r="G88" s="14"/>
    </row>
    <row r="89" spans="1:7" ht="12.95" customHeight="1" x14ac:dyDescent="0.2">
      <c r="A89" s="45" t="s">
        <v>294</v>
      </c>
      <c r="B89" s="395" t="s">
        <v>295</v>
      </c>
      <c r="C89" s="397"/>
      <c r="D89" s="396"/>
      <c r="E89" s="46"/>
      <c r="F89" s="46"/>
      <c r="G89" s="47">
        <f>ROUND((SUM($G$81:$G$85)),0)</f>
        <v>288</v>
      </c>
    </row>
    <row r="90" spans="1:7" ht="12.95" customHeight="1" x14ac:dyDescent="0.2">
      <c r="A90" s="45" t="s">
        <v>296</v>
      </c>
      <c r="B90" s="395" t="s">
        <v>297</v>
      </c>
      <c r="C90" s="397"/>
      <c r="D90" s="396"/>
      <c r="E90" s="46"/>
      <c r="F90" s="46" t="s">
        <v>298</v>
      </c>
      <c r="G90" s="47">
        <f>ROUND(($G$89),0)</f>
        <v>288</v>
      </c>
    </row>
    <row r="91" spans="1:7" ht="12.95" customHeight="1" x14ac:dyDescent="0.2">
      <c r="A91" s="45" t="s">
        <v>15</v>
      </c>
      <c r="B91" s="395" t="s">
        <v>78</v>
      </c>
      <c r="C91" s="397"/>
      <c r="D91" s="396"/>
      <c r="E91" s="46" t="s">
        <v>299</v>
      </c>
      <c r="F91" s="46"/>
      <c r="G91" s="48"/>
    </row>
    <row r="92" spans="1:7" ht="62.45" customHeight="1" x14ac:dyDescent="0.2">
      <c r="A92" s="45" t="s">
        <v>300</v>
      </c>
      <c r="B92" s="392" t="s">
        <v>301</v>
      </c>
      <c r="C92" s="394"/>
      <c r="D92" s="393"/>
      <c r="E92" s="49" t="s">
        <v>302</v>
      </c>
      <c r="F92" s="49" t="s">
        <v>373</v>
      </c>
      <c r="G92" s="50">
        <f>ROUND(($G$49) * 0.3 * 1,0)</f>
        <v>1304</v>
      </c>
    </row>
    <row r="93" spans="1:7" ht="50.1" customHeight="1" x14ac:dyDescent="0.2">
      <c r="A93" s="45" t="s">
        <v>303</v>
      </c>
      <c r="B93" s="392" t="s">
        <v>374</v>
      </c>
      <c r="C93" s="394"/>
      <c r="D93" s="393"/>
      <c r="E93" s="49" t="s">
        <v>304</v>
      </c>
      <c r="F93" s="49" t="s">
        <v>375</v>
      </c>
      <c r="G93" s="50">
        <f>ROUND(5649 * 8.75 / 100 * 1,0)</f>
        <v>494</v>
      </c>
    </row>
    <row r="94" spans="1:7" ht="50.1" customHeight="1" x14ac:dyDescent="0.2">
      <c r="A94" s="45" t="s">
        <v>305</v>
      </c>
      <c r="B94" s="392" t="s">
        <v>306</v>
      </c>
      <c r="C94" s="394"/>
      <c r="D94" s="393"/>
      <c r="E94" s="49" t="s">
        <v>307</v>
      </c>
      <c r="F94" s="49" t="s">
        <v>376</v>
      </c>
      <c r="G94" s="50">
        <f>ROUND(6143 * 19.6 / 100 * 1,0)</f>
        <v>1204</v>
      </c>
    </row>
    <row r="95" spans="1:7" ht="37.5" customHeight="1" x14ac:dyDescent="0.2">
      <c r="A95" s="45" t="s">
        <v>308</v>
      </c>
      <c r="B95" s="392" t="s">
        <v>377</v>
      </c>
      <c r="C95" s="394"/>
      <c r="D95" s="393"/>
      <c r="E95" s="49" t="s">
        <v>310</v>
      </c>
      <c r="F95" s="49" t="s">
        <v>378</v>
      </c>
      <c r="G95" s="50">
        <f>ROUND(6143 * 2.5 * 1 * 6 / 100 * 1,0)</f>
        <v>921</v>
      </c>
    </row>
    <row r="96" spans="1:7" ht="26.1" customHeight="1" x14ac:dyDescent="0.2">
      <c r="A96" s="45" t="s">
        <v>311</v>
      </c>
      <c r="B96" s="395" t="s">
        <v>312</v>
      </c>
      <c r="C96" s="397"/>
      <c r="D96" s="396"/>
      <c r="E96" s="46"/>
      <c r="F96" s="46" t="s">
        <v>313</v>
      </c>
      <c r="G96" s="47">
        <f>ROUND((SUM($G$92:$G$95)),0)</f>
        <v>3923</v>
      </c>
    </row>
    <row r="97" spans="1:7" ht="12.95" customHeight="1" x14ac:dyDescent="0.2">
      <c r="A97" s="45" t="s">
        <v>17</v>
      </c>
      <c r="B97" s="395" t="s">
        <v>43</v>
      </c>
      <c r="C97" s="397"/>
      <c r="D97" s="396"/>
      <c r="E97" s="46"/>
      <c r="F97" s="46"/>
      <c r="G97" s="47">
        <f>ROUND(($G$49 + $G$79 + $G$90 + $G$96),0)</f>
        <v>16969</v>
      </c>
    </row>
    <row r="98" spans="1:7" ht="37.5" customHeight="1" x14ac:dyDescent="0.2">
      <c r="A98" s="45" t="s">
        <v>19</v>
      </c>
      <c r="B98" s="392" t="s">
        <v>379</v>
      </c>
      <c r="C98" s="394"/>
      <c r="D98" s="393"/>
      <c r="E98" s="49" t="s">
        <v>314</v>
      </c>
      <c r="F98" s="49" t="s">
        <v>380</v>
      </c>
      <c r="G98" s="50">
        <f>ROUND(($G$97) * 62.19 * 1,0)</f>
        <v>1055302</v>
      </c>
    </row>
    <row r="99" spans="1:7" ht="12.95" customHeight="1" x14ac:dyDescent="0.2">
      <c r="A99" s="45" t="s">
        <v>20</v>
      </c>
      <c r="B99" s="395" t="s">
        <v>42</v>
      </c>
      <c r="C99" s="397"/>
      <c r="D99" s="396"/>
      <c r="E99" s="46"/>
      <c r="F99" s="46" t="s">
        <v>315</v>
      </c>
      <c r="G99" s="47">
        <f>ROUND(($G$98),0)</f>
        <v>1055302</v>
      </c>
    </row>
    <row r="100" spans="1:7" ht="12.6" customHeight="1" x14ac:dyDescent="0.2">
      <c r="B100" s="479"/>
      <c r="C100" s="479"/>
      <c r="D100" s="479"/>
    </row>
    <row r="103" spans="1:7" s="8" customFormat="1" ht="24.95" customHeight="1" x14ac:dyDescent="0.2">
      <c r="A103" s="384" t="s">
        <v>41</v>
      </c>
      <c r="B103" s="384"/>
      <c r="C103" s="384" t="str">
        <f>convertNumToStr($G$99,1,0)</f>
        <v>1 055 302 (Один миллион пятьдесят пять тысяч триста два рубля, 00 копеек)</v>
      </c>
      <c r="D103" s="384"/>
      <c r="E103" s="384"/>
      <c r="F103" s="384"/>
      <c r="G103" s="384"/>
    </row>
  </sheetData>
  <mergeCells count="107">
    <mergeCell ref="B100:D100"/>
    <mergeCell ref="A103:B103"/>
    <mergeCell ref="C103:G103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E65:E66"/>
    <mergeCell ref="F65:F66"/>
    <mergeCell ref="G65:G66"/>
    <mergeCell ref="B67:D67"/>
    <mergeCell ref="B68:D68"/>
    <mergeCell ref="B69:D69"/>
    <mergeCell ref="B60:D60"/>
    <mergeCell ref="B61:D61"/>
    <mergeCell ref="B62:D62"/>
    <mergeCell ref="B63:D63"/>
    <mergeCell ref="B64:D64"/>
    <mergeCell ref="A65:A66"/>
    <mergeCell ref="B65:D66"/>
    <mergeCell ref="B54:D54"/>
    <mergeCell ref="B55:D55"/>
    <mergeCell ref="B56:D56"/>
    <mergeCell ref="B57:D57"/>
    <mergeCell ref="B58:D58"/>
    <mergeCell ref="B59:D59"/>
    <mergeCell ref="B50:D50"/>
    <mergeCell ref="A51:A53"/>
    <mergeCell ref="B51:D53"/>
    <mergeCell ref="E51:E53"/>
    <mergeCell ref="F51:F53"/>
    <mergeCell ref="G51:G53"/>
    <mergeCell ref="B44:D44"/>
    <mergeCell ref="B45:D45"/>
    <mergeCell ref="B46:D46"/>
    <mergeCell ref="B47:D47"/>
    <mergeCell ref="B48:D48"/>
    <mergeCell ref="B49:D49"/>
    <mergeCell ref="E39:E40"/>
    <mergeCell ref="F39:F40"/>
    <mergeCell ref="G39:G40"/>
    <mergeCell ref="B41:D41"/>
    <mergeCell ref="B42:D42"/>
    <mergeCell ref="B43:D43"/>
    <mergeCell ref="B34:D34"/>
    <mergeCell ref="B35:D35"/>
    <mergeCell ref="B36:D36"/>
    <mergeCell ref="B37:D37"/>
    <mergeCell ref="B38:D38"/>
    <mergeCell ref="A39:A40"/>
    <mergeCell ref="B39:D40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9:D19"/>
    <mergeCell ref="B20:D20"/>
    <mergeCell ref="B21:D21"/>
    <mergeCell ref="A9:C9"/>
    <mergeCell ref="D9:G10"/>
    <mergeCell ref="A11:C11"/>
    <mergeCell ref="D11:G12"/>
    <mergeCell ref="A13:G13"/>
    <mergeCell ref="A15:G15"/>
    <mergeCell ref="A1:B1"/>
    <mergeCell ref="C1:G1"/>
    <mergeCell ref="B4:F4"/>
    <mergeCell ref="B5:F5"/>
    <mergeCell ref="A7:C7"/>
    <mergeCell ref="D7:G7"/>
    <mergeCell ref="B16:D16"/>
    <mergeCell ref="B17:D17"/>
    <mergeCell ref="B18:D18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horizontalDpi="300" verticalDpi="300" r:id="rId1"/>
  <headerFooter alignWithMargins="0"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D7AC-E345-4EF3-956F-C82BB8A42331}">
  <sheetPr codeName="Лист24">
    <tabColor rgb="FF92D050"/>
  </sheetPr>
  <dimension ref="A1:L89"/>
  <sheetViews>
    <sheetView view="pageBreakPreview" zoomScale="60" zoomScaleNormal="100" workbookViewId="0">
      <selection activeCell="C86" sqref="C86:G86"/>
    </sheetView>
  </sheetViews>
  <sheetFormatPr defaultColWidth="11.5703125" defaultRowHeight="12.75" x14ac:dyDescent="0.2"/>
  <cols>
    <col min="1" max="1" width="4.28515625" style="108" customWidth="1"/>
    <col min="2" max="2" width="26.7109375" style="108" customWidth="1"/>
    <col min="3" max="3" width="7.7109375" style="108" customWidth="1"/>
    <col min="4" max="4" width="6.42578125" style="108" customWidth="1"/>
    <col min="5" max="5" width="27.7109375" style="108" customWidth="1"/>
    <col min="6" max="6" width="14.42578125" style="108" customWidth="1"/>
    <col min="7" max="7" width="11.5703125" style="109" customWidth="1"/>
    <col min="8" max="8" width="11.5703125" style="105"/>
    <col min="9" max="9" width="12.28515625" style="105" bestFit="1" customWidth="1"/>
    <col min="10" max="256" width="11.5703125" style="105"/>
    <col min="257" max="257" width="4.28515625" style="105" customWidth="1"/>
    <col min="258" max="258" width="26.7109375" style="105" customWidth="1"/>
    <col min="259" max="259" width="7.7109375" style="105" customWidth="1"/>
    <col min="260" max="260" width="6.42578125" style="105" customWidth="1"/>
    <col min="261" max="261" width="27.7109375" style="105" customWidth="1"/>
    <col min="262" max="262" width="14.42578125" style="105" customWidth="1"/>
    <col min="263" max="264" width="11.5703125" style="105"/>
    <col min="265" max="265" width="12.28515625" style="105" bestFit="1" customWidth="1"/>
    <col min="266" max="512" width="11.5703125" style="105"/>
    <col min="513" max="513" width="4.28515625" style="105" customWidth="1"/>
    <col min="514" max="514" width="26.7109375" style="105" customWidth="1"/>
    <col min="515" max="515" width="7.7109375" style="105" customWidth="1"/>
    <col min="516" max="516" width="6.42578125" style="105" customWidth="1"/>
    <col min="517" max="517" width="27.7109375" style="105" customWidth="1"/>
    <col min="518" max="518" width="14.42578125" style="105" customWidth="1"/>
    <col min="519" max="520" width="11.5703125" style="105"/>
    <col min="521" max="521" width="12.28515625" style="105" bestFit="1" customWidth="1"/>
    <col min="522" max="768" width="11.5703125" style="105"/>
    <col min="769" max="769" width="4.28515625" style="105" customWidth="1"/>
    <col min="770" max="770" width="26.7109375" style="105" customWidth="1"/>
    <col min="771" max="771" width="7.7109375" style="105" customWidth="1"/>
    <col min="772" max="772" width="6.42578125" style="105" customWidth="1"/>
    <col min="773" max="773" width="27.7109375" style="105" customWidth="1"/>
    <col min="774" max="774" width="14.42578125" style="105" customWidth="1"/>
    <col min="775" max="776" width="11.5703125" style="105"/>
    <col min="777" max="777" width="12.28515625" style="105" bestFit="1" customWidth="1"/>
    <col min="778" max="1024" width="11.5703125" style="105"/>
    <col min="1025" max="1025" width="4.28515625" style="105" customWidth="1"/>
    <col min="1026" max="1026" width="26.7109375" style="105" customWidth="1"/>
    <col min="1027" max="1027" width="7.7109375" style="105" customWidth="1"/>
    <col min="1028" max="1028" width="6.42578125" style="105" customWidth="1"/>
    <col min="1029" max="1029" width="27.7109375" style="105" customWidth="1"/>
    <col min="1030" max="1030" width="14.42578125" style="105" customWidth="1"/>
    <col min="1031" max="1032" width="11.5703125" style="105"/>
    <col min="1033" max="1033" width="12.28515625" style="105" bestFit="1" customWidth="1"/>
    <col min="1034" max="1280" width="11.5703125" style="105"/>
    <col min="1281" max="1281" width="4.28515625" style="105" customWidth="1"/>
    <col min="1282" max="1282" width="26.7109375" style="105" customWidth="1"/>
    <col min="1283" max="1283" width="7.7109375" style="105" customWidth="1"/>
    <col min="1284" max="1284" width="6.42578125" style="105" customWidth="1"/>
    <col min="1285" max="1285" width="27.7109375" style="105" customWidth="1"/>
    <col min="1286" max="1286" width="14.42578125" style="105" customWidth="1"/>
    <col min="1287" max="1288" width="11.5703125" style="105"/>
    <col min="1289" max="1289" width="12.28515625" style="105" bestFit="1" customWidth="1"/>
    <col min="1290" max="1536" width="11.5703125" style="105"/>
    <col min="1537" max="1537" width="4.28515625" style="105" customWidth="1"/>
    <col min="1538" max="1538" width="26.7109375" style="105" customWidth="1"/>
    <col min="1539" max="1539" width="7.7109375" style="105" customWidth="1"/>
    <col min="1540" max="1540" width="6.42578125" style="105" customWidth="1"/>
    <col min="1541" max="1541" width="27.7109375" style="105" customWidth="1"/>
    <col min="1542" max="1542" width="14.42578125" style="105" customWidth="1"/>
    <col min="1543" max="1544" width="11.5703125" style="105"/>
    <col min="1545" max="1545" width="12.28515625" style="105" bestFit="1" customWidth="1"/>
    <col min="1546" max="1792" width="11.5703125" style="105"/>
    <col min="1793" max="1793" width="4.28515625" style="105" customWidth="1"/>
    <col min="1794" max="1794" width="26.7109375" style="105" customWidth="1"/>
    <col min="1795" max="1795" width="7.7109375" style="105" customWidth="1"/>
    <col min="1796" max="1796" width="6.42578125" style="105" customWidth="1"/>
    <col min="1797" max="1797" width="27.7109375" style="105" customWidth="1"/>
    <col min="1798" max="1798" width="14.42578125" style="105" customWidth="1"/>
    <col min="1799" max="1800" width="11.5703125" style="105"/>
    <col min="1801" max="1801" width="12.28515625" style="105" bestFit="1" customWidth="1"/>
    <col min="1802" max="2048" width="11.5703125" style="105"/>
    <col min="2049" max="2049" width="4.28515625" style="105" customWidth="1"/>
    <col min="2050" max="2050" width="26.7109375" style="105" customWidth="1"/>
    <col min="2051" max="2051" width="7.7109375" style="105" customWidth="1"/>
    <col min="2052" max="2052" width="6.42578125" style="105" customWidth="1"/>
    <col min="2053" max="2053" width="27.7109375" style="105" customWidth="1"/>
    <col min="2054" max="2054" width="14.42578125" style="105" customWidth="1"/>
    <col min="2055" max="2056" width="11.5703125" style="105"/>
    <col min="2057" max="2057" width="12.28515625" style="105" bestFit="1" customWidth="1"/>
    <col min="2058" max="2304" width="11.5703125" style="105"/>
    <col min="2305" max="2305" width="4.28515625" style="105" customWidth="1"/>
    <col min="2306" max="2306" width="26.7109375" style="105" customWidth="1"/>
    <col min="2307" max="2307" width="7.7109375" style="105" customWidth="1"/>
    <col min="2308" max="2308" width="6.42578125" style="105" customWidth="1"/>
    <col min="2309" max="2309" width="27.7109375" style="105" customWidth="1"/>
    <col min="2310" max="2310" width="14.42578125" style="105" customWidth="1"/>
    <col min="2311" max="2312" width="11.5703125" style="105"/>
    <col min="2313" max="2313" width="12.28515625" style="105" bestFit="1" customWidth="1"/>
    <col min="2314" max="2560" width="11.5703125" style="105"/>
    <col min="2561" max="2561" width="4.28515625" style="105" customWidth="1"/>
    <col min="2562" max="2562" width="26.7109375" style="105" customWidth="1"/>
    <col min="2563" max="2563" width="7.7109375" style="105" customWidth="1"/>
    <col min="2564" max="2564" width="6.42578125" style="105" customWidth="1"/>
    <col min="2565" max="2565" width="27.7109375" style="105" customWidth="1"/>
    <col min="2566" max="2566" width="14.42578125" style="105" customWidth="1"/>
    <col min="2567" max="2568" width="11.5703125" style="105"/>
    <col min="2569" max="2569" width="12.28515625" style="105" bestFit="1" customWidth="1"/>
    <col min="2570" max="2816" width="11.5703125" style="105"/>
    <col min="2817" max="2817" width="4.28515625" style="105" customWidth="1"/>
    <col min="2818" max="2818" width="26.7109375" style="105" customWidth="1"/>
    <col min="2819" max="2819" width="7.7109375" style="105" customWidth="1"/>
    <col min="2820" max="2820" width="6.42578125" style="105" customWidth="1"/>
    <col min="2821" max="2821" width="27.7109375" style="105" customWidth="1"/>
    <col min="2822" max="2822" width="14.42578125" style="105" customWidth="1"/>
    <col min="2823" max="2824" width="11.5703125" style="105"/>
    <col min="2825" max="2825" width="12.28515625" style="105" bestFit="1" customWidth="1"/>
    <col min="2826" max="3072" width="11.5703125" style="105"/>
    <col min="3073" max="3073" width="4.28515625" style="105" customWidth="1"/>
    <col min="3074" max="3074" width="26.7109375" style="105" customWidth="1"/>
    <col min="3075" max="3075" width="7.7109375" style="105" customWidth="1"/>
    <col min="3076" max="3076" width="6.42578125" style="105" customWidth="1"/>
    <col min="3077" max="3077" width="27.7109375" style="105" customWidth="1"/>
    <col min="3078" max="3078" width="14.42578125" style="105" customWidth="1"/>
    <col min="3079" max="3080" width="11.5703125" style="105"/>
    <col min="3081" max="3081" width="12.28515625" style="105" bestFit="1" customWidth="1"/>
    <col min="3082" max="3328" width="11.5703125" style="105"/>
    <col min="3329" max="3329" width="4.28515625" style="105" customWidth="1"/>
    <col min="3330" max="3330" width="26.7109375" style="105" customWidth="1"/>
    <col min="3331" max="3331" width="7.7109375" style="105" customWidth="1"/>
    <col min="3332" max="3332" width="6.42578125" style="105" customWidth="1"/>
    <col min="3333" max="3333" width="27.7109375" style="105" customWidth="1"/>
    <col min="3334" max="3334" width="14.42578125" style="105" customWidth="1"/>
    <col min="3335" max="3336" width="11.5703125" style="105"/>
    <col min="3337" max="3337" width="12.28515625" style="105" bestFit="1" customWidth="1"/>
    <col min="3338" max="3584" width="11.5703125" style="105"/>
    <col min="3585" max="3585" width="4.28515625" style="105" customWidth="1"/>
    <col min="3586" max="3586" width="26.7109375" style="105" customWidth="1"/>
    <col min="3587" max="3587" width="7.7109375" style="105" customWidth="1"/>
    <col min="3588" max="3588" width="6.42578125" style="105" customWidth="1"/>
    <col min="3589" max="3589" width="27.7109375" style="105" customWidth="1"/>
    <col min="3590" max="3590" width="14.42578125" style="105" customWidth="1"/>
    <col min="3591" max="3592" width="11.5703125" style="105"/>
    <col min="3593" max="3593" width="12.28515625" style="105" bestFit="1" customWidth="1"/>
    <col min="3594" max="3840" width="11.5703125" style="105"/>
    <col min="3841" max="3841" width="4.28515625" style="105" customWidth="1"/>
    <col min="3842" max="3842" width="26.7109375" style="105" customWidth="1"/>
    <col min="3843" max="3843" width="7.7109375" style="105" customWidth="1"/>
    <col min="3844" max="3844" width="6.42578125" style="105" customWidth="1"/>
    <col min="3845" max="3845" width="27.7109375" style="105" customWidth="1"/>
    <col min="3846" max="3846" width="14.42578125" style="105" customWidth="1"/>
    <col min="3847" max="3848" width="11.5703125" style="105"/>
    <col min="3849" max="3849" width="12.28515625" style="105" bestFit="1" customWidth="1"/>
    <col min="3850" max="4096" width="11.5703125" style="105"/>
    <col min="4097" max="4097" width="4.28515625" style="105" customWidth="1"/>
    <col min="4098" max="4098" width="26.7109375" style="105" customWidth="1"/>
    <col min="4099" max="4099" width="7.7109375" style="105" customWidth="1"/>
    <col min="4100" max="4100" width="6.42578125" style="105" customWidth="1"/>
    <col min="4101" max="4101" width="27.7109375" style="105" customWidth="1"/>
    <col min="4102" max="4102" width="14.42578125" style="105" customWidth="1"/>
    <col min="4103" max="4104" width="11.5703125" style="105"/>
    <col min="4105" max="4105" width="12.28515625" style="105" bestFit="1" customWidth="1"/>
    <col min="4106" max="4352" width="11.5703125" style="105"/>
    <col min="4353" max="4353" width="4.28515625" style="105" customWidth="1"/>
    <col min="4354" max="4354" width="26.7109375" style="105" customWidth="1"/>
    <col min="4355" max="4355" width="7.7109375" style="105" customWidth="1"/>
    <col min="4356" max="4356" width="6.42578125" style="105" customWidth="1"/>
    <col min="4357" max="4357" width="27.7109375" style="105" customWidth="1"/>
    <col min="4358" max="4358" width="14.42578125" style="105" customWidth="1"/>
    <col min="4359" max="4360" width="11.5703125" style="105"/>
    <col min="4361" max="4361" width="12.28515625" style="105" bestFit="1" customWidth="1"/>
    <col min="4362" max="4608" width="11.5703125" style="105"/>
    <col min="4609" max="4609" width="4.28515625" style="105" customWidth="1"/>
    <col min="4610" max="4610" width="26.7109375" style="105" customWidth="1"/>
    <col min="4611" max="4611" width="7.7109375" style="105" customWidth="1"/>
    <col min="4612" max="4612" width="6.42578125" style="105" customWidth="1"/>
    <col min="4613" max="4613" width="27.7109375" style="105" customWidth="1"/>
    <col min="4614" max="4614" width="14.42578125" style="105" customWidth="1"/>
    <col min="4615" max="4616" width="11.5703125" style="105"/>
    <col min="4617" max="4617" width="12.28515625" style="105" bestFit="1" customWidth="1"/>
    <col min="4618" max="4864" width="11.5703125" style="105"/>
    <col min="4865" max="4865" width="4.28515625" style="105" customWidth="1"/>
    <col min="4866" max="4866" width="26.7109375" style="105" customWidth="1"/>
    <col min="4867" max="4867" width="7.7109375" style="105" customWidth="1"/>
    <col min="4868" max="4868" width="6.42578125" style="105" customWidth="1"/>
    <col min="4869" max="4869" width="27.7109375" style="105" customWidth="1"/>
    <col min="4870" max="4870" width="14.42578125" style="105" customWidth="1"/>
    <col min="4871" max="4872" width="11.5703125" style="105"/>
    <col min="4873" max="4873" width="12.28515625" style="105" bestFit="1" customWidth="1"/>
    <col min="4874" max="5120" width="11.5703125" style="105"/>
    <col min="5121" max="5121" width="4.28515625" style="105" customWidth="1"/>
    <col min="5122" max="5122" width="26.7109375" style="105" customWidth="1"/>
    <col min="5123" max="5123" width="7.7109375" style="105" customWidth="1"/>
    <col min="5124" max="5124" width="6.42578125" style="105" customWidth="1"/>
    <col min="5125" max="5125" width="27.7109375" style="105" customWidth="1"/>
    <col min="5126" max="5126" width="14.42578125" style="105" customWidth="1"/>
    <col min="5127" max="5128" width="11.5703125" style="105"/>
    <col min="5129" max="5129" width="12.28515625" style="105" bestFit="1" customWidth="1"/>
    <col min="5130" max="5376" width="11.5703125" style="105"/>
    <col min="5377" max="5377" width="4.28515625" style="105" customWidth="1"/>
    <col min="5378" max="5378" width="26.7109375" style="105" customWidth="1"/>
    <col min="5379" max="5379" width="7.7109375" style="105" customWidth="1"/>
    <col min="5380" max="5380" width="6.42578125" style="105" customWidth="1"/>
    <col min="5381" max="5381" width="27.7109375" style="105" customWidth="1"/>
    <col min="5382" max="5382" width="14.42578125" style="105" customWidth="1"/>
    <col min="5383" max="5384" width="11.5703125" style="105"/>
    <col min="5385" max="5385" width="12.28515625" style="105" bestFit="1" customWidth="1"/>
    <col min="5386" max="5632" width="11.5703125" style="105"/>
    <col min="5633" max="5633" width="4.28515625" style="105" customWidth="1"/>
    <col min="5634" max="5634" width="26.7109375" style="105" customWidth="1"/>
    <col min="5635" max="5635" width="7.7109375" style="105" customWidth="1"/>
    <col min="5636" max="5636" width="6.42578125" style="105" customWidth="1"/>
    <col min="5637" max="5637" width="27.7109375" style="105" customWidth="1"/>
    <col min="5638" max="5638" width="14.42578125" style="105" customWidth="1"/>
    <col min="5639" max="5640" width="11.5703125" style="105"/>
    <col min="5641" max="5641" width="12.28515625" style="105" bestFit="1" customWidth="1"/>
    <col min="5642" max="5888" width="11.5703125" style="105"/>
    <col min="5889" max="5889" width="4.28515625" style="105" customWidth="1"/>
    <col min="5890" max="5890" width="26.7109375" style="105" customWidth="1"/>
    <col min="5891" max="5891" width="7.7109375" style="105" customWidth="1"/>
    <col min="5892" max="5892" width="6.42578125" style="105" customWidth="1"/>
    <col min="5893" max="5893" width="27.7109375" style="105" customWidth="1"/>
    <col min="5894" max="5894" width="14.42578125" style="105" customWidth="1"/>
    <col min="5895" max="5896" width="11.5703125" style="105"/>
    <col min="5897" max="5897" width="12.28515625" style="105" bestFit="1" customWidth="1"/>
    <col min="5898" max="6144" width="11.5703125" style="105"/>
    <col min="6145" max="6145" width="4.28515625" style="105" customWidth="1"/>
    <col min="6146" max="6146" width="26.7109375" style="105" customWidth="1"/>
    <col min="6147" max="6147" width="7.7109375" style="105" customWidth="1"/>
    <col min="6148" max="6148" width="6.42578125" style="105" customWidth="1"/>
    <col min="6149" max="6149" width="27.7109375" style="105" customWidth="1"/>
    <col min="6150" max="6150" width="14.42578125" style="105" customWidth="1"/>
    <col min="6151" max="6152" width="11.5703125" style="105"/>
    <col min="6153" max="6153" width="12.28515625" style="105" bestFit="1" customWidth="1"/>
    <col min="6154" max="6400" width="11.5703125" style="105"/>
    <col min="6401" max="6401" width="4.28515625" style="105" customWidth="1"/>
    <col min="6402" max="6402" width="26.7109375" style="105" customWidth="1"/>
    <col min="6403" max="6403" width="7.7109375" style="105" customWidth="1"/>
    <col min="6404" max="6404" width="6.42578125" style="105" customWidth="1"/>
    <col min="6405" max="6405" width="27.7109375" style="105" customWidth="1"/>
    <col min="6406" max="6406" width="14.42578125" style="105" customWidth="1"/>
    <col min="6407" max="6408" width="11.5703125" style="105"/>
    <col min="6409" max="6409" width="12.28515625" style="105" bestFit="1" customWidth="1"/>
    <col min="6410" max="6656" width="11.5703125" style="105"/>
    <col min="6657" max="6657" width="4.28515625" style="105" customWidth="1"/>
    <col min="6658" max="6658" width="26.7109375" style="105" customWidth="1"/>
    <col min="6659" max="6659" width="7.7109375" style="105" customWidth="1"/>
    <col min="6660" max="6660" width="6.42578125" style="105" customWidth="1"/>
    <col min="6661" max="6661" width="27.7109375" style="105" customWidth="1"/>
    <col min="6662" max="6662" width="14.42578125" style="105" customWidth="1"/>
    <col min="6663" max="6664" width="11.5703125" style="105"/>
    <col min="6665" max="6665" width="12.28515625" style="105" bestFit="1" customWidth="1"/>
    <col min="6666" max="6912" width="11.5703125" style="105"/>
    <col min="6913" max="6913" width="4.28515625" style="105" customWidth="1"/>
    <col min="6914" max="6914" width="26.7109375" style="105" customWidth="1"/>
    <col min="6915" max="6915" width="7.7109375" style="105" customWidth="1"/>
    <col min="6916" max="6916" width="6.42578125" style="105" customWidth="1"/>
    <col min="6917" max="6917" width="27.7109375" style="105" customWidth="1"/>
    <col min="6918" max="6918" width="14.42578125" style="105" customWidth="1"/>
    <col min="6919" max="6920" width="11.5703125" style="105"/>
    <col min="6921" max="6921" width="12.28515625" style="105" bestFit="1" customWidth="1"/>
    <col min="6922" max="7168" width="11.5703125" style="105"/>
    <col min="7169" max="7169" width="4.28515625" style="105" customWidth="1"/>
    <col min="7170" max="7170" width="26.7109375" style="105" customWidth="1"/>
    <col min="7171" max="7171" width="7.7109375" style="105" customWidth="1"/>
    <col min="7172" max="7172" width="6.42578125" style="105" customWidth="1"/>
    <col min="7173" max="7173" width="27.7109375" style="105" customWidth="1"/>
    <col min="7174" max="7174" width="14.42578125" style="105" customWidth="1"/>
    <col min="7175" max="7176" width="11.5703125" style="105"/>
    <col min="7177" max="7177" width="12.28515625" style="105" bestFit="1" customWidth="1"/>
    <col min="7178" max="7424" width="11.5703125" style="105"/>
    <col min="7425" max="7425" width="4.28515625" style="105" customWidth="1"/>
    <col min="7426" max="7426" width="26.7109375" style="105" customWidth="1"/>
    <col min="7427" max="7427" width="7.7109375" style="105" customWidth="1"/>
    <col min="7428" max="7428" width="6.42578125" style="105" customWidth="1"/>
    <col min="7429" max="7429" width="27.7109375" style="105" customWidth="1"/>
    <col min="7430" max="7430" width="14.42578125" style="105" customWidth="1"/>
    <col min="7431" max="7432" width="11.5703125" style="105"/>
    <col min="7433" max="7433" width="12.28515625" style="105" bestFit="1" customWidth="1"/>
    <col min="7434" max="7680" width="11.5703125" style="105"/>
    <col min="7681" max="7681" width="4.28515625" style="105" customWidth="1"/>
    <col min="7682" max="7682" width="26.7109375" style="105" customWidth="1"/>
    <col min="7683" max="7683" width="7.7109375" style="105" customWidth="1"/>
    <col min="7684" max="7684" width="6.42578125" style="105" customWidth="1"/>
    <col min="7685" max="7685" width="27.7109375" style="105" customWidth="1"/>
    <col min="7686" max="7686" width="14.42578125" style="105" customWidth="1"/>
    <col min="7687" max="7688" width="11.5703125" style="105"/>
    <col min="7689" max="7689" width="12.28515625" style="105" bestFit="1" customWidth="1"/>
    <col min="7690" max="7936" width="11.5703125" style="105"/>
    <col min="7937" max="7937" width="4.28515625" style="105" customWidth="1"/>
    <col min="7938" max="7938" width="26.7109375" style="105" customWidth="1"/>
    <col min="7939" max="7939" width="7.7109375" style="105" customWidth="1"/>
    <col min="7940" max="7940" width="6.42578125" style="105" customWidth="1"/>
    <col min="7941" max="7941" width="27.7109375" style="105" customWidth="1"/>
    <col min="7942" max="7942" width="14.42578125" style="105" customWidth="1"/>
    <col min="7943" max="7944" width="11.5703125" style="105"/>
    <col min="7945" max="7945" width="12.28515625" style="105" bestFit="1" customWidth="1"/>
    <col min="7946" max="8192" width="11.5703125" style="105"/>
    <col min="8193" max="8193" width="4.28515625" style="105" customWidth="1"/>
    <col min="8194" max="8194" width="26.7109375" style="105" customWidth="1"/>
    <col min="8195" max="8195" width="7.7109375" style="105" customWidth="1"/>
    <col min="8196" max="8196" width="6.42578125" style="105" customWidth="1"/>
    <col min="8197" max="8197" width="27.7109375" style="105" customWidth="1"/>
    <col min="8198" max="8198" width="14.42578125" style="105" customWidth="1"/>
    <col min="8199" max="8200" width="11.5703125" style="105"/>
    <col min="8201" max="8201" width="12.28515625" style="105" bestFit="1" customWidth="1"/>
    <col min="8202" max="8448" width="11.5703125" style="105"/>
    <col min="8449" max="8449" width="4.28515625" style="105" customWidth="1"/>
    <col min="8450" max="8450" width="26.7109375" style="105" customWidth="1"/>
    <col min="8451" max="8451" width="7.7109375" style="105" customWidth="1"/>
    <col min="8452" max="8452" width="6.42578125" style="105" customWidth="1"/>
    <col min="8453" max="8453" width="27.7109375" style="105" customWidth="1"/>
    <col min="8454" max="8454" width="14.42578125" style="105" customWidth="1"/>
    <col min="8455" max="8456" width="11.5703125" style="105"/>
    <col min="8457" max="8457" width="12.28515625" style="105" bestFit="1" customWidth="1"/>
    <col min="8458" max="8704" width="11.5703125" style="105"/>
    <col min="8705" max="8705" width="4.28515625" style="105" customWidth="1"/>
    <col min="8706" max="8706" width="26.7109375" style="105" customWidth="1"/>
    <col min="8707" max="8707" width="7.7109375" style="105" customWidth="1"/>
    <col min="8708" max="8708" width="6.42578125" style="105" customWidth="1"/>
    <col min="8709" max="8709" width="27.7109375" style="105" customWidth="1"/>
    <col min="8710" max="8710" width="14.42578125" style="105" customWidth="1"/>
    <col min="8711" max="8712" width="11.5703125" style="105"/>
    <col min="8713" max="8713" width="12.28515625" style="105" bestFit="1" customWidth="1"/>
    <col min="8714" max="8960" width="11.5703125" style="105"/>
    <col min="8961" max="8961" width="4.28515625" style="105" customWidth="1"/>
    <col min="8962" max="8962" width="26.7109375" style="105" customWidth="1"/>
    <col min="8963" max="8963" width="7.7109375" style="105" customWidth="1"/>
    <col min="8964" max="8964" width="6.42578125" style="105" customWidth="1"/>
    <col min="8965" max="8965" width="27.7109375" style="105" customWidth="1"/>
    <col min="8966" max="8966" width="14.42578125" style="105" customWidth="1"/>
    <col min="8967" max="8968" width="11.5703125" style="105"/>
    <col min="8969" max="8969" width="12.28515625" style="105" bestFit="1" customWidth="1"/>
    <col min="8970" max="9216" width="11.5703125" style="105"/>
    <col min="9217" max="9217" width="4.28515625" style="105" customWidth="1"/>
    <col min="9218" max="9218" width="26.7109375" style="105" customWidth="1"/>
    <col min="9219" max="9219" width="7.7109375" style="105" customWidth="1"/>
    <col min="9220" max="9220" width="6.42578125" style="105" customWidth="1"/>
    <col min="9221" max="9221" width="27.7109375" style="105" customWidth="1"/>
    <col min="9222" max="9222" width="14.42578125" style="105" customWidth="1"/>
    <col min="9223" max="9224" width="11.5703125" style="105"/>
    <col min="9225" max="9225" width="12.28515625" style="105" bestFit="1" customWidth="1"/>
    <col min="9226" max="9472" width="11.5703125" style="105"/>
    <col min="9473" max="9473" width="4.28515625" style="105" customWidth="1"/>
    <col min="9474" max="9474" width="26.7109375" style="105" customWidth="1"/>
    <col min="9475" max="9475" width="7.7109375" style="105" customWidth="1"/>
    <col min="9476" max="9476" width="6.42578125" style="105" customWidth="1"/>
    <col min="9477" max="9477" width="27.7109375" style="105" customWidth="1"/>
    <col min="9478" max="9478" width="14.42578125" style="105" customWidth="1"/>
    <col min="9479" max="9480" width="11.5703125" style="105"/>
    <col min="9481" max="9481" width="12.28515625" style="105" bestFit="1" customWidth="1"/>
    <col min="9482" max="9728" width="11.5703125" style="105"/>
    <col min="9729" max="9729" width="4.28515625" style="105" customWidth="1"/>
    <col min="9730" max="9730" width="26.7109375" style="105" customWidth="1"/>
    <col min="9731" max="9731" width="7.7109375" style="105" customWidth="1"/>
    <col min="9732" max="9732" width="6.42578125" style="105" customWidth="1"/>
    <col min="9733" max="9733" width="27.7109375" style="105" customWidth="1"/>
    <col min="9734" max="9734" width="14.42578125" style="105" customWidth="1"/>
    <col min="9735" max="9736" width="11.5703125" style="105"/>
    <col min="9737" max="9737" width="12.28515625" style="105" bestFit="1" customWidth="1"/>
    <col min="9738" max="9984" width="11.5703125" style="105"/>
    <col min="9985" max="9985" width="4.28515625" style="105" customWidth="1"/>
    <col min="9986" max="9986" width="26.7109375" style="105" customWidth="1"/>
    <col min="9987" max="9987" width="7.7109375" style="105" customWidth="1"/>
    <col min="9988" max="9988" width="6.42578125" style="105" customWidth="1"/>
    <col min="9989" max="9989" width="27.7109375" style="105" customWidth="1"/>
    <col min="9990" max="9990" width="14.42578125" style="105" customWidth="1"/>
    <col min="9991" max="9992" width="11.5703125" style="105"/>
    <col min="9993" max="9993" width="12.28515625" style="105" bestFit="1" customWidth="1"/>
    <col min="9994" max="10240" width="11.5703125" style="105"/>
    <col min="10241" max="10241" width="4.28515625" style="105" customWidth="1"/>
    <col min="10242" max="10242" width="26.7109375" style="105" customWidth="1"/>
    <col min="10243" max="10243" width="7.7109375" style="105" customWidth="1"/>
    <col min="10244" max="10244" width="6.42578125" style="105" customWidth="1"/>
    <col min="10245" max="10245" width="27.7109375" style="105" customWidth="1"/>
    <col min="10246" max="10246" width="14.42578125" style="105" customWidth="1"/>
    <col min="10247" max="10248" width="11.5703125" style="105"/>
    <col min="10249" max="10249" width="12.28515625" style="105" bestFit="1" customWidth="1"/>
    <col min="10250" max="10496" width="11.5703125" style="105"/>
    <col min="10497" max="10497" width="4.28515625" style="105" customWidth="1"/>
    <col min="10498" max="10498" width="26.7109375" style="105" customWidth="1"/>
    <col min="10499" max="10499" width="7.7109375" style="105" customWidth="1"/>
    <col min="10500" max="10500" width="6.42578125" style="105" customWidth="1"/>
    <col min="10501" max="10501" width="27.7109375" style="105" customWidth="1"/>
    <col min="10502" max="10502" width="14.42578125" style="105" customWidth="1"/>
    <col min="10503" max="10504" width="11.5703125" style="105"/>
    <col min="10505" max="10505" width="12.28515625" style="105" bestFit="1" customWidth="1"/>
    <col min="10506" max="10752" width="11.5703125" style="105"/>
    <col min="10753" max="10753" width="4.28515625" style="105" customWidth="1"/>
    <col min="10754" max="10754" width="26.7109375" style="105" customWidth="1"/>
    <col min="10755" max="10755" width="7.7109375" style="105" customWidth="1"/>
    <col min="10756" max="10756" width="6.42578125" style="105" customWidth="1"/>
    <col min="10757" max="10757" width="27.7109375" style="105" customWidth="1"/>
    <col min="10758" max="10758" width="14.42578125" style="105" customWidth="1"/>
    <col min="10759" max="10760" width="11.5703125" style="105"/>
    <col min="10761" max="10761" width="12.28515625" style="105" bestFit="1" customWidth="1"/>
    <col min="10762" max="11008" width="11.5703125" style="105"/>
    <col min="11009" max="11009" width="4.28515625" style="105" customWidth="1"/>
    <col min="11010" max="11010" width="26.7109375" style="105" customWidth="1"/>
    <col min="11011" max="11011" width="7.7109375" style="105" customWidth="1"/>
    <col min="11012" max="11012" width="6.42578125" style="105" customWidth="1"/>
    <col min="11013" max="11013" width="27.7109375" style="105" customWidth="1"/>
    <col min="11014" max="11014" width="14.42578125" style="105" customWidth="1"/>
    <col min="11015" max="11016" width="11.5703125" style="105"/>
    <col min="11017" max="11017" width="12.28515625" style="105" bestFit="1" customWidth="1"/>
    <col min="11018" max="11264" width="11.5703125" style="105"/>
    <col min="11265" max="11265" width="4.28515625" style="105" customWidth="1"/>
    <col min="11266" max="11266" width="26.7109375" style="105" customWidth="1"/>
    <col min="11267" max="11267" width="7.7109375" style="105" customWidth="1"/>
    <col min="11268" max="11268" width="6.42578125" style="105" customWidth="1"/>
    <col min="11269" max="11269" width="27.7109375" style="105" customWidth="1"/>
    <col min="11270" max="11270" width="14.42578125" style="105" customWidth="1"/>
    <col min="11271" max="11272" width="11.5703125" style="105"/>
    <col min="11273" max="11273" width="12.28515625" style="105" bestFit="1" customWidth="1"/>
    <col min="11274" max="11520" width="11.5703125" style="105"/>
    <col min="11521" max="11521" width="4.28515625" style="105" customWidth="1"/>
    <col min="11522" max="11522" width="26.7109375" style="105" customWidth="1"/>
    <col min="11523" max="11523" width="7.7109375" style="105" customWidth="1"/>
    <col min="11524" max="11524" width="6.42578125" style="105" customWidth="1"/>
    <col min="11525" max="11525" width="27.7109375" style="105" customWidth="1"/>
    <col min="11526" max="11526" width="14.42578125" style="105" customWidth="1"/>
    <col min="11527" max="11528" width="11.5703125" style="105"/>
    <col min="11529" max="11529" width="12.28515625" style="105" bestFit="1" customWidth="1"/>
    <col min="11530" max="11776" width="11.5703125" style="105"/>
    <col min="11777" max="11777" width="4.28515625" style="105" customWidth="1"/>
    <col min="11778" max="11778" width="26.7109375" style="105" customWidth="1"/>
    <col min="11779" max="11779" width="7.7109375" style="105" customWidth="1"/>
    <col min="11780" max="11780" width="6.42578125" style="105" customWidth="1"/>
    <col min="11781" max="11781" width="27.7109375" style="105" customWidth="1"/>
    <col min="11782" max="11782" width="14.42578125" style="105" customWidth="1"/>
    <col min="11783" max="11784" width="11.5703125" style="105"/>
    <col min="11785" max="11785" width="12.28515625" style="105" bestFit="1" customWidth="1"/>
    <col min="11786" max="12032" width="11.5703125" style="105"/>
    <col min="12033" max="12033" width="4.28515625" style="105" customWidth="1"/>
    <col min="12034" max="12034" width="26.7109375" style="105" customWidth="1"/>
    <col min="12035" max="12035" width="7.7109375" style="105" customWidth="1"/>
    <col min="12036" max="12036" width="6.42578125" style="105" customWidth="1"/>
    <col min="12037" max="12037" width="27.7109375" style="105" customWidth="1"/>
    <col min="12038" max="12038" width="14.42578125" style="105" customWidth="1"/>
    <col min="12039" max="12040" width="11.5703125" style="105"/>
    <col min="12041" max="12041" width="12.28515625" style="105" bestFit="1" customWidth="1"/>
    <col min="12042" max="12288" width="11.5703125" style="105"/>
    <col min="12289" max="12289" width="4.28515625" style="105" customWidth="1"/>
    <col min="12290" max="12290" width="26.7109375" style="105" customWidth="1"/>
    <col min="12291" max="12291" width="7.7109375" style="105" customWidth="1"/>
    <col min="12292" max="12292" width="6.42578125" style="105" customWidth="1"/>
    <col min="12293" max="12293" width="27.7109375" style="105" customWidth="1"/>
    <col min="12294" max="12294" width="14.42578125" style="105" customWidth="1"/>
    <col min="12295" max="12296" width="11.5703125" style="105"/>
    <col min="12297" max="12297" width="12.28515625" style="105" bestFit="1" customWidth="1"/>
    <col min="12298" max="12544" width="11.5703125" style="105"/>
    <col min="12545" max="12545" width="4.28515625" style="105" customWidth="1"/>
    <col min="12546" max="12546" width="26.7109375" style="105" customWidth="1"/>
    <col min="12547" max="12547" width="7.7109375" style="105" customWidth="1"/>
    <col min="12548" max="12548" width="6.42578125" style="105" customWidth="1"/>
    <col min="12549" max="12549" width="27.7109375" style="105" customWidth="1"/>
    <col min="12550" max="12550" width="14.42578125" style="105" customWidth="1"/>
    <col min="12551" max="12552" width="11.5703125" style="105"/>
    <col min="12553" max="12553" width="12.28515625" style="105" bestFit="1" customWidth="1"/>
    <col min="12554" max="12800" width="11.5703125" style="105"/>
    <col min="12801" max="12801" width="4.28515625" style="105" customWidth="1"/>
    <col min="12802" max="12802" width="26.7109375" style="105" customWidth="1"/>
    <col min="12803" max="12803" width="7.7109375" style="105" customWidth="1"/>
    <col min="12804" max="12804" width="6.42578125" style="105" customWidth="1"/>
    <col min="12805" max="12805" width="27.7109375" style="105" customWidth="1"/>
    <col min="12806" max="12806" width="14.42578125" style="105" customWidth="1"/>
    <col min="12807" max="12808" width="11.5703125" style="105"/>
    <col min="12809" max="12809" width="12.28515625" style="105" bestFit="1" customWidth="1"/>
    <col min="12810" max="13056" width="11.5703125" style="105"/>
    <col min="13057" max="13057" width="4.28515625" style="105" customWidth="1"/>
    <col min="13058" max="13058" width="26.7109375" style="105" customWidth="1"/>
    <col min="13059" max="13059" width="7.7109375" style="105" customWidth="1"/>
    <col min="13060" max="13060" width="6.42578125" style="105" customWidth="1"/>
    <col min="13061" max="13061" width="27.7109375" style="105" customWidth="1"/>
    <col min="13062" max="13062" width="14.42578125" style="105" customWidth="1"/>
    <col min="13063" max="13064" width="11.5703125" style="105"/>
    <col min="13065" max="13065" width="12.28515625" style="105" bestFit="1" customWidth="1"/>
    <col min="13066" max="13312" width="11.5703125" style="105"/>
    <col min="13313" max="13313" width="4.28515625" style="105" customWidth="1"/>
    <col min="13314" max="13314" width="26.7109375" style="105" customWidth="1"/>
    <col min="13315" max="13315" width="7.7109375" style="105" customWidth="1"/>
    <col min="13316" max="13316" width="6.42578125" style="105" customWidth="1"/>
    <col min="13317" max="13317" width="27.7109375" style="105" customWidth="1"/>
    <col min="13318" max="13318" width="14.42578125" style="105" customWidth="1"/>
    <col min="13319" max="13320" width="11.5703125" style="105"/>
    <col min="13321" max="13321" width="12.28515625" style="105" bestFit="1" customWidth="1"/>
    <col min="13322" max="13568" width="11.5703125" style="105"/>
    <col min="13569" max="13569" width="4.28515625" style="105" customWidth="1"/>
    <col min="13570" max="13570" width="26.7109375" style="105" customWidth="1"/>
    <col min="13571" max="13571" width="7.7109375" style="105" customWidth="1"/>
    <col min="13572" max="13572" width="6.42578125" style="105" customWidth="1"/>
    <col min="13573" max="13573" width="27.7109375" style="105" customWidth="1"/>
    <col min="13574" max="13574" width="14.42578125" style="105" customWidth="1"/>
    <col min="13575" max="13576" width="11.5703125" style="105"/>
    <col min="13577" max="13577" width="12.28515625" style="105" bestFit="1" customWidth="1"/>
    <col min="13578" max="13824" width="11.5703125" style="105"/>
    <col min="13825" max="13825" width="4.28515625" style="105" customWidth="1"/>
    <col min="13826" max="13826" width="26.7109375" style="105" customWidth="1"/>
    <col min="13827" max="13827" width="7.7109375" style="105" customWidth="1"/>
    <col min="13828" max="13828" width="6.42578125" style="105" customWidth="1"/>
    <col min="13829" max="13829" width="27.7109375" style="105" customWidth="1"/>
    <col min="13830" max="13830" width="14.42578125" style="105" customWidth="1"/>
    <col min="13831" max="13832" width="11.5703125" style="105"/>
    <col min="13833" max="13833" width="12.28515625" style="105" bestFit="1" customWidth="1"/>
    <col min="13834" max="14080" width="11.5703125" style="105"/>
    <col min="14081" max="14081" width="4.28515625" style="105" customWidth="1"/>
    <col min="14082" max="14082" width="26.7109375" style="105" customWidth="1"/>
    <col min="14083" max="14083" width="7.7109375" style="105" customWidth="1"/>
    <col min="14084" max="14084" width="6.42578125" style="105" customWidth="1"/>
    <col min="14085" max="14085" width="27.7109375" style="105" customWidth="1"/>
    <col min="14086" max="14086" width="14.42578125" style="105" customWidth="1"/>
    <col min="14087" max="14088" width="11.5703125" style="105"/>
    <col min="14089" max="14089" width="12.28515625" style="105" bestFit="1" customWidth="1"/>
    <col min="14090" max="14336" width="11.5703125" style="105"/>
    <col min="14337" max="14337" width="4.28515625" style="105" customWidth="1"/>
    <col min="14338" max="14338" width="26.7109375" style="105" customWidth="1"/>
    <col min="14339" max="14339" width="7.7109375" style="105" customWidth="1"/>
    <col min="14340" max="14340" width="6.42578125" style="105" customWidth="1"/>
    <col min="14341" max="14341" width="27.7109375" style="105" customWidth="1"/>
    <col min="14342" max="14342" width="14.42578125" style="105" customWidth="1"/>
    <col min="14343" max="14344" width="11.5703125" style="105"/>
    <col min="14345" max="14345" width="12.28515625" style="105" bestFit="1" customWidth="1"/>
    <col min="14346" max="14592" width="11.5703125" style="105"/>
    <col min="14593" max="14593" width="4.28515625" style="105" customWidth="1"/>
    <col min="14594" max="14594" width="26.7109375" style="105" customWidth="1"/>
    <col min="14595" max="14595" width="7.7109375" style="105" customWidth="1"/>
    <col min="14596" max="14596" width="6.42578125" style="105" customWidth="1"/>
    <col min="14597" max="14597" width="27.7109375" style="105" customWidth="1"/>
    <col min="14598" max="14598" width="14.42578125" style="105" customWidth="1"/>
    <col min="14599" max="14600" width="11.5703125" style="105"/>
    <col min="14601" max="14601" width="12.28515625" style="105" bestFit="1" customWidth="1"/>
    <col min="14602" max="14848" width="11.5703125" style="105"/>
    <col min="14849" max="14849" width="4.28515625" style="105" customWidth="1"/>
    <col min="14850" max="14850" width="26.7109375" style="105" customWidth="1"/>
    <col min="14851" max="14851" width="7.7109375" style="105" customWidth="1"/>
    <col min="14852" max="14852" width="6.42578125" style="105" customWidth="1"/>
    <col min="14853" max="14853" width="27.7109375" style="105" customWidth="1"/>
    <col min="14854" max="14854" width="14.42578125" style="105" customWidth="1"/>
    <col min="14855" max="14856" width="11.5703125" style="105"/>
    <col min="14857" max="14857" width="12.28515625" style="105" bestFit="1" customWidth="1"/>
    <col min="14858" max="15104" width="11.5703125" style="105"/>
    <col min="15105" max="15105" width="4.28515625" style="105" customWidth="1"/>
    <col min="15106" max="15106" width="26.7109375" style="105" customWidth="1"/>
    <col min="15107" max="15107" width="7.7109375" style="105" customWidth="1"/>
    <col min="15108" max="15108" width="6.42578125" style="105" customWidth="1"/>
    <col min="15109" max="15109" width="27.7109375" style="105" customWidth="1"/>
    <col min="15110" max="15110" width="14.42578125" style="105" customWidth="1"/>
    <col min="15111" max="15112" width="11.5703125" style="105"/>
    <col min="15113" max="15113" width="12.28515625" style="105" bestFit="1" customWidth="1"/>
    <col min="15114" max="15360" width="11.5703125" style="105"/>
    <col min="15361" max="15361" width="4.28515625" style="105" customWidth="1"/>
    <col min="15362" max="15362" width="26.7109375" style="105" customWidth="1"/>
    <col min="15363" max="15363" width="7.7109375" style="105" customWidth="1"/>
    <col min="15364" max="15364" width="6.42578125" style="105" customWidth="1"/>
    <col min="15365" max="15365" width="27.7109375" style="105" customWidth="1"/>
    <col min="15366" max="15366" width="14.42578125" style="105" customWidth="1"/>
    <col min="15367" max="15368" width="11.5703125" style="105"/>
    <col min="15369" max="15369" width="12.28515625" style="105" bestFit="1" customWidth="1"/>
    <col min="15370" max="15616" width="11.5703125" style="105"/>
    <col min="15617" max="15617" width="4.28515625" style="105" customWidth="1"/>
    <col min="15618" max="15618" width="26.7109375" style="105" customWidth="1"/>
    <col min="15619" max="15619" width="7.7109375" style="105" customWidth="1"/>
    <col min="15620" max="15620" width="6.42578125" style="105" customWidth="1"/>
    <col min="15621" max="15621" width="27.7109375" style="105" customWidth="1"/>
    <col min="15622" max="15622" width="14.42578125" style="105" customWidth="1"/>
    <col min="15623" max="15624" width="11.5703125" style="105"/>
    <col min="15625" max="15625" width="12.28515625" style="105" bestFit="1" customWidth="1"/>
    <col min="15626" max="15872" width="11.5703125" style="105"/>
    <col min="15873" max="15873" width="4.28515625" style="105" customWidth="1"/>
    <col min="15874" max="15874" width="26.7109375" style="105" customWidth="1"/>
    <col min="15875" max="15875" width="7.7109375" style="105" customWidth="1"/>
    <col min="15876" max="15876" width="6.42578125" style="105" customWidth="1"/>
    <col min="15877" max="15877" width="27.7109375" style="105" customWidth="1"/>
    <col min="15878" max="15878" width="14.42578125" style="105" customWidth="1"/>
    <col min="15879" max="15880" width="11.5703125" style="105"/>
    <col min="15881" max="15881" width="12.28515625" style="105" bestFit="1" customWidth="1"/>
    <col min="15882" max="16128" width="11.5703125" style="105"/>
    <col min="16129" max="16129" width="4.28515625" style="105" customWidth="1"/>
    <col min="16130" max="16130" width="26.7109375" style="105" customWidth="1"/>
    <col min="16131" max="16131" width="7.7109375" style="105" customWidth="1"/>
    <col min="16132" max="16132" width="6.42578125" style="105" customWidth="1"/>
    <col min="16133" max="16133" width="27.7109375" style="105" customWidth="1"/>
    <col min="16134" max="16134" width="14.42578125" style="105" customWidth="1"/>
    <col min="16135" max="16136" width="11.5703125" style="105"/>
    <col min="16137" max="16137" width="12.28515625" style="105" bestFit="1" customWidth="1"/>
    <col min="16138" max="16384" width="11.5703125" style="105"/>
  </cols>
  <sheetData>
    <row r="1" spans="1:7" ht="61.35" customHeight="1" x14ac:dyDescent="0.2">
      <c r="A1" s="362" t="s">
        <v>754</v>
      </c>
      <c r="B1" s="362"/>
      <c r="C1" s="363" t="s">
        <v>755</v>
      </c>
      <c r="D1" s="363"/>
      <c r="E1" s="363"/>
      <c r="F1" s="363"/>
      <c r="G1" s="363"/>
    </row>
    <row r="2" spans="1:7" x14ac:dyDescent="0.2">
      <c r="A2" s="38"/>
      <c r="B2" s="38"/>
      <c r="C2" s="106"/>
      <c r="D2" s="106"/>
      <c r="E2" s="106"/>
      <c r="F2" s="106"/>
      <c r="G2" s="107"/>
    </row>
    <row r="3" spans="1:7" x14ac:dyDescent="0.2">
      <c r="A3" s="38"/>
      <c r="B3" s="38"/>
      <c r="C3" s="106"/>
      <c r="D3" s="106"/>
      <c r="E3" s="106"/>
      <c r="F3" s="106"/>
      <c r="G3" s="107"/>
    </row>
    <row r="4" spans="1:7" x14ac:dyDescent="0.2">
      <c r="B4" s="364" t="s">
        <v>1153</v>
      </c>
      <c r="C4" s="364"/>
      <c r="D4" s="364"/>
      <c r="E4" s="364"/>
      <c r="F4" s="364"/>
    </row>
    <row r="5" spans="1:7" x14ac:dyDescent="0.2">
      <c r="B5" s="365" t="s">
        <v>411</v>
      </c>
      <c r="C5" s="365"/>
      <c r="D5" s="365"/>
      <c r="E5" s="365"/>
      <c r="F5" s="365"/>
    </row>
    <row r="6" spans="1:7" x14ac:dyDescent="0.2">
      <c r="C6" s="38"/>
      <c r="D6" s="38"/>
      <c r="E6" s="38"/>
    </row>
    <row r="7" spans="1:7" ht="124.9" customHeight="1" x14ac:dyDescent="0.2">
      <c r="A7" s="366" t="s">
        <v>273</v>
      </c>
      <c r="B7" s="366"/>
      <c r="C7" s="366"/>
      <c r="D7" s="333" t="s">
        <v>756</v>
      </c>
      <c r="E7" s="360"/>
      <c r="F7" s="360"/>
      <c r="G7" s="360"/>
    </row>
    <row r="8" spans="1:7" ht="16.899999999999999" customHeight="1" x14ac:dyDescent="0.2">
      <c r="A8" s="361" t="s">
        <v>3</v>
      </c>
      <c r="B8" s="361"/>
      <c r="C8" s="361"/>
      <c r="D8" s="361" t="s">
        <v>645</v>
      </c>
      <c r="E8" s="361"/>
      <c r="F8" s="361"/>
      <c r="G8" s="361"/>
    </row>
    <row r="9" spans="1:7" x14ac:dyDescent="0.2">
      <c r="A9" s="328" t="s">
        <v>646</v>
      </c>
      <c r="B9" s="359"/>
      <c r="C9" s="359"/>
      <c r="D9" s="338" t="s">
        <v>228</v>
      </c>
      <c r="E9" s="339"/>
      <c r="F9" s="339"/>
      <c r="G9" s="339"/>
    </row>
    <row r="10" spans="1:7" x14ac:dyDescent="0.2">
      <c r="A10" s="328" t="s">
        <v>647</v>
      </c>
      <c r="B10" s="328"/>
      <c r="C10" s="328"/>
      <c r="D10" s="338" t="s">
        <v>648</v>
      </c>
      <c r="E10" s="338"/>
      <c r="F10" s="338"/>
      <c r="G10" s="338"/>
    </row>
    <row r="11" spans="1:7" ht="13.15" customHeight="1" x14ac:dyDescent="0.2">
      <c r="A11" s="328" t="s">
        <v>649</v>
      </c>
      <c r="B11" s="359"/>
      <c r="C11" s="359"/>
      <c r="D11" s="330" t="s">
        <v>757</v>
      </c>
      <c r="E11" s="330"/>
      <c r="F11" s="330"/>
      <c r="G11" s="330"/>
    </row>
    <row r="12" spans="1:7" x14ac:dyDescent="0.2">
      <c r="A12" s="104"/>
      <c r="B12" s="104"/>
      <c r="D12" s="360"/>
      <c r="E12" s="360"/>
      <c r="F12" s="360"/>
      <c r="G12" s="360"/>
    </row>
    <row r="13" spans="1:7" ht="27.6" customHeight="1" x14ac:dyDescent="0.2">
      <c r="A13" s="328" t="s">
        <v>651</v>
      </c>
      <c r="B13" s="331"/>
      <c r="C13" s="331"/>
      <c r="D13" s="332" t="s">
        <v>758</v>
      </c>
      <c r="E13" s="332"/>
      <c r="F13" s="332"/>
      <c r="G13" s="332"/>
    </row>
    <row r="14" spans="1:7" ht="32.25" customHeight="1" x14ac:dyDescent="0.2">
      <c r="A14" s="111" t="s">
        <v>49</v>
      </c>
      <c r="B14" s="111" t="s">
        <v>278</v>
      </c>
      <c r="C14" s="111" t="s">
        <v>653</v>
      </c>
      <c r="D14" s="111" t="s">
        <v>654</v>
      </c>
      <c r="E14" s="111" t="s">
        <v>279</v>
      </c>
      <c r="F14" s="111" t="s">
        <v>46</v>
      </c>
      <c r="G14" s="112" t="s">
        <v>759</v>
      </c>
    </row>
    <row r="15" spans="1:7" x14ac:dyDescent="0.2">
      <c r="A15" s="113">
        <v>1</v>
      </c>
      <c r="B15" s="114">
        <v>2</v>
      </c>
      <c r="C15" s="114">
        <v>3</v>
      </c>
      <c r="D15" s="114">
        <v>4</v>
      </c>
      <c r="E15" s="114">
        <v>5</v>
      </c>
      <c r="F15" s="114">
        <v>6</v>
      </c>
      <c r="G15" s="114">
        <v>7</v>
      </c>
    </row>
    <row r="16" spans="1:7" ht="12.75" customHeight="1" x14ac:dyDescent="0.2">
      <c r="A16" s="115" t="s">
        <v>10</v>
      </c>
      <c r="B16" s="116" t="s">
        <v>78</v>
      </c>
      <c r="C16" s="116"/>
      <c r="D16" s="116"/>
      <c r="E16" s="116" t="s">
        <v>281</v>
      </c>
      <c r="F16" s="116"/>
      <c r="G16" s="117"/>
    </row>
    <row r="17" spans="1:8" ht="89.25" customHeight="1" x14ac:dyDescent="0.2">
      <c r="A17" s="115" t="s">
        <v>88</v>
      </c>
      <c r="B17" s="116" t="s">
        <v>760</v>
      </c>
      <c r="C17" s="118" t="s">
        <v>761</v>
      </c>
      <c r="D17" s="118">
        <v>5.3</v>
      </c>
      <c r="E17" s="118" t="s">
        <v>762</v>
      </c>
      <c r="F17" s="118" t="s">
        <v>763</v>
      </c>
      <c r="G17" s="119">
        <f>ROUND(23.3  * D17,2)</f>
        <v>123.49</v>
      </c>
    </row>
    <row r="18" spans="1:8" ht="112.15" customHeight="1" x14ac:dyDescent="0.2">
      <c r="A18" s="120" t="s">
        <v>85</v>
      </c>
      <c r="B18" s="121" t="s">
        <v>764</v>
      </c>
      <c r="C18" s="122" t="s">
        <v>765</v>
      </c>
      <c r="D18" s="122">
        <v>19</v>
      </c>
      <c r="E18" s="122" t="s">
        <v>766</v>
      </c>
      <c r="F18" s="122" t="s">
        <v>767</v>
      </c>
      <c r="G18" s="123">
        <f>ROUND(18.4  * D18 * 0.5,2)</f>
        <v>174.8</v>
      </c>
    </row>
    <row r="19" spans="1:8" ht="15.75" customHeight="1" x14ac:dyDescent="0.2">
      <c r="A19" s="124" t="s">
        <v>39</v>
      </c>
      <c r="B19" s="125" t="s">
        <v>45</v>
      </c>
      <c r="C19" s="125"/>
      <c r="D19" s="125"/>
      <c r="E19" s="125"/>
      <c r="F19" s="125"/>
      <c r="G19" s="126"/>
    </row>
    <row r="20" spans="1:8" ht="12.75" customHeight="1" x14ac:dyDescent="0.2">
      <c r="A20" s="127" t="s">
        <v>39</v>
      </c>
      <c r="B20" s="128" t="s">
        <v>282</v>
      </c>
      <c r="C20" s="128"/>
      <c r="D20" s="128"/>
      <c r="E20" s="128"/>
      <c r="F20" s="128"/>
      <c r="G20" s="129"/>
    </row>
    <row r="21" spans="1:8" ht="73.900000000000006" customHeight="1" x14ac:dyDescent="0.2">
      <c r="A21" s="130" t="s">
        <v>39</v>
      </c>
      <c r="B21" s="131" t="s">
        <v>768</v>
      </c>
      <c r="C21" s="131"/>
      <c r="D21" s="131"/>
      <c r="E21" s="131" t="s">
        <v>1342</v>
      </c>
      <c r="F21" s="131"/>
      <c r="G21" s="132"/>
    </row>
    <row r="22" spans="1:8" ht="63.75" x14ac:dyDescent="0.2">
      <c r="A22" s="133" t="s">
        <v>83</v>
      </c>
      <c r="B22" s="134" t="s">
        <v>764</v>
      </c>
      <c r="C22" s="135" t="s">
        <v>765</v>
      </c>
      <c r="D22" s="135">
        <f>D18</f>
        <v>19</v>
      </c>
      <c r="E22" s="135" t="s">
        <v>766</v>
      </c>
      <c r="F22" s="135" t="s">
        <v>769</v>
      </c>
      <c r="G22" s="136">
        <f>ROUND(18.4  * D22,2)</f>
        <v>349.6</v>
      </c>
    </row>
    <row r="23" spans="1:8" ht="140.25" customHeight="1" x14ac:dyDescent="0.2">
      <c r="A23" s="115" t="s">
        <v>81</v>
      </c>
      <c r="B23" s="116" t="s">
        <v>770</v>
      </c>
      <c r="C23" s="118" t="s">
        <v>771</v>
      </c>
      <c r="D23" s="118">
        <v>80</v>
      </c>
      <c r="E23" s="118" t="s">
        <v>772</v>
      </c>
      <c r="F23" s="118" t="s">
        <v>773</v>
      </c>
      <c r="G23" s="119">
        <f>ROUND(22.1  * D23,2)</f>
        <v>1768</v>
      </c>
    </row>
    <row r="24" spans="1:8" ht="140.25" customHeight="1" x14ac:dyDescent="0.2">
      <c r="A24" s="133" t="s">
        <v>167</v>
      </c>
      <c r="B24" s="134" t="s">
        <v>325</v>
      </c>
      <c r="C24" s="135" t="s">
        <v>771</v>
      </c>
      <c r="D24" s="135">
        <v>66</v>
      </c>
      <c r="E24" s="135" t="s">
        <v>774</v>
      </c>
      <c r="F24" s="135" t="s">
        <v>775</v>
      </c>
      <c r="G24" s="136">
        <f>ROUND(29.2  * D24,2)</f>
        <v>1927.2</v>
      </c>
      <c r="H24" s="105">
        <f>D23+D24</f>
        <v>146</v>
      </c>
    </row>
    <row r="25" spans="1:8" ht="115.15" customHeight="1" x14ac:dyDescent="0.2">
      <c r="A25" s="120" t="s">
        <v>166</v>
      </c>
      <c r="B25" s="121" t="s">
        <v>776</v>
      </c>
      <c r="C25" s="122" t="s">
        <v>771</v>
      </c>
      <c r="D25" s="122">
        <v>89</v>
      </c>
      <c r="E25" s="122" t="s">
        <v>1343</v>
      </c>
      <c r="F25" s="122" t="s">
        <v>1344</v>
      </c>
      <c r="G25" s="123">
        <f>ROUND(1.5  * D25*0.6,2)</f>
        <v>80.099999999999994</v>
      </c>
    </row>
    <row r="26" spans="1:8" ht="15.75" customHeight="1" x14ac:dyDescent="0.2">
      <c r="A26" s="124" t="s">
        <v>39</v>
      </c>
      <c r="B26" s="125" t="s">
        <v>45</v>
      </c>
      <c r="C26" s="125"/>
      <c r="D26" s="125"/>
      <c r="E26" s="125"/>
      <c r="F26" s="125"/>
      <c r="G26" s="137"/>
    </row>
    <row r="27" spans="1:8" ht="63.75" customHeight="1" x14ac:dyDescent="0.2">
      <c r="A27" s="130" t="s">
        <v>39</v>
      </c>
      <c r="B27" s="131" t="s">
        <v>777</v>
      </c>
      <c r="C27" s="131"/>
      <c r="D27" s="131"/>
      <c r="E27" s="131" t="s">
        <v>778</v>
      </c>
      <c r="F27" s="131"/>
      <c r="G27" s="138"/>
    </row>
    <row r="28" spans="1:8" ht="139.9" customHeight="1" x14ac:dyDescent="0.2">
      <c r="A28" s="139" t="s">
        <v>337</v>
      </c>
      <c r="B28" s="121" t="s">
        <v>783</v>
      </c>
      <c r="C28" s="140" t="s">
        <v>784</v>
      </c>
      <c r="D28" s="122">
        <v>9</v>
      </c>
      <c r="E28" s="140" t="s">
        <v>785</v>
      </c>
      <c r="F28" s="122" t="s">
        <v>786</v>
      </c>
      <c r="G28" s="141">
        <f>ROUND(128.3  * D28*1.5*1.1,2)</f>
        <v>1905.26</v>
      </c>
    </row>
    <row r="29" spans="1:8" ht="15.75" customHeight="1" x14ac:dyDescent="0.2">
      <c r="A29" s="142" t="s">
        <v>39</v>
      </c>
      <c r="B29" s="134" t="s">
        <v>45</v>
      </c>
      <c r="C29" s="102"/>
      <c r="D29" s="134"/>
      <c r="E29" s="102"/>
      <c r="F29" s="134"/>
      <c r="G29" s="143"/>
    </row>
    <row r="30" spans="1:8" ht="25.5" x14ac:dyDescent="0.2">
      <c r="A30" s="142" t="s">
        <v>39</v>
      </c>
      <c r="B30" s="135" t="s">
        <v>787</v>
      </c>
      <c r="C30" s="110"/>
      <c r="D30" s="135"/>
      <c r="E30" s="144" t="s">
        <v>788</v>
      </c>
      <c r="F30" s="135"/>
      <c r="G30" s="145"/>
    </row>
    <row r="31" spans="1:8" ht="38.25" x14ac:dyDescent="0.2">
      <c r="A31" s="146" t="s">
        <v>39</v>
      </c>
      <c r="B31" s="131" t="s">
        <v>789</v>
      </c>
      <c r="C31" s="147"/>
      <c r="D31" s="131"/>
      <c r="E31" s="148" t="s">
        <v>1136</v>
      </c>
      <c r="F31" s="131"/>
      <c r="G31" s="149"/>
    </row>
    <row r="32" spans="1:8" ht="123.6" customHeight="1" x14ac:dyDescent="0.2">
      <c r="A32" s="115" t="s">
        <v>341</v>
      </c>
      <c r="B32" s="116" t="s">
        <v>779</v>
      </c>
      <c r="C32" s="118" t="s">
        <v>771</v>
      </c>
      <c r="D32" s="118">
        <v>89</v>
      </c>
      <c r="E32" s="118" t="s">
        <v>1345</v>
      </c>
      <c r="F32" s="118" t="s">
        <v>1346</v>
      </c>
      <c r="G32" s="119">
        <f>ROUND(5.5  * D32,2)</f>
        <v>489.5</v>
      </c>
    </row>
    <row r="33" spans="1:12" ht="163.9" customHeight="1" x14ac:dyDescent="0.2">
      <c r="A33" s="115" t="s">
        <v>342</v>
      </c>
      <c r="B33" s="116" t="s">
        <v>328</v>
      </c>
      <c r="C33" s="118" t="s">
        <v>780</v>
      </c>
      <c r="D33" s="118">
        <v>24</v>
      </c>
      <c r="E33" s="118" t="s">
        <v>781</v>
      </c>
      <c r="F33" s="118" t="s">
        <v>782</v>
      </c>
      <c r="G33" s="119">
        <f>ROUND(22.9  * D33,2)</f>
        <v>549.6</v>
      </c>
    </row>
    <row r="34" spans="1:12" ht="25.5" customHeight="1" x14ac:dyDescent="0.2">
      <c r="A34" s="130" t="s">
        <v>790</v>
      </c>
      <c r="B34" s="150" t="s">
        <v>285</v>
      </c>
      <c r="C34" s="150"/>
      <c r="D34" s="150"/>
      <c r="E34" s="150"/>
      <c r="F34" s="150"/>
      <c r="G34" s="151">
        <f>ROUND((SUM($G$17:$G$33)),2)</f>
        <v>7367.55</v>
      </c>
    </row>
    <row r="35" spans="1:12" s="282" customFormat="1" ht="76.5" x14ac:dyDescent="0.2">
      <c r="A35" s="274" t="s">
        <v>791</v>
      </c>
      <c r="B35" s="275" t="s">
        <v>736</v>
      </c>
      <c r="C35" s="275"/>
      <c r="D35" s="276"/>
      <c r="E35" s="275" t="s">
        <v>792</v>
      </c>
      <c r="F35" s="277">
        <v>0.85</v>
      </c>
      <c r="G35" s="278">
        <f>G34*F35</f>
        <v>6262.4174999999996</v>
      </c>
      <c r="H35" s="279"/>
      <c r="I35" s="280"/>
      <c r="J35" s="281"/>
      <c r="K35" s="279"/>
      <c r="L35" s="279"/>
    </row>
    <row r="36" spans="1:12" ht="25.5" customHeight="1" x14ac:dyDescent="0.2">
      <c r="A36" s="115" t="s">
        <v>793</v>
      </c>
      <c r="B36" s="116" t="s">
        <v>286</v>
      </c>
      <c r="C36" s="116"/>
      <c r="D36" s="116"/>
      <c r="E36" s="116"/>
      <c r="F36" s="116" t="s">
        <v>1347</v>
      </c>
      <c r="G36" s="117">
        <f>G35</f>
        <v>6262.4174999999996</v>
      </c>
    </row>
    <row r="37" spans="1:12" ht="12.75" customHeight="1" x14ac:dyDescent="0.2">
      <c r="A37" s="115" t="s">
        <v>11</v>
      </c>
      <c r="B37" s="116" t="s">
        <v>78</v>
      </c>
      <c r="C37" s="116"/>
      <c r="D37" s="116"/>
      <c r="E37" s="116" t="s">
        <v>287</v>
      </c>
      <c r="F37" s="116"/>
      <c r="G37" s="117"/>
    </row>
    <row r="38" spans="1:12" x14ac:dyDescent="0.2">
      <c r="A38" s="349" t="s">
        <v>76</v>
      </c>
      <c r="B38" s="351" t="s">
        <v>794</v>
      </c>
      <c r="C38" s="353" t="s">
        <v>795</v>
      </c>
      <c r="D38" s="353">
        <v>5</v>
      </c>
      <c r="E38" s="353" t="s">
        <v>796</v>
      </c>
      <c r="F38" s="353" t="s">
        <v>797</v>
      </c>
      <c r="G38" s="347">
        <f>ROUND(38.4  * D38,2)</f>
        <v>192</v>
      </c>
    </row>
    <row r="39" spans="1:12" ht="166.9" customHeight="1" x14ac:dyDescent="0.2">
      <c r="A39" s="357"/>
      <c r="B39" s="358"/>
      <c r="C39" s="355"/>
      <c r="D39" s="355"/>
      <c r="E39" s="355"/>
      <c r="F39" s="355"/>
      <c r="G39" s="356"/>
    </row>
    <row r="40" spans="1:12" x14ac:dyDescent="0.2">
      <c r="A40" s="349" t="s">
        <v>75</v>
      </c>
      <c r="B40" s="351" t="s">
        <v>798</v>
      </c>
      <c r="C40" s="353" t="s">
        <v>795</v>
      </c>
      <c r="D40" s="353">
        <v>17</v>
      </c>
      <c r="E40" s="353" t="s">
        <v>799</v>
      </c>
      <c r="F40" s="353" t="s">
        <v>800</v>
      </c>
      <c r="G40" s="347">
        <f>ROUND((135)  * D40,2)</f>
        <v>2295</v>
      </c>
    </row>
    <row r="41" spans="1:12" ht="164.45" customHeight="1" x14ac:dyDescent="0.2">
      <c r="A41" s="350"/>
      <c r="B41" s="352"/>
      <c r="C41" s="354"/>
      <c r="D41" s="354"/>
      <c r="E41" s="354"/>
      <c r="F41" s="354"/>
      <c r="G41" s="348"/>
    </row>
    <row r="42" spans="1:12" ht="192" customHeight="1" x14ac:dyDescent="0.2">
      <c r="A42" s="133" t="s">
        <v>73</v>
      </c>
      <c r="B42" s="134" t="s">
        <v>801</v>
      </c>
      <c r="C42" s="135" t="s">
        <v>795</v>
      </c>
      <c r="D42" s="135">
        <f>D40</f>
        <v>17</v>
      </c>
      <c r="E42" s="135" t="s">
        <v>802</v>
      </c>
      <c r="F42" s="135" t="s">
        <v>803</v>
      </c>
      <c r="G42" s="136">
        <f>ROUND(14.4  * D42,2)</f>
        <v>244.8</v>
      </c>
    </row>
    <row r="43" spans="1:12" ht="201.6" customHeight="1" x14ac:dyDescent="0.2">
      <c r="A43" s="349" t="s">
        <v>353</v>
      </c>
      <c r="B43" s="351" t="s">
        <v>804</v>
      </c>
      <c r="C43" s="353" t="s">
        <v>795</v>
      </c>
      <c r="D43" s="353">
        <v>20</v>
      </c>
      <c r="E43" s="353" t="s">
        <v>1137</v>
      </c>
      <c r="F43" s="353" t="s">
        <v>1138</v>
      </c>
      <c r="G43" s="347">
        <f>ROUND(101.9  * D43,2)</f>
        <v>2038</v>
      </c>
    </row>
    <row r="44" spans="1:12" ht="12.75" customHeight="1" x14ac:dyDescent="0.2">
      <c r="A44" s="350"/>
      <c r="B44" s="352"/>
      <c r="C44" s="354"/>
      <c r="D44" s="354"/>
      <c r="E44" s="354"/>
      <c r="F44" s="354"/>
      <c r="G44" s="348"/>
    </row>
    <row r="45" spans="1:12" ht="168.6" customHeight="1" x14ac:dyDescent="0.2">
      <c r="A45" s="349" t="s">
        <v>357</v>
      </c>
      <c r="B45" s="351" t="s">
        <v>805</v>
      </c>
      <c r="C45" s="353" t="s">
        <v>795</v>
      </c>
      <c r="D45" s="353">
        <v>9</v>
      </c>
      <c r="E45" s="353" t="s">
        <v>806</v>
      </c>
      <c r="F45" s="353" t="s">
        <v>807</v>
      </c>
      <c r="G45" s="347">
        <f>ROUND(17.6  * D45,2)</f>
        <v>158.4</v>
      </c>
    </row>
    <row r="46" spans="1:12" ht="12.75" customHeight="1" x14ac:dyDescent="0.2">
      <c r="A46" s="350"/>
      <c r="B46" s="352"/>
      <c r="C46" s="354"/>
      <c r="D46" s="354"/>
      <c r="E46" s="354"/>
      <c r="F46" s="354"/>
      <c r="G46" s="348"/>
    </row>
    <row r="47" spans="1:12" ht="159" customHeight="1" x14ac:dyDescent="0.2">
      <c r="A47" s="133" t="s">
        <v>361</v>
      </c>
      <c r="B47" s="134" t="s">
        <v>1139</v>
      </c>
      <c r="C47" s="135" t="s">
        <v>795</v>
      </c>
      <c r="D47" s="135">
        <v>2</v>
      </c>
      <c r="E47" s="135" t="s">
        <v>1140</v>
      </c>
      <c r="F47" s="135" t="s">
        <v>1141</v>
      </c>
      <c r="G47" s="136">
        <f>ROUND(45.5  * D47,2)</f>
        <v>91</v>
      </c>
    </row>
    <row r="48" spans="1:12" ht="159" customHeight="1" x14ac:dyDescent="0.2">
      <c r="A48" s="349" t="s">
        <v>365</v>
      </c>
      <c r="B48" s="351" t="s">
        <v>444</v>
      </c>
      <c r="C48" s="353" t="s">
        <v>795</v>
      </c>
      <c r="D48" s="353">
        <v>6</v>
      </c>
      <c r="E48" s="353" t="s">
        <v>808</v>
      </c>
      <c r="F48" s="353" t="s">
        <v>809</v>
      </c>
      <c r="G48" s="347">
        <f>ROUND(18.2  * D48,2)</f>
        <v>109.2</v>
      </c>
    </row>
    <row r="49" spans="1:8" ht="12.75" customHeight="1" x14ac:dyDescent="0.2">
      <c r="A49" s="350"/>
      <c r="B49" s="352"/>
      <c r="C49" s="354"/>
      <c r="D49" s="354"/>
      <c r="E49" s="354"/>
      <c r="F49" s="354"/>
      <c r="G49" s="348"/>
    </row>
    <row r="50" spans="1:8" ht="168.6" customHeight="1" x14ac:dyDescent="0.2">
      <c r="A50" s="349" t="s">
        <v>366</v>
      </c>
      <c r="B50" s="351" t="s">
        <v>810</v>
      </c>
      <c r="C50" s="353" t="s">
        <v>811</v>
      </c>
      <c r="D50" s="353">
        <v>3</v>
      </c>
      <c r="E50" s="353" t="s">
        <v>812</v>
      </c>
      <c r="F50" s="353" t="s">
        <v>813</v>
      </c>
      <c r="G50" s="347">
        <f>ROUND(48.8  * D50,2)</f>
        <v>146.4</v>
      </c>
    </row>
    <row r="51" spans="1:8" ht="12.75" customHeight="1" x14ac:dyDescent="0.2">
      <c r="A51" s="350"/>
      <c r="B51" s="352"/>
      <c r="C51" s="354"/>
      <c r="D51" s="354"/>
      <c r="E51" s="354"/>
      <c r="F51" s="354"/>
      <c r="G51" s="348"/>
    </row>
    <row r="52" spans="1:8" ht="162.6" customHeight="1" x14ac:dyDescent="0.2">
      <c r="A52" s="115" t="s">
        <v>445</v>
      </c>
      <c r="B52" s="116" t="s">
        <v>814</v>
      </c>
      <c r="C52" s="118" t="s">
        <v>811</v>
      </c>
      <c r="D52" s="118">
        <v>4</v>
      </c>
      <c r="E52" s="118" t="s">
        <v>815</v>
      </c>
      <c r="F52" s="118" t="s">
        <v>816</v>
      </c>
      <c r="G52" s="119">
        <f>ROUND(45.7  * D52,2)</f>
        <v>182.8</v>
      </c>
    </row>
    <row r="53" spans="1:8" ht="25.5" customHeight="1" x14ac:dyDescent="0.2">
      <c r="A53" s="130" t="s">
        <v>817</v>
      </c>
      <c r="B53" s="150" t="s">
        <v>288</v>
      </c>
      <c r="C53" s="150"/>
      <c r="D53" s="150"/>
      <c r="E53" s="150"/>
      <c r="F53" s="283" t="s">
        <v>1348</v>
      </c>
      <c r="G53" s="151">
        <f>ROUND((SUM($G$38:$G$52)),3)</f>
        <v>5457.6</v>
      </c>
    </row>
    <row r="54" spans="1:8" ht="25.5" customHeight="1" x14ac:dyDescent="0.2">
      <c r="A54" s="115" t="s">
        <v>941</v>
      </c>
      <c r="B54" s="116" t="s">
        <v>289</v>
      </c>
      <c r="C54" s="116"/>
      <c r="D54" s="116"/>
      <c r="E54" s="116"/>
      <c r="F54" s="283" t="s">
        <v>1349</v>
      </c>
      <c r="G54" s="117">
        <f>ROUND(($G$53),3)</f>
        <v>5457.6</v>
      </c>
    </row>
    <row r="55" spans="1:8" ht="12.75" customHeight="1" x14ac:dyDescent="0.2">
      <c r="A55" s="115" t="s">
        <v>13</v>
      </c>
      <c r="B55" s="116" t="s">
        <v>78</v>
      </c>
      <c r="C55" s="116"/>
      <c r="D55" s="116"/>
      <c r="E55" s="116" t="s">
        <v>291</v>
      </c>
      <c r="F55" s="116"/>
      <c r="G55" s="117"/>
    </row>
    <row r="56" spans="1:8" ht="121.9" customHeight="1" x14ac:dyDescent="0.2">
      <c r="A56" s="120" t="s">
        <v>292</v>
      </c>
      <c r="B56" s="121" t="s">
        <v>818</v>
      </c>
      <c r="C56" s="122" t="s">
        <v>819</v>
      </c>
      <c r="D56" s="122">
        <v>1</v>
      </c>
      <c r="E56" s="122" t="s">
        <v>1350</v>
      </c>
      <c r="F56" s="122" t="s">
        <v>820</v>
      </c>
      <c r="G56" s="123">
        <f>ROUND(500  * 1 * 1.25,3)</f>
        <v>625</v>
      </c>
    </row>
    <row r="57" spans="1:8" ht="15.75" customHeight="1" x14ac:dyDescent="0.2">
      <c r="A57" s="124" t="s">
        <v>39</v>
      </c>
      <c r="B57" s="125" t="s">
        <v>45</v>
      </c>
      <c r="C57" s="125"/>
      <c r="D57" s="125"/>
      <c r="E57" s="125"/>
      <c r="F57" s="125"/>
      <c r="G57" s="126"/>
    </row>
    <row r="58" spans="1:8" ht="63.75" customHeight="1" x14ac:dyDescent="0.2">
      <c r="A58" s="127" t="s">
        <v>39</v>
      </c>
      <c r="B58" s="128" t="s">
        <v>821</v>
      </c>
      <c r="C58" s="128"/>
      <c r="D58" s="128"/>
      <c r="E58" s="128" t="s">
        <v>822</v>
      </c>
      <c r="F58" s="128"/>
      <c r="G58" s="129"/>
    </row>
    <row r="59" spans="1:8" ht="89.25" customHeight="1" x14ac:dyDescent="0.2">
      <c r="A59" s="120" t="s">
        <v>293</v>
      </c>
      <c r="B59" s="121" t="s">
        <v>760</v>
      </c>
      <c r="C59" s="122" t="s">
        <v>761</v>
      </c>
      <c r="D59" s="122">
        <f>D17</f>
        <v>5.3</v>
      </c>
      <c r="E59" s="122" t="s">
        <v>823</v>
      </c>
      <c r="F59" s="122" t="s">
        <v>824</v>
      </c>
      <c r="G59" s="123">
        <f>ROUND(18.5  * D59,2)</f>
        <v>98.05</v>
      </c>
    </row>
    <row r="60" spans="1:8" ht="108.6" customHeight="1" x14ac:dyDescent="0.2">
      <c r="A60" s="115" t="s">
        <v>294</v>
      </c>
      <c r="B60" s="116" t="s">
        <v>825</v>
      </c>
      <c r="C60" s="118" t="s">
        <v>826</v>
      </c>
      <c r="D60" s="118">
        <v>17</v>
      </c>
      <c r="E60" s="118" t="s">
        <v>827</v>
      </c>
      <c r="F60" s="118" t="s">
        <v>828</v>
      </c>
      <c r="G60" s="119">
        <f>3.6*D60</f>
        <v>61.2</v>
      </c>
      <c r="H60" s="152"/>
    </row>
    <row r="61" spans="1:8" ht="89.25" customHeight="1" x14ac:dyDescent="0.2">
      <c r="A61" s="115" t="s">
        <v>296</v>
      </c>
      <c r="B61" s="116" t="s">
        <v>829</v>
      </c>
      <c r="C61" s="118" t="s">
        <v>830</v>
      </c>
      <c r="D61" s="118">
        <v>1</v>
      </c>
      <c r="E61" s="118" t="s">
        <v>831</v>
      </c>
      <c r="F61" s="118" t="s">
        <v>1142</v>
      </c>
      <c r="G61" s="119">
        <f>(SUM(G38:G45))*20%</f>
        <v>985.64</v>
      </c>
      <c r="H61" s="152">
        <f>SUM(G38:G46)</f>
        <v>4928.2</v>
      </c>
    </row>
    <row r="62" spans="1:8" ht="89.25" customHeight="1" x14ac:dyDescent="0.2">
      <c r="A62" s="115" t="s">
        <v>383</v>
      </c>
      <c r="B62" s="116" t="s">
        <v>1143</v>
      </c>
      <c r="C62" s="118" t="s">
        <v>830</v>
      </c>
      <c r="D62" s="118">
        <v>1</v>
      </c>
      <c r="E62" s="118" t="s">
        <v>1144</v>
      </c>
      <c r="F62" s="118" t="s">
        <v>1145</v>
      </c>
      <c r="G62" s="119">
        <f>(SUM(G47))*15%</f>
        <v>13.65</v>
      </c>
      <c r="H62" s="152">
        <f>G47</f>
        <v>91</v>
      </c>
    </row>
    <row r="63" spans="1:8" ht="89.25" customHeight="1" x14ac:dyDescent="0.2">
      <c r="A63" s="115" t="s">
        <v>384</v>
      </c>
      <c r="B63" s="116" t="s">
        <v>832</v>
      </c>
      <c r="C63" s="118" t="s">
        <v>830</v>
      </c>
      <c r="D63" s="118">
        <v>1</v>
      </c>
      <c r="E63" s="118" t="s">
        <v>833</v>
      </c>
      <c r="F63" s="118" t="s">
        <v>1146</v>
      </c>
      <c r="G63" s="119">
        <f>G48*15%</f>
        <v>16.38</v>
      </c>
      <c r="H63" s="152">
        <f>G48</f>
        <v>109.2</v>
      </c>
    </row>
    <row r="64" spans="1:8" ht="76.5" customHeight="1" x14ac:dyDescent="0.2">
      <c r="A64" s="133" t="s">
        <v>385</v>
      </c>
      <c r="B64" s="134" t="s">
        <v>834</v>
      </c>
      <c r="C64" s="135" t="s">
        <v>830</v>
      </c>
      <c r="D64" s="135">
        <v>1</v>
      </c>
      <c r="E64" s="135" t="s">
        <v>835</v>
      </c>
      <c r="F64" s="135" t="s">
        <v>1147</v>
      </c>
      <c r="G64" s="136">
        <f>(G50)*12%</f>
        <v>17.568000000000001</v>
      </c>
      <c r="H64" s="152">
        <f>G50</f>
        <v>146.4</v>
      </c>
    </row>
    <row r="65" spans="1:12" ht="89.25" customHeight="1" x14ac:dyDescent="0.2">
      <c r="A65" s="115" t="s">
        <v>386</v>
      </c>
      <c r="B65" s="116" t="s">
        <v>836</v>
      </c>
      <c r="C65" s="118" t="s">
        <v>830</v>
      </c>
      <c r="D65" s="118">
        <v>1</v>
      </c>
      <c r="E65" s="118" t="s">
        <v>837</v>
      </c>
      <c r="F65" s="118" t="s">
        <v>1148</v>
      </c>
      <c r="G65" s="119">
        <f>G52*15%</f>
        <v>27.42</v>
      </c>
      <c r="H65" s="152">
        <f>G52</f>
        <v>182.8</v>
      </c>
    </row>
    <row r="66" spans="1:12" ht="95.45" customHeight="1" x14ac:dyDescent="0.2">
      <c r="A66" s="115" t="s">
        <v>841</v>
      </c>
      <c r="B66" s="116" t="s">
        <v>838</v>
      </c>
      <c r="C66" s="118" t="s">
        <v>784</v>
      </c>
      <c r="D66" s="118">
        <f>D28</f>
        <v>9</v>
      </c>
      <c r="E66" s="118" t="s">
        <v>839</v>
      </c>
      <c r="F66" s="118" t="s">
        <v>840</v>
      </c>
      <c r="G66" s="119">
        <f>29.7*D66</f>
        <v>267.3</v>
      </c>
      <c r="H66" s="152">
        <f>G53</f>
        <v>5457.6</v>
      </c>
    </row>
    <row r="67" spans="1:12" ht="165.75" customHeight="1" x14ac:dyDescent="0.2">
      <c r="A67" s="115" t="s">
        <v>844</v>
      </c>
      <c r="B67" s="116" t="s">
        <v>842</v>
      </c>
      <c r="C67" s="118" t="s">
        <v>843</v>
      </c>
      <c r="D67" s="118">
        <f>D23+D24-D25</f>
        <v>57</v>
      </c>
      <c r="E67" s="118" t="s">
        <v>1351</v>
      </c>
      <c r="F67" s="118" t="s">
        <v>1352</v>
      </c>
      <c r="G67" s="119">
        <f>ROUND(8.2 * D67,2)</f>
        <v>467.4</v>
      </c>
    </row>
    <row r="68" spans="1:12" ht="165.75" customHeight="1" x14ac:dyDescent="0.2">
      <c r="A68" s="115" t="s">
        <v>846</v>
      </c>
      <c r="B68" s="116" t="s">
        <v>845</v>
      </c>
      <c r="C68" s="118" t="s">
        <v>843</v>
      </c>
      <c r="D68" s="118">
        <f>D25</f>
        <v>89</v>
      </c>
      <c r="E68" s="118" t="s">
        <v>1353</v>
      </c>
      <c r="F68" s="118" t="s">
        <v>1354</v>
      </c>
      <c r="G68" s="119">
        <f>ROUND(9.3 * D68,2)</f>
        <v>827.7</v>
      </c>
      <c r="H68" s="105">
        <f>D67+D68</f>
        <v>146</v>
      </c>
    </row>
    <row r="69" spans="1:12" ht="127.5" customHeight="1" x14ac:dyDescent="0.2">
      <c r="A69" s="133" t="s">
        <v>850</v>
      </c>
      <c r="B69" s="134" t="s">
        <v>847</v>
      </c>
      <c r="C69" s="135" t="s">
        <v>830</v>
      </c>
      <c r="D69" s="135">
        <v>1</v>
      </c>
      <c r="E69" s="135" t="s">
        <v>1149</v>
      </c>
      <c r="F69" s="135" t="s">
        <v>1355</v>
      </c>
      <c r="G69" s="136">
        <f>SUM(G59:G68)*21%*1.5</f>
        <v>876.42701999999997</v>
      </c>
      <c r="H69" s="152">
        <f>SUM(G59:G68)</f>
        <v>2782.308</v>
      </c>
    </row>
    <row r="70" spans="1:12" ht="15.75" customHeight="1" x14ac:dyDescent="0.2">
      <c r="A70" s="124" t="s">
        <v>39</v>
      </c>
      <c r="B70" s="125" t="s">
        <v>45</v>
      </c>
      <c r="C70" s="125"/>
      <c r="D70" s="125"/>
      <c r="E70" s="125"/>
      <c r="F70" s="125"/>
      <c r="G70" s="137"/>
    </row>
    <row r="71" spans="1:12" ht="89.25" customHeight="1" x14ac:dyDescent="0.2">
      <c r="A71" s="130" t="s">
        <v>39</v>
      </c>
      <c r="B71" s="131" t="s">
        <v>848</v>
      </c>
      <c r="C71" s="131"/>
      <c r="D71" s="131"/>
      <c r="E71" s="131" t="s">
        <v>849</v>
      </c>
      <c r="F71" s="131"/>
      <c r="G71" s="138"/>
    </row>
    <row r="72" spans="1:12" ht="25.5" customHeight="1" x14ac:dyDescent="0.2">
      <c r="A72" s="115" t="s">
        <v>1150</v>
      </c>
      <c r="B72" s="116" t="s">
        <v>297</v>
      </c>
      <c r="C72" s="116"/>
      <c r="D72" s="116"/>
      <c r="E72" s="116"/>
      <c r="F72" s="116"/>
      <c r="G72" s="117">
        <f>ROUND((SUM($G$56:$G$71)),2)</f>
        <v>4283.74</v>
      </c>
    </row>
    <row r="73" spans="1:12" ht="12.75" customHeight="1" x14ac:dyDescent="0.2">
      <c r="A73" s="115" t="s">
        <v>15</v>
      </c>
      <c r="B73" s="116" t="s">
        <v>78</v>
      </c>
      <c r="C73" s="116"/>
      <c r="D73" s="116"/>
      <c r="E73" s="116" t="s">
        <v>299</v>
      </c>
      <c r="F73" s="116"/>
      <c r="G73" s="117"/>
    </row>
    <row r="74" spans="1:12" ht="99" customHeight="1" x14ac:dyDescent="0.2">
      <c r="A74" s="120" t="s">
        <v>300</v>
      </c>
      <c r="B74" s="122" t="s">
        <v>851</v>
      </c>
      <c r="C74" s="122"/>
      <c r="D74" s="122"/>
      <c r="E74" s="122" t="s">
        <v>852</v>
      </c>
      <c r="F74" s="122" t="s">
        <v>853</v>
      </c>
      <c r="G74" s="123">
        <f>ROUND((H74) * 12.5 / 100 * 1,2)</f>
        <v>782.8</v>
      </c>
      <c r="H74" s="119">
        <f>G36</f>
        <v>6262.4174999999996</v>
      </c>
    </row>
    <row r="75" spans="1:12" s="282" customFormat="1" ht="49.15" customHeight="1" x14ac:dyDescent="0.2">
      <c r="A75" s="284" t="s">
        <v>303</v>
      </c>
      <c r="B75" s="285" t="s">
        <v>309</v>
      </c>
      <c r="C75" s="286"/>
      <c r="D75" s="285"/>
      <c r="E75" s="286" t="s">
        <v>718</v>
      </c>
      <c r="F75" s="285" t="s">
        <v>854</v>
      </c>
      <c r="G75" s="287">
        <f>ROUND((H74+G74)*6/100*1.5,2)</f>
        <v>634.07000000000005</v>
      </c>
      <c r="H75" s="279"/>
      <c r="I75" s="280"/>
      <c r="J75" s="281"/>
      <c r="K75" s="279"/>
      <c r="L75" s="279"/>
    </row>
    <row r="76" spans="1:12" s="282" customFormat="1" x14ac:dyDescent="0.2">
      <c r="A76" s="288"/>
      <c r="B76" s="289" t="s">
        <v>45</v>
      </c>
      <c r="C76" s="290"/>
      <c r="D76" s="291"/>
      <c r="E76" s="290"/>
      <c r="F76" s="291"/>
      <c r="G76" s="292"/>
      <c r="H76" s="279"/>
      <c r="I76" s="280"/>
      <c r="J76" s="281"/>
      <c r="K76" s="279"/>
      <c r="L76" s="279"/>
    </row>
    <row r="77" spans="1:12" s="282" customFormat="1" ht="69.599999999999994" customHeight="1" x14ac:dyDescent="0.2">
      <c r="A77" s="293"/>
      <c r="B77" s="294" t="s">
        <v>855</v>
      </c>
      <c r="C77" s="295"/>
      <c r="D77" s="294"/>
      <c r="E77" s="295" t="s">
        <v>856</v>
      </c>
      <c r="F77" s="294"/>
      <c r="G77" s="296"/>
      <c r="H77" s="279"/>
      <c r="I77" s="280"/>
      <c r="J77" s="281"/>
      <c r="K77" s="279"/>
      <c r="L77" s="279"/>
    </row>
    <row r="78" spans="1:12" s="282" customFormat="1" ht="25.15" customHeight="1" x14ac:dyDescent="0.2">
      <c r="A78" s="297" t="s">
        <v>305</v>
      </c>
      <c r="B78" s="294" t="s">
        <v>857</v>
      </c>
      <c r="C78" s="294"/>
      <c r="D78" s="294"/>
      <c r="E78" s="294"/>
      <c r="F78" s="294" t="s">
        <v>858</v>
      </c>
      <c r="G78" s="298">
        <f>G74+G75</f>
        <v>1416.87</v>
      </c>
      <c r="H78" s="279"/>
      <c r="I78" s="280"/>
      <c r="J78" s="281"/>
      <c r="K78" s="279"/>
      <c r="L78" s="279"/>
    </row>
    <row r="79" spans="1:12" ht="12.75" customHeight="1" x14ac:dyDescent="0.2">
      <c r="A79" s="115" t="s">
        <v>308</v>
      </c>
      <c r="B79" s="116" t="s">
        <v>312</v>
      </c>
      <c r="C79" s="116"/>
      <c r="D79" s="116"/>
      <c r="E79" s="116"/>
      <c r="F79" s="116"/>
      <c r="G79" s="117">
        <f>G78</f>
        <v>1416.87</v>
      </c>
    </row>
    <row r="80" spans="1:12" ht="12.75" customHeight="1" x14ac:dyDescent="0.2">
      <c r="A80" s="115" t="s">
        <v>17</v>
      </c>
      <c r="B80" s="116" t="s">
        <v>43</v>
      </c>
      <c r="C80" s="116"/>
      <c r="D80" s="116"/>
      <c r="E80" s="116"/>
      <c r="F80" s="116"/>
      <c r="G80" s="117">
        <f>H74+G54+G72+G79</f>
        <v>17420.627499999999</v>
      </c>
    </row>
    <row r="81" spans="1:9" ht="51" customHeight="1" x14ac:dyDescent="0.2">
      <c r="A81" s="115" t="s">
        <v>19</v>
      </c>
      <c r="B81" s="158" t="s">
        <v>1068</v>
      </c>
      <c r="C81" s="158"/>
      <c r="D81" s="158"/>
      <c r="E81" s="158" t="s">
        <v>1151</v>
      </c>
      <c r="F81" s="118" t="s">
        <v>1069</v>
      </c>
      <c r="G81" s="119">
        <f>ROUND(($G$80) * 67.78* 1,3)</f>
        <v>1180770.132</v>
      </c>
    </row>
    <row r="82" spans="1:9" ht="12.75" customHeight="1" x14ac:dyDescent="0.2">
      <c r="A82" s="115" t="s">
        <v>20</v>
      </c>
      <c r="B82" s="116" t="s">
        <v>42</v>
      </c>
      <c r="C82" s="116"/>
      <c r="D82" s="116"/>
      <c r="E82" s="116"/>
      <c r="F82" s="116"/>
      <c r="G82" s="117">
        <f>ROUND(($G$81),3)</f>
        <v>1180770.132</v>
      </c>
      <c r="H82" s="152"/>
      <c r="I82" s="152"/>
    </row>
    <row r="83" spans="1:9" ht="12.75" customHeight="1" x14ac:dyDescent="0.2"/>
    <row r="86" spans="1:9" s="103" customFormat="1" ht="28.15" customHeight="1" x14ac:dyDescent="0.2">
      <c r="A86" s="333" t="s">
        <v>725</v>
      </c>
      <c r="B86" s="333"/>
      <c r="C86" s="334"/>
      <c r="D86" s="333"/>
      <c r="E86" s="333"/>
      <c r="F86" s="333"/>
      <c r="G86" s="333"/>
    </row>
    <row r="87" spans="1:9" x14ac:dyDescent="0.2">
      <c r="A87" s="153"/>
      <c r="B87" s="153"/>
      <c r="C87" s="153"/>
      <c r="D87" s="153"/>
      <c r="E87" s="153"/>
      <c r="F87" s="153"/>
      <c r="G87" s="154"/>
    </row>
    <row r="88" spans="1:9" x14ac:dyDescent="0.2">
      <c r="A88" s="153"/>
      <c r="B88" s="153"/>
      <c r="C88" s="153"/>
      <c r="D88" s="153"/>
      <c r="E88" s="153"/>
      <c r="F88" s="153"/>
      <c r="G88" s="154"/>
    </row>
    <row r="89" spans="1:9" x14ac:dyDescent="0.2">
      <c r="A89" s="153"/>
      <c r="B89" s="153"/>
      <c r="C89" s="153"/>
      <c r="D89" s="153"/>
      <c r="E89" s="153"/>
      <c r="F89" s="153"/>
      <c r="G89" s="154"/>
    </row>
  </sheetData>
  <mergeCells count="61">
    <mergeCell ref="A1:B1"/>
    <mergeCell ref="C1:G1"/>
    <mergeCell ref="B4:F4"/>
    <mergeCell ref="B5:F5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D12:G12"/>
    <mergeCell ref="A13:C13"/>
    <mergeCell ref="D13:G13"/>
    <mergeCell ref="F38:F39"/>
    <mergeCell ref="G38:G39"/>
    <mergeCell ref="A40:A41"/>
    <mergeCell ref="B40:B41"/>
    <mergeCell ref="C40:C41"/>
    <mergeCell ref="D40:D41"/>
    <mergeCell ref="E40:E41"/>
    <mergeCell ref="F40:F41"/>
    <mergeCell ref="G40:G41"/>
    <mergeCell ref="A38:A39"/>
    <mergeCell ref="B38:B39"/>
    <mergeCell ref="C38:C39"/>
    <mergeCell ref="D38:D39"/>
    <mergeCell ref="E38:E39"/>
    <mergeCell ref="G43:G44"/>
    <mergeCell ref="A45:A46"/>
    <mergeCell ref="B45:B46"/>
    <mergeCell ref="C45:C46"/>
    <mergeCell ref="D45:D46"/>
    <mergeCell ref="E45:E46"/>
    <mergeCell ref="F45:F46"/>
    <mergeCell ref="G45:G46"/>
    <mergeCell ref="A43:A44"/>
    <mergeCell ref="B43:B44"/>
    <mergeCell ref="C43:C44"/>
    <mergeCell ref="D43:D44"/>
    <mergeCell ref="E43:E44"/>
    <mergeCell ref="F43:F44"/>
    <mergeCell ref="A86:B86"/>
    <mergeCell ref="C86:G86"/>
    <mergeCell ref="G48:G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</mergeCells>
  <pageMargins left="0.39374999999999999" right="0.39374999999999999" top="0.59027777777777779" bottom="0.82777777777777783" header="0.51180555555555562" footer="0.59027777777777779"/>
  <pageSetup paperSize="9" scale="88" orientation="portrait" useFirstPageNumber="1" horizontalDpi="300" verticalDpi="300" r:id="rId1"/>
  <headerFooter alignWithMargins="0">
    <oddFooter>&amp;CСтраница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25">
    <tabColor rgb="FF92D050"/>
  </sheetPr>
  <dimension ref="A1:IV62"/>
  <sheetViews>
    <sheetView workbookViewId="0">
      <selection activeCell="J48" sqref="J48"/>
    </sheetView>
  </sheetViews>
  <sheetFormatPr defaultColWidth="11.5703125" defaultRowHeight="12.75" x14ac:dyDescent="0.2"/>
  <cols>
    <col min="1" max="1" width="3.5703125" style="6" customWidth="1"/>
    <col min="2" max="2" width="26.5703125" style="6" customWidth="1"/>
    <col min="3" max="3" width="7.5703125" style="6" customWidth="1"/>
    <col min="4" max="4" width="4.85546875" style="6" customWidth="1"/>
    <col min="5" max="5" width="27.5703125" style="6" customWidth="1"/>
    <col min="6" max="6" width="14.42578125" style="6" customWidth="1"/>
    <col min="7" max="7" width="11.5703125" style="6" customWidth="1"/>
    <col min="8" max="256" width="11.5703125" style="5"/>
  </cols>
  <sheetData>
    <row r="1" spans="1:7" ht="61.35" customHeight="1" x14ac:dyDescent="0.2">
      <c r="A1" s="380" t="s">
        <v>270</v>
      </c>
      <c r="B1" s="380"/>
      <c r="C1" s="381" t="s">
        <v>388</v>
      </c>
      <c r="D1" s="381"/>
      <c r="E1" s="381"/>
      <c r="F1" s="381"/>
      <c r="G1" s="381"/>
    </row>
    <row r="2" spans="1:7" x14ac:dyDescent="0.2">
      <c r="A2" s="34"/>
      <c r="B2" s="34"/>
      <c r="C2" s="33"/>
      <c r="D2" s="33"/>
      <c r="E2" s="33"/>
      <c r="F2" s="33"/>
      <c r="G2" s="33"/>
    </row>
    <row r="3" spans="1:7" x14ac:dyDescent="0.2">
      <c r="A3" s="34"/>
      <c r="B3" s="34"/>
      <c r="C3" s="33"/>
      <c r="D3" s="33"/>
      <c r="E3" s="33"/>
      <c r="F3" s="33"/>
      <c r="G3" s="33"/>
    </row>
    <row r="4" spans="1:7" x14ac:dyDescent="0.2">
      <c r="B4" s="382" t="s">
        <v>389</v>
      </c>
      <c r="C4" s="382"/>
      <c r="D4" s="382"/>
      <c r="E4" s="382"/>
      <c r="F4" s="382"/>
    </row>
    <row r="5" spans="1:7" x14ac:dyDescent="0.2">
      <c r="B5" s="383" t="s">
        <v>390</v>
      </c>
      <c r="C5" s="383"/>
      <c r="D5" s="383"/>
      <c r="E5" s="383"/>
      <c r="F5" s="383"/>
    </row>
    <row r="6" spans="1:7" x14ac:dyDescent="0.2">
      <c r="B6" s="37"/>
      <c r="C6" s="37"/>
      <c r="D6" s="37"/>
      <c r="E6" s="37"/>
      <c r="F6" s="37"/>
    </row>
    <row r="7" spans="1:7" ht="75.599999999999994" customHeight="1" x14ac:dyDescent="0.2">
      <c r="A7" s="384" t="s">
        <v>51</v>
      </c>
      <c r="B7" s="384"/>
      <c r="C7" s="384"/>
      <c r="D7" s="385" t="s">
        <v>274</v>
      </c>
      <c r="E7" s="385"/>
      <c r="F7" s="385"/>
      <c r="G7" s="385"/>
    </row>
    <row r="8" spans="1:7" x14ac:dyDescent="0.2">
      <c r="C8" s="38"/>
      <c r="D8" s="38"/>
      <c r="E8" s="38"/>
    </row>
    <row r="9" spans="1:7" ht="12.75" customHeight="1" x14ac:dyDescent="0.2">
      <c r="A9" s="384" t="s">
        <v>273</v>
      </c>
      <c r="B9" s="384"/>
      <c r="C9" s="384"/>
      <c r="D9" s="388" t="s">
        <v>391</v>
      </c>
      <c r="E9" s="388"/>
      <c r="F9" s="388"/>
      <c r="G9" s="388"/>
    </row>
    <row r="10" spans="1:7" x14ac:dyDescent="0.2">
      <c r="A10" s="39"/>
      <c r="B10" s="39"/>
      <c r="C10" s="29"/>
      <c r="D10" s="40"/>
      <c r="E10" s="40"/>
      <c r="F10" s="40"/>
      <c r="G10" s="40"/>
    </row>
    <row r="11" spans="1:7" x14ac:dyDescent="0.2">
      <c r="A11" s="384" t="s">
        <v>275</v>
      </c>
      <c r="B11" s="384"/>
      <c r="C11" s="384"/>
      <c r="D11" s="388"/>
      <c r="E11" s="388"/>
      <c r="F11" s="388"/>
      <c r="G11" s="388"/>
    </row>
    <row r="12" spans="1:7" x14ac:dyDescent="0.2">
      <c r="D12" s="388"/>
      <c r="E12" s="388"/>
      <c r="F12" s="388"/>
      <c r="G12" s="388"/>
    </row>
    <row r="13" spans="1:7" ht="13.5" customHeight="1" x14ac:dyDescent="0.2">
      <c r="A13" s="384" t="s">
        <v>276</v>
      </c>
      <c r="B13" s="384"/>
      <c r="C13" s="384"/>
      <c r="D13" s="388" t="s">
        <v>9</v>
      </c>
      <c r="E13" s="388"/>
      <c r="F13" s="388"/>
      <c r="G13" s="388"/>
    </row>
    <row r="14" spans="1:7" ht="12" customHeight="1" x14ac:dyDescent="0.2">
      <c r="A14" s="29"/>
      <c r="B14" s="29"/>
      <c r="D14" s="388"/>
      <c r="E14" s="388"/>
      <c r="F14" s="388"/>
      <c r="G14" s="388"/>
    </row>
    <row r="15" spans="1:7" ht="25.5" customHeight="1" x14ac:dyDescent="0.2">
      <c r="A15" s="384" t="s">
        <v>392</v>
      </c>
      <c r="B15" s="386"/>
      <c r="C15" s="386"/>
      <c r="D15" s="386"/>
      <c r="E15" s="386"/>
      <c r="F15" s="386"/>
      <c r="G15" s="386"/>
    </row>
    <row r="16" spans="1:7" ht="12.75" customHeight="1" x14ac:dyDescent="0.2">
      <c r="A16" s="7"/>
      <c r="B16" s="8"/>
      <c r="C16" s="8"/>
      <c r="D16" s="8"/>
      <c r="E16" s="8"/>
      <c r="F16" s="8"/>
      <c r="G16" s="8"/>
    </row>
    <row r="17" spans="1:7" ht="12.75" customHeight="1" x14ac:dyDescent="0.2">
      <c r="A17" s="478" t="s">
        <v>277</v>
      </c>
      <c r="B17" s="478"/>
      <c r="C17" s="478"/>
      <c r="D17" s="478"/>
      <c r="E17" s="478"/>
      <c r="F17" s="478"/>
      <c r="G17" s="478"/>
    </row>
    <row r="18" spans="1:7" ht="32.25" customHeight="1" x14ac:dyDescent="0.2">
      <c r="A18" s="41" t="s">
        <v>49</v>
      </c>
      <c r="B18" s="468" t="s">
        <v>278</v>
      </c>
      <c r="C18" s="469"/>
      <c r="D18" s="470"/>
      <c r="E18" s="41" t="s">
        <v>279</v>
      </c>
      <c r="F18" s="41" t="s">
        <v>46</v>
      </c>
      <c r="G18" s="41" t="s">
        <v>280</v>
      </c>
    </row>
    <row r="19" spans="1:7" x14ac:dyDescent="0.2">
      <c r="A19" s="26">
        <v>1</v>
      </c>
      <c r="B19" s="471">
        <v>2</v>
      </c>
      <c r="C19" s="472"/>
      <c r="D19" s="473"/>
      <c r="E19" s="25">
        <v>3</v>
      </c>
      <c r="F19" s="25">
        <v>4</v>
      </c>
      <c r="G19" s="25">
        <v>5</v>
      </c>
    </row>
    <row r="20" spans="1:7" ht="12.95" customHeight="1" x14ac:dyDescent="0.2">
      <c r="A20" s="11" t="s">
        <v>10</v>
      </c>
      <c r="B20" s="474" t="s">
        <v>78</v>
      </c>
      <c r="C20" s="475"/>
      <c r="D20" s="476"/>
      <c r="E20" s="10" t="s">
        <v>281</v>
      </c>
      <c r="F20" s="10"/>
      <c r="G20" s="35"/>
    </row>
    <row r="21" spans="1:7" ht="187.5" customHeight="1" x14ac:dyDescent="0.2">
      <c r="A21" s="42" t="s">
        <v>88</v>
      </c>
      <c r="B21" s="413" t="s">
        <v>319</v>
      </c>
      <c r="C21" s="477"/>
      <c r="D21" s="414"/>
      <c r="E21" s="43" t="s">
        <v>393</v>
      </c>
      <c r="F21" s="43" t="s">
        <v>394</v>
      </c>
      <c r="G21" s="44">
        <f>ROUND(27  * 5.5,0)</f>
        <v>149</v>
      </c>
    </row>
    <row r="22" spans="1:7" ht="15.95" customHeight="1" x14ac:dyDescent="0.2">
      <c r="A22" s="19" t="s">
        <v>39</v>
      </c>
      <c r="B22" s="423"/>
      <c r="C22" s="418"/>
      <c r="D22" s="424"/>
      <c r="E22" s="21" t="s">
        <v>45</v>
      </c>
      <c r="F22" s="21"/>
      <c r="G22" s="20"/>
    </row>
    <row r="23" spans="1:7" ht="12.95" customHeight="1" x14ac:dyDescent="0.2">
      <c r="A23" s="19" t="s">
        <v>39</v>
      </c>
      <c r="B23" s="421"/>
      <c r="C23" s="384"/>
      <c r="D23" s="422"/>
      <c r="E23" s="18" t="s">
        <v>282</v>
      </c>
      <c r="F23" s="18"/>
      <c r="G23" s="17"/>
    </row>
    <row r="24" spans="1:7" ht="24.95" customHeight="1" x14ac:dyDescent="0.2">
      <c r="A24" s="16" t="s">
        <v>39</v>
      </c>
      <c r="B24" s="427"/>
      <c r="C24" s="429"/>
      <c r="D24" s="428"/>
      <c r="E24" s="15" t="s">
        <v>283</v>
      </c>
      <c r="F24" s="15" t="s">
        <v>284</v>
      </c>
      <c r="G24" s="14"/>
    </row>
    <row r="25" spans="1:7" ht="200.1" customHeight="1" x14ac:dyDescent="0.2">
      <c r="A25" s="439" t="s">
        <v>85</v>
      </c>
      <c r="B25" s="413" t="s">
        <v>334</v>
      </c>
      <c r="C25" s="477"/>
      <c r="D25" s="414"/>
      <c r="E25" s="430" t="s">
        <v>409</v>
      </c>
      <c r="F25" s="430" t="s">
        <v>410</v>
      </c>
      <c r="G25" s="432">
        <f>ROUND(4.6  * 6,0)</f>
        <v>28</v>
      </c>
    </row>
    <row r="26" spans="1:7" ht="48.75" customHeight="1" x14ac:dyDescent="0.2">
      <c r="A26" s="440"/>
      <c r="B26" s="423"/>
      <c r="C26" s="418"/>
      <c r="D26" s="424"/>
      <c r="E26" s="431"/>
      <c r="F26" s="431"/>
      <c r="G26" s="433"/>
    </row>
    <row r="27" spans="1:7" ht="15.95" customHeight="1" x14ac:dyDescent="0.2">
      <c r="A27" s="19" t="s">
        <v>39</v>
      </c>
      <c r="B27" s="423"/>
      <c r="C27" s="418"/>
      <c r="D27" s="424"/>
      <c r="E27" s="21" t="s">
        <v>45</v>
      </c>
      <c r="F27" s="21"/>
      <c r="G27" s="20"/>
    </row>
    <row r="28" spans="1:7" ht="12.95" customHeight="1" x14ac:dyDescent="0.2">
      <c r="A28" s="19" t="s">
        <v>39</v>
      </c>
      <c r="B28" s="421"/>
      <c r="C28" s="384"/>
      <c r="D28" s="422"/>
      <c r="E28" s="18" t="s">
        <v>282</v>
      </c>
      <c r="F28" s="18"/>
      <c r="G28" s="17"/>
    </row>
    <row r="29" spans="1:7" ht="24.95" customHeight="1" x14ac:dyDescent="0.2">
      <c r="A29" s="16" t="s">
        <v>39</v>
      </c>
      <c r="B29" s="427"/>
      <c r="C29" s="429"/>
      <c r="D29" s="428"/>
      <c r="E29" s="15" t="s">
        <v>283</v>
      </c>
      <c r="F29" s="15" t="s">
        <v>284</v>
      </c>
      <c r="G29" s="14"/>
    </row>
    <row r="30" spans="1:7" ht="212.45" customHeight="1" x14ac:dyDescent="0.2">
      <c r="A30" s="42" t="s">
        <v>83</v>
      </c>
      <c r="B30" s="413" t="s">
        <v>395</v>
      </c>
      <c r="C30" s="477"/>
      <c r="D30" s="414"/>
      <c r="E30" s="43" t="s">
        <v>396</v>
      </c>
      <c r="F30" s="43" t="s">
        <v>397</v>
      </c>
      <c r="G30" s="44">
        <f>ROUND(37.7  * 30,0)</f>
        <v>1131</v>
      </c>
    </row>
    <row r="31" spans="1:7" ht="15.95" customHeight="1" x14ac:dyDescent="0.2">
      <c r="A31" s="19" t="s">
        <v>39</v>
      </c>
      <c r="B31" s="423"/>
      <c r="C31" s="418"/>
      <c r="D31" s="424"/>
      <c r="E31" s="21" t="s">
        <v>45</v>
      </c>
      <c r="F31" s="21"/>
      <c r="G31" s="20"/>
    </row>
    <row r="32" spans="1:7" ht="12.95" customHeight="1" x14ac:dyDescent="0.2">
      <c r="A32" s="19" t="s">
        <v>39</v>
      </c>
      <c r="B32" s="421"/>
      <c r="C32" s="384"/>
      <c r="D32" s="422"/>
      <c r="E32" s="18" t="s">
        <v>282</v>
      </c>
      <c r="F32" s="18"/>
      <c r="G32" s="17"/>
    </row>
    <row r="33" spans="1:7" ht="24.95" customHeight="1" x14ac:dyDescent="0.2">
      <c r="A33" s="16" t="s">
        <v>39</v>
      </c>
      <c r="B33" s="427"/>
      <c r="C33" s="429"/>
      <c r="D33" s="428"/>
      <c r="E33" s="15" t="s">
        <v>283</v>
      </c>
      <c r="F33" s="15" t="s">
        <v>284</v>
      </c>
      <c r="G33" s="14"/>
    </row>
    <row r="34" spans="1:7" ht="99.95" customHeight="1" x14ac:dyDescent="0.2">
      <c r="A34" s="42" t="s">
        <v>81</v>
      </c>
      <c r="B34" s="413" t="s">
        <v>398</v>
      </c>
      <c r="C34" s="477"/>
      <c r="D34" s="414"/>
      <c r="E34" s="43" t="s">
        <v>399</v>
      </c>
      <c r="F34" s="43" t="s">
        <v>400</v>
      </c>
      <c r="G34" s="44">
        <f>ROUND(535  * 4,0)</f>
        <v>2140</v>
      </c>
    </row>
    <row r="35" spans="1:7" ht="15.95" customHeight="1" x14ac:dyDescent="0.2">
      <c r="A35" s="19" t="s">
        <v>39</v>
      </c>
      <c r="B35" s="423"/>
      <c r="C35" s="418"/>
      <c r="D35" s="424"/>
      <c r="E35" s="21" t="s">
        <v>45</v>
      </c>
      <c r="F35" s="21"/>
      <c r="G35" s="20"/>
    </row>
    <row r="36" spans="1:7" ht="12.95" customHeight="1" x14ac:dyDescent="0.2">
      <c r="A36" s="19" t="s">
        <v>39</v>
      </c>
      <c r="B36" s="421"/>
      <c r="C36" s="384"/>
      <c r="D36" s="422"/>
      <c r="E36" s="18" t="s">
        <v>282</v>
      </c>
      <c r="F36" s="18"/>
      <c r="G36" s="17"/>
    </row>
    <row r="37" spans="1:7" ht="24.95" customHeight="1" x14ac:dyDescent="0.2">
      <c r="A37" s="16" t="s">
        <v>39</v>
      </c>
      <c r="B37" s="427"/>
      <c r="C37" s="429"/>
      <c r="D37" s="428"/>
      <c r="E37" s="15" t="s">
        <v>283</v>
      </c>
      <c r="F37" s="15" t="s">
        <v>284</v>
      </c>
      <c r="G37" s="14"/>
    </row>
    <row r="38" spans="1:7" ht="12.95" customHeight="1" x14ac:dyDescent="0.2">
      <c r="A38" s="45" t="s">
        <v>167</v>
      </c>
      <c r="B38" s="395" t="s">
        <v>285</v>
      </c>
      <c r="C38" s="397"/>
      <c r="D38" s="396"/>
      <c r="E38" s="46"/>
      <c r="F38" s="46"/>
      <c r="G38" s="47">
        <f>ROUND((SUM($G$21:$G$34)),0)</f>
        <v>3448</v>
      </c>
    </row>
    <row r="39" spans="1:7" ht="12.95" customHeight="1" x14ac:dyDescent="0.2">
      <c r="A39" s="45" t="s">
        <v>166</v>
      </c>
      <c r="B39" s="395" t="s">
        <v>286</v>
      </c>
      <c r="C39" s="397"/>
      <c r="D39" s="396"/>
      <c r="E39" s="46"/>
      <c r="F39" s="46" t="s">
        <v>165</v>
      </c>
      <c r="G39" s="47">
        <f>ROUND(($G$38),0)</f>
        <v>3448</v>
      </c>
    </row>
    <row r="40" spans="1:7" ht="12.95" customHeight="1" x14ac:dyDescent="0.2">
      <c r="A40" s="45" t="s">
        <v>11</v>
      </c>
      <c r="B40" s="395" t="s">
        <v>78</v>
      </c>
      <c r="C40" s="397"/>
      <c r="D40" s="396"/>
      <c r="E40" s="46" t="s">
        <v>287</v>
      </c>
      <c r="F40" s="46"/>
      <c r="G40" s="48"/>
    </row>
    <row r="41" spans="1:7" ht="12.95" customHeight="1" x14ac:dyDescent="0.2">
      <c r="A41" s="45" t="s">
        <v>76</v>
      </c>
      <c r="B41" s="395" t="s">
        <v>288</v>
      </c>
      <c r="C41" s="397"/>
      <c r="D41" s="396"/>
      <c r="E41" s="46"/>
      <c r="F41" s="46"/>
      <c r="G41" s="47">
        <f>ROUND(0,0)</f>
        <v>0</v>
      </c>
    </row>
    <row r="42" spans="1:7" ht="12.95" customHeight="1" x14ac:dyDescent="0.2">
      <c r="A42" s="45" t="s">
        <v>75</v>
      </c>
      <c r="B42" s="395" t="s">
        <v>289</v>
      </c>
      <c r="C42" s="397"/>
      <c r="D42" s="396"/>
      <c r="E42" s="46"/>
      <c r="F42" s="46" t="s">
        <v>290</v>
      </c>
      <c r="G42" s="47">
        <f>ROUND(($G$41),0)</f>
        <v>0</v>
      </c>
    </row>
    <row r="43" spans="1:7" ht="12.95" customHeight="1" x14ac:dyDescent="0.2">
      <c r="A43" s="45" t="s">
        <v>13</v>
      </c>
      <c r="B43" s="395" t="s">
        <v>78</v>
      </c>
      <c r="C43" s="397"/>
      <c r="D43" s="396"/>
      <c r="E43" s="46" t="s">
        <v>291</v>
      </c>
      <c r="F43" s="46"/>
      <c r="G43" s="48"/>
    </row>
    <row r="44" spans="1:7" ht="187.5" customHeight="1" x14ac:dyDescent="0.2">
      <c r="A44" s="42" t="s">
        <v>292</v>
      </c>
      <c r="B44" s="413" t="s">
        <v>319</v>
      </c>
      <c r="C44" s="477"/>
      <c r="D44" s="414"/>
      <c r="E44" s="43" t="s">
        <v>401</v>
      </c>
      <c r="F44" s="43" t="s">
        <v>402</v>
      </c>
      <c r="G44" s="44">
        <f>ROUND(18.5  * 5.5,0)</f>
        <v>102</v>
      </c>
    </row>
    <row r="45" spans="1:7" ht="15.95" customHeight="1" x14ac:dyDescent="0.2">
      <c r="A45" s="19" t="s">
        <v>39</v>
      </c>
      <c r="B45" s="423"/>
      <c r="C45" s="418"/>
      <c r="D45" s="424"/>
      <c r="E45" s="21" t="s">
        <v>45</v>
      </c>
      <c r="F45" s="21"/>
      <c r="G45" s="20"/>
    </row>
    <row r="46" spans="1:7" ht="12.95" customHeight="1" x14ac:dyDescent="0.2">
      <c r="A46" s="19" t="s">
        <v>39</v>
      </c>
      <c r="B46" s="421"/>
      <c r="C46" s="384"/>
      <c r="D46" s="422"/>
      <c r="E46" s="18" t="s">
        <v>282</v>
      </c>
      <c r="F46" s="18"/>
      <c r="G46" s="17"/>
    </row>
    <row r="47" spans="1:7" ht="24.95" customHeight="1" x14ac:dyDescent="0.2">
      <c r="A47" s="16" t="s">
        <v>39</v>
      </c>
      <c r="B47" s="427"/>
      <c r="C47" s="429"/>
      <c r="D47" s="428"/>
      <c r="E47" s="15" t="s">
        <v>283</v>
      </c>
      <c r="F47" s="15" t="s">
        <v>284</v>
      </c>
      <c r="G47" s="14"/>
    </row>
    <row r="48" spans="1:7" ht="99.95" customHeight="1" x14ac:dyDescent="0.2">
      <c r="A48" s="42" t="s">
        <v>293</v>
      </c>
      <c r="B48" s="413" t="s">
        <v>398</v>
      </c>
      <c r="C48" s="477"/>
      <c r="D48" s="414"/>
      <c r="E48" s="43" t="s">
        <v>403</v>
      </c>
      <c r="F48" s="43" t="s">
        <v>404</v>
      </c>
      <c r="G48" s="44">
        <f>ROUND(161  * 4,0)</f>
        <v>644</v>
      </c>
    </row>
    <row r="49" spans="1:7" ht="15.95" customHeight="1" x14ac:dyDescent="0.2">
      <c r="A49" s="19" t="s">
        <v>39</v>
      </c>
      <c r="B49" s="423"/>
      <c r="C49" s="418"/>
      <c r="D49" s="424"/>
      <c r="E49" s="21" t="s">
        <v>45</v>
      </c>
      <c r="F49" s="21"/>
      <c r="G49" s="20"/>
    </row>
    <row r="50" spans="1:7" ht="12.95" customHeight="1" x14ac:dyDescent="0.2">
      <c r="A50" s="19" t="s">
        <v>39</v>
      </c>
      <c r="B50" s="421"/>
      <c r="C50" s="384"/>
      <c r="D50" s="422"/>
      <c r="E50" s="18" t="s">
        <v>282</v>
      </c>
      <c r="F50" s="18"/>
      <c r="G50" s="17"/>
    </row>
    <row r="51" spans="1:7" ht="24.95" customHeight="1" x14ac:dyDescent="0.2">
      <c r="A51" s="16" t="s">
        <v>39</v>
      </c>
      <c r="B51" s="427"/>
      <c r="C51" s="429"/>
      <c r="D51" s="428"/>
      <c r="E51" s="15" t="s">
        <v>283</v>
      </c>
      <c r="F51" s="15" t="s">
        <v>284</v>
      </c>
      <c r="G51" s="14"/>
    </row>
    <row r="52" spans="1:7" ht="12.95" customHeight="1" x14ac:dyDescent="0.2">
      <c r="A52" s="45" t="s">
        <v>294</v>
      </c>
      <c r="B52" s="395" t="s">
        <v>295</v>
      </c>
      <c r="C52" s="397"/>
      <c r="D52" s="396"/>
      <c r="E52" s="46"/>
      <c r="F52" s="46"/>
      <c r="G52" s="47">
        <f>ROUND((SUM($G$44:$G$48)),0)</f>
        <v>746</v>
      </c>
    </row>
    <row r="53" spans="1:7" ht="12.95" customHeight="1" x14ac:dyDescent="0.2">
      <c r="A53" s="45" t="s">
        <v>296</v>
      </c>
      <c r="B53" s="395" t="s">
        <v>297</v>
      </c>
      <c r="C53" s="397"/>
      <c r="D53" s="396"/>
      <c r="E53" s="46"/>
      <c r="F53" s="46" t="s">
        <v>298</v>
      </c>
      <c r="G53" s="47">
        <f>ROUND(($G$52),0)</f>
        <v>746</v>
      </c>
    </row>
    <row r="54" spans="1:7" ht="12.95" customHeight="1" x14ac:dyDescent="0.2">
      <c r="A54" s="45" t="s">
        <v>15</v>
      </c>
      <c r="B54" s="395" t="s">
        <v>78</v>
      </c>
      <c r="C54" s="397"/>
      <c r="D54" s="396"/>
      <c r="E54" s="46" t="s">
        <v>299</v>
      </c>
      <c r="F54" s="46"/>
      <c r="G54" s="48"/>
    </row>
    <row r="55" spans="1:7" ht="12.95" customHeight="1" x14ac:dyDescent="0.2">
      <c r="A55" s="45" t="s">
        <v>300</v>
      </c>
      <c r="B55" s="395" t="s">
        <v>312</v>
      </c>
      <c r="C55" s="397"/>
      <c r="D55" s="396"/>
      <c r="E55" s="46"/>
      <c r="F55" s="46" t="s">
        <v>405</v>
      </c>
      <c r="G55" s="47">
        <f>ROUND(0,0)</f>
        <v>0</v>
      </c>
    </row>
    <row r="56" spans="1:7" ht="12.95" customHeight="1" x14ac:dyDescent="0.2">
      <c r="A56" s="45" t="s">
        <v>17</v>
      </c>
      <c r="B56" s="395" t="s">
        <v>43</v>
      </c>
      <c r="C56" s="397"/>
      <c r="D56" s="396"/>
      <c r="E56" s="46"/>
      <c r="F56" s="46"/>
      <c r="G56" s="47">
        <f>ROUND(($G$39 + $G$42 +SUM( $G$53:$G$55)),0)</f>
        <v>4194</v>
      </c>
    </row>
    <row r="57" spans="1:7" ht="37.5" customHeight="1" x14ac:dyDescent="0.2">
      <c r="A57" s="45" t="s">
        <v>19</v>
      </c>
      <c r="B57" s="392" t="s">
        <v>406</v>
      </c>
      <c r="C57" s="394"/>
      <c r="D57" s="393"/>
      <c r="E57" s="49" t="s">
        <v>408</v>
      </c>
      <c r="F57" s="49" t="s">
        <v>407</v>
      </c>
      <c r="G57" s="50">
        <f>ROUND(($G$56) * 64.89* 1,0)</f>
        <v>272149</v>
      </c>
    </row>
    <row r="58" spans="1:7" ht="12.95" customHeight="1" x14ac:dyDescent="0.2">
      <c r="A58" s="45" t="s">
        <v>20</v>
      </c>
      <c r="B58" s="395" t="s">
        <v>42</v>
      </c>
      <c r="C58" s="397"/>
      <c r="D58" s="396"/>
      <c r="E58" s="46"/>
      <c r="F58" s="46" t="s">
        <v>315</v>
      </c>
      <c r="G58" s="47">
        <f>ROUND(($G$57),0)</f>
        <v>272149</v>
      </c>
    </row>
    <row r="59" spans="1:7" ht="12.6" customHeight="1" x14ac:dyDescent="0.2">
      <c r="B59" s="479"/>
      <c r="C59" s="479"/>
      <c r="D59" s="479"/>
    </row>
    <row r="62" spans="1:7" s="8" customFormat="1" ht="24.95" customHeight="1" x14ac:dyDescent="0.2">
      <c r="A62" s="384" t="s">
        <v>41</v>
      </c>
      <c r="B62" s="384"/>
      <c r="C62" s="384" t="str">
        <f>convertNumToStr($G$58,1,0)</f>
        <v xml:space="preserve"> 272 149 (Двести семьдесят двe тысячи сто сорок девять рублей, 00 копеек)</v>
      </c>
      <c r="D62" s="384"/>
      <c r="E62" s="384"/>
      <c r="F62" s="384"/>
      <c r="G62" s="384"/>
    </row>
  </sheetData>
  <mergeCells count="61">
    <mergeCell ref="A62:B62"/>
    <mergeCell ref="C62:G62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48:D48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36:D36"/>
    <mergeCell ref="F25:F26"/>
    <mergeCell ref="G25:G26"/>
    <mergeCell ref="B27:D27"/>
    <mergeCell ref="B28:D28"/>
    <mergeCell ref="B29:D29"/>
    <mergeCell ref="B30:D30"/>
    <mergeCell ref="E25:E26"/>
    <mergeCell ref="B31:D31"/>
    <mergeCell ref="B32:D32"/>
    <mergeCell ref="B33:D33"/>
    <mergeCell ref="B34:D34"/>
    <mergeCell ref="B35:D35"/>
    <mergeCell ref="B22:D22"/>
    <mergeCell ref="B23:D23"/>
    <mergeCell ref="B24:D24"/>
    <mergeCell ref="A25:A26"/>
    <mergeCell ref="B25:D26"/>
    <mergeCell ref="B21:D21"/>
    <mergeCell ref="A9:C9"/>
    <mergeCell ref="D9:G9"/>
    <mergeCell ref="A11:C11"/>
    <mergeCell ref="D11:G12"/>
    <mergeCell ref="A13:C13"/>
    <mergeCell ref="D13:G14"/>
    <mergeCell ref="A15:G15"/>
    <mergeCell ref="A17:G17"/>
    <mergeCell ref="B18:D18"/>
    <mergeCell ref="B19:D19"/>
    <mergeCell ref="B20:D20"/>
    <mergeCell ref="A1:B1"/>
    <mergeCell ref="C1:G1"/>
    <mergeCell ref="B4:F4"/>
    <mergeCell ref="B5:F5"/>
    <mergeCell ref="A7:C7"/>
    <mergeCell ref="D7:G7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horizontalDpi="300" verticalDpi="300" r:id="rId1"/>
  <headerFooter alignWithMargins="0"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489A-5AF9-44B2-8DDF-95A699AF05B3}">
  <sheetPr codeName="Лист41">
    <tabColor rgb="FF92D050"/>
  </sheetPr>
  <dimension ref="A1:L49"/>
  <sheetViews>
    <sheetView view="pageBreakPreview" topLeftCell="A22" zoomScale="60" zoomScaleNormal="100" workbookViewId="0">
      <selection activeCell="E49" sqref="E49"/>
    </sheetView>
  </sheetViews>
  <sheetFormatPr defaultColWidth="11.5703125" defaultRowHeight="12.75" x14ac:dyDescent="0.2"/>
  <cols>
    <col min="1" max="1" width="3.7109375" style="108" customWidth="1"/>
    <col min="2" max="2" width="26.7109375" style="108" customWidth="1"/>
    <col min="3" max="3" width="7.7109375" style="108" customWidth="1"/>
    <col min="4" max="4" width="5" style="108" customWidth="1"/>
    <col min="5" max="5" width="27.7109375" style="108" customWidth="1"/>
    <col min="6" max="6" width="14.42578125" style="108" customWidth="1"/>
    <col min="7" max="7" width="11.5703125" style="109"/>
    <col min="8" max="8" width="11.5703125" style="105"/>
    <col min="9" max="9" width="11.7109375" style="105" bestFit="1" customWidth="1"/>
    <col min="10" max="256" width="11.5703125" style="105"/>
    <col min="257" max="257" width="3.7109375" style="105" customWidth="1"/>
    <col min="258" max="258" width="26.7109375" style="105" customWidth="1"/>
    <col min="259" max="259" width="7.7109375" style="105" customWidth="1"/>
    <col min="260" max="260" width="5" style="105" customWidth="1"/>
    <col min="261" max="261" width="27.7109375" style="105" customWidth="1"/>
    <col min="262" max="262" width="14.42578125" style="105" customWidth="1"/>
    <col min="263" max="264" width="11.5703125" style="105"/>
    <col min="265" max="265" width="11.7109375" style="105" bestFit="1" customWidth="1"/>
    <col min="266" max="512" width="11.5703125" style="105"/>
    <col min="513" max="513" width="3.7109375" style="105" customWidth="1"/>
    <col min="514" max="514" width="26.7109375" style="105" customWidth="1"/>
    <col min="515" max="515" width="7.7109375" style="105" customWidth="1"/>
    <col min="516" max="516" width="5" style="105" customWidth="1"/>
    <col min="517" max="517" width="27.7109375" style="105" customWidth="1"/>
    <col min="518" max="518" width="14.42578125" style="105" customWidth="1"/>
    <col min="519" max="520" width="11.5703125" style="105"/>
    <col min="521" max="521" width="11.7109375" style="105" bestFit="1" customWidth="1"/>
    <col min="522" max="768" width="11.5703125" style="105"/>
    <col min="769" max="769" width="3.7109375" style="105" customWidth="1"/>
    <col min="770" max="770" width="26.7109375" style="105" customWidth="1"/>
    <col min="771" max="771" width="7.7109375" style="105" customWidth="1"/>
    <col min="772" max="772" width="5" style="105" customWidth="1"/>
    <col min="773" max="773" width="27.7109375" style="105" customWidth="1"/>
    <col min="774" max="774" width="14.42578125" style="105" customWidth="1"/>
    <col min="775" max="776" width="11.5703125" style="105"/>
    <col min="777" max="777" width="11.7109375" style="105" bestFit="1" customWidth="1"/>
    <col min="778" max="1024" width="11.5703125" style="105"/>
    <col min="1025" max="1025" width="3.7109375" style="105" customWidth="1"/>
    <col min="1026" max="1026" width="26.7109375" style="105" customWidth="1"/>
    <col min="1027" max="1027" width="7.7109375" style="105" customWidth="1"/>
    <col min="1028" max="1028" width="5" style="105" customWidth="1"/>
    <col min="1029" max="1029" width="27.7109375" style="105" customWidth="1"/>
    <col min="1030" max="1030" width="14.42578125" style="105" customWidth="1"/>
    <col min="1031" max="1032" width="11.5703125" style="105"/>
    <col min="1033" max="1033" width="11.7109375" style="105" bestFit="1" customWidth="1"/>
    <col min="1034" max="1280" width="11.5703125" style="105"/>
    <col min="1281" max="1281" width="3.7109375" style="105" customWidth="1"/>
    <col min="1282" max="1282" width="26.7109375" style="105" customWidth="1"/>
    <col min="1283" max="1283" width="7.7109375" style="105" customWidth="1"/>
    <col min="1284" max="1284" width="5" style="105" customWidth="1"/>
    <col min="1285" max="1285" width="27.7109375" style="105" customWidth="1"/>
    <col min="1286" max="1286" width="14.42578125" style="105" customWidth="1"/>
    <col min="1287" max="1288" width="11.5703125" style="105"/>
    <col min="1289" max="1289" width="11.7109375" style="105" bestFit="1" customWidth="1"/>
    <col min="1290" max="1536" width="11.5703125" style="105"/>
    <col min="1537" max="1537" width="3.7109375" style="105" customWidth="1"/>
    <col min="1538" max="1538" width="26.7109375" style="105" customWidth="1"/>
    <col min="1539" max="1539" width="7.7109375" style="105" customWidth="1"/>
    <col min="1540" max="1540" width="5" style="105" customWidth="1"/>
    <col min="1541" max="1541" width="27.7109375" style="105" customWidth="1"/>
    <col min="1542" max="1542" width="14.42578125" style="105" customWidth="1"/>
    <col min="1543" max="1544" width="11.5703125" style="105"/>
    <col min="1545" max="1545" width="11.7109375" style="105" bestFit="1" customWidth="1"/>
    <col min="1546" max="1792" width="11.5703125" style="105"/>
    <col min="1793" max="1793" width="3.7109375" style="105" customWidth="1"/>
    <col min="1794" max="1794" width="26.7109375" style="105" customWidth="1"/>
    <col min="1795" max="1795" width="7.7109375" style="105" customWidth="1"/>
    <col min="1796" max="1796" width="5" style="105" customWidth="1"/>
    <col min="1797" max="1797" width="27.7109375" style="105" customWidth="1"/>
    <col min="1798" max="1798" width="14.42578125" style="105" customWidth="1"/>
    <col min="1799" max="1800" width="11.5703125" style="105"/>
    <col min="1801" max="1801" width="11.7109375" style="105" bestFit="1" customWidth="1"/>
    <col min="1802" max="2048" width="11.5703125" style="105"/>
    <col min="2049" max="2049" width="3.7109375" style="105" customWidth="1"/>
    <col min="2050" max="2050" width="26.7109375" style="105" customWidth="1"/>
    <col min="2051" max="2051" width="7.7109375" style="105" customWidth="1"/>
    <col min="2052" max="2052" width="5" style="105" customWidth="1"/>
    <col min="2053" max="2053" width="27.7109375" style="105" customWidth="1"/>
    <col min="2054" max="2054" width="14.42578125" style="105" customWidth="1"/>
    <col min="2055" max="2056" width="11.5703125" style="105"/>
    <col min="2057" max="2057" width="11.7109375" style="105" bestFit="1" customWidth="1"/>
    <col min="2058" max="2304" width="11.5703125" style="105"/>
    <col min="2305" max="2305" width="3.7109375" style="105" customWidth="1"/>
    <col min="2306" max="2306" width="26.7109375" style="105" customWidth="1"/>
    <col min="2307" max="2307" width="7.7109375" style="105" customWidth="1"/>
    <col min="2308" max="2308" width="5" style="105" customWidth="1"/>
    <col min="2309" max="2309" width="27.7109375" style="105" customWidth="1"/>
    <col min="2310" max="2310" width="14.42578125" style="105" customWidth="1"/>
    <col min="2311" max="2312" width="11.5703125" style="105"/>
    <col min="2313" max="2313" width="11.7109375" style="105" bestFit="1" customWidth="1"/>
    <col min="2314" max="2560" width="11.5703125" style="105"/>
    <col min="2561" max="2561" width="3.7109375" style="105" customWidth="1"/>
    <col min="2562" max="2562" width="26.7109375" style="105" customWidth="1"/>
    <col min="2563" max="2563" width="7.7109375" style="105" customWidth="1"/>
    <col min="2564" max="2564" width="5" style="105" customWidth="1"/>
    <col min="2565" max="2565" width="27.7109375" style="105" customWidth="1"/>
    <col min="2566" max="2566" width="14.42578125" style="105" customWidth="1"/>
    <col min="2567" max="2568" width="11.5703125" style="105"/>
    <col min="2569" max="2569" width="11.7109375" style="105" bestFit="1" customWidth="1"/>
    <col min="2570" max="2816" width="11.5703125" style="105"/>
    <col min="2817" max="2817" width="3.7109375" style="105" customWidth="1"/>
    <col min="2818" max="2818" width="26.7109375" style="105" customWidth="1"/>
    <col min="2819" max="2819" width="7.7109375" style="105" customWidth="1"/>
    <col min="2820" max="2820" width="5" style="105" customWidth="1"/>
    <col min="2821" max="2821" width="27.7109375" style="105" customWidth="1"/>
    <col min="2822" max="2822" width="14.42578125" style="105" customWidth="1"/>
    <col min="2823" max="2824" width="11.5703125" style="105"/>
    <col min="2825" max="2825" width="11.7109375" style="105" bestFit="1" customWidth="1"/>
    <col min="2826" max="3072" width="11.5703125" style="105"/>
    <col min="3073" max="3073" width="3.7109375" style="105" customWidth="1"/>
    <col min="3074" max="3074" width="26.7109375" style="105" customWidth="1"/>
    <col min="3075" max="3075" width="7.7109375" style="105" customWidth="1"/>
    <col min="3076" max="3076" width="5" style="105" customWidth="1"/>
    <col min="3077" max="3077" width="27.7109375" style="105" customWidth="1"/>
    <col min="3078" max="3078" width="14.42578125" style="105" customWidth="1"/>
    <col min="3079" max="3080" width="11.5703125" style="105"/>
    <col min="3081" max="3081" width="11.7109375" style="105" bestFit="1" customWidth="1"/>
    <col min="3082" max="3328" width="11.5703125" style="105"/>
    <col min="3329" max="3329" width="3.7109375" style="105" customWidth="1"/>
    <col min="3330" max="3330" width="26.7109375" style="105" customWidth="1"/>
    <col min="3331" max="3331" width="7.7109375" style="105" customWidth="1"/>
    <col min="3332" max="3332" width="5" style="105" customWidth="1"/>
    <col min="3333" max="3333" width="27.7109375" style="105" customWidth="1"/>
    <col min="3334" max="3334" width="14.42578125" style="105" customWidth="1"/>
    <col min="3335" max="3336" width="11.5703125" style="105"/>
    <col min="3337" max="3337" width="11.7109375" style="105" bestFit="1" customWidth="1"/>
    <col min="3338" max="3584" width="11.5703125" style="105"/>
    <col min="3585" max="3585" width="3.7109375" style="105" customWidth="1"/>
    <col min="3586" max="3586" width="26.7109375" style="105" customWidth="1"/>
    <col min="3587" max="3587" width="7.7109375" style="105" customWidth="1"/>
    <col min="3588" max="3588" width="5" style="105" customWidth="1"/>
    <col min="3589" max="3589" width="27.7109375" style="105" customWidth="1"/>
    <col min="3590" max="3590" width="14.42578125" style="105" customWidth="1"/>
    <col min="3591" max="3592" width="11.5703125" style="105"/>
    <col min="3593" max="3593" width="11.7109375" style="105" bestFit="1" customWidth="1"/>
    <col min="3594" max="3840" width="11.5703125" style="105"/>
    <col min="3841" max="3841" width="3.7109375" style="105" customWidth="1"/>
    <col min="3842" max="3842" width="26.7109375" style="105" customWidth="1"/>
    <col min="3843" max="3843" width="7.7109375" style="105" customWidth="1"/>
    <col min="3844" max="3844" width="5" style="105" customWidth="1"/>
    <col min="3845" max="3845" width="27.7109375" style="105" customWidth="1"/>
    <col min="3846" max="3846" width="14.42578125" style="105" customWidth="1"/>
    <col min="3847" max="3848" width="11.5703125" style="105"/>
    <col min="3849" max="3849" width="11.7109375" style="105" bestFit="1" customWidth="1"/>
    <col min="3850" max="4096" width="11.5703125" style="105"/>
    <col min="4097" max="4097" width="3.7109375" style="105" customWidth="1"/>
    <col min="4098" max="4098" width="26.7109375" style="105" customWidth="1"/>
    <col min="4099" max="4099" width="7.7109375" style="105" customWidth="1"/>
    <col min="4100" max="4100" width="5" style="105" customWidth="1"/>
    <col min="4101" max="4101" width="27.7109375" style="105" customWidth="1"/>
    <col min="4102" max="4102" width="14.42578125" style="105" customWidth="1"/>
    <col min="4103" max="4104" width="11.5703125" style="105"/>
    <col min="4105" max="4105" width="11.7109375" style="105" bestFit="1" customWidth="1"/>
    <col min="4106" max="4352" width="11.5703125" style="105"/>
    <col min="4353" max="4353" width="3.7109375" style="105" customWidth="1"/>
    <col min="4354" max="4354" width="26.7109375" style="105" customWidth="1"/>
    <col min="4355" max="4355" width="7.7109375" style="105" customWidth="1"/>
    <col min="4356" max="4356" width="5" style="105" customWidth="1"/>
    <col min="4357" max="4357" width="27.7109375" style="105" customWidth="1"/>
    <col min="4358" max="4358" width="14.42578125" style="105" customWidth="1"/>
    <col min="4359" max="4360" width="11.5703125" style="105"/>
    <col min="4361" max="4361" width="11.7109375" style="105" bestFit="1" customWidth="1"/>
    <col min="4362" max="4608" width="11.5703125" style="105"/>
    <col min="4609" max="4609" width="3.7109375" style="105" customWidth="1"/>
    <col min="4610" max="4610" width="26.7109375" style="105" customWidth="1"/>
    <col min="4611" max="4611" width="7.7109375" style="105" customWidth="1"/>
    <col min="4612" max="4612" width="5" style="105" customWidth="1"/>
    <col min="4613" max="4613" width="27.7109375" style="105" customWidth="1"/>
    <col min="4614" max="4614" width="14.42578125" style="105" customWidth="1"/>
    <col min="4615" max="4616" width="11.5703125" style="105"/>
    <col min="4617" max="4617" width="11.7109375" style="105" bestFit="1" customWidth="1"/>
    <col min="4618" max="4864" width="11.5703125" style="105"/>
    <col min="4865" max="4865" width="3.7109375" style="105" customWidth="1"/>
    <col min="4866" max="4866" width="26.7109375" style="105" customWidth="1"/>
    <col min="4867" max="4867" width="7.7109375" style="105" customWidth="1"/>
    <col min="4868" max="4868" width="5" style="105" customWidth="1"/>
    <col min="4869" max="4869" width="27.7109375" style="105" customWidth="1"/>
    <col min="4870" max="4870" width="14.42578125" style="105" customWidth="1"/>
    <col min="4871" max="4872" width="11.5703125" style="105"/>
    <col min="4873" max="4873" width="11.7109375" style="105" bestFit="1" customWidth="1"/>
    <col min="4874" max="5120" width="11.5703125" style="105"/>
    <col min="5121" max="5121" width="3.7109375" style="105" customWidth="1"/>
    <col min="5122" max="5122" width="26.7109375" style="105" customWidth="1"/>
    <col min="5123" max="5123" width="7.7109375" style="105" customWidth="1"/>
    <col min="5124" max="5124" width="5" style="105" customWidth="1"/>
    <col min="5125" max="5125" width="27.7109375" style="105" customWidth="1"/>
    <col min="5126" max="5126" width="14.42578125" style="105" customWidth="1"/>
    <col min="5127" max="5128" width="11.5703125" style="105"/>
    <col min="5129" max="5129" width="11.7109375" style="105" bestFit="1" customWidth="1"/>
    <col min="5130" max="5376" width="11.5703125" style="105"/>
    <col min="5377" max="5377" width="3.7109375" style="105" customWidth="1"/>
    <col min="5378" max="5378" width="26.7109375" style="105" customWidth="1"/>
    <col min="5379" max="5379" width="7.7109375" style="105" customWidth="1"/>
    <col min="5380" max="5380" width="5" style="105" customWidth="1"/>
    <col min="5381" max="5381" width="27.7109375" style="105" customWidth="1"/>
    <col min="5382" max="5382" width="14.42578125" style="105" customWidth="1"/>
    <col min="5383" max="5384" width="11.5703125" style="105"/>
    <col min="5385" max="5385" width="11.7109375" style="105" bestFit="1" customWidth="1"/>
    <col min="5386" max="5632" width="11.5703125" style="105"/>
    <col min="5633" max="5633" width="3.7109375" style="105" customWidth="1"/>
    <col min="5634" max="5634" width="26.7109375" style="105" customWidth="1"/>
    <col min="5635" max="5635" width="7.7109375" style="105" customWidth="1"/>
    <col min="5636" max="5636" width="5" style="105" customWidth="1"/>
    <col min="5637" max="5637" width="27.7109375" style="105" customWidth="1"/>
    <col min="5638" max="5638" width="14.42578125" style="105" customWidth="1"/>
    <col min="5639" max="5640" width="11.5703125" style="105"/>
    <col min="5641" max="5641" width="11.7109375" style="105" bestFit="1" customWidth="1"/>
    <col min="5642" max="5888" width="11.5703125" style="105"/>
    <col min="5889" max="5889" width="3.7109375" style="105" customWidth="1"/>
    <col min="5890" max="5890" width="26.7109375" style="105" customWidth="1"/>
    <col min="5891" max="5891" width="7.7109375" style="105" customWidth="1"/>
    <col min="5892" max="5892" width="5" style="105" customWidth="1"/>
    <col min="5893" max="5893" width="27.7109375" style="105" customWidth="1"/>
    <col min="5894" max="5894" width="14.42578125" style="105" customWidth="1"/>
    <col min="5895" max="5896" width="11.5703125" style="105"/>
    <col min="5897" max="5897" width="11.7109375" style="105" bestFit="1" customWidth="1"/>
    <col min="5898" max="6144" width="11.5703125" style="105"/>
    <col min="6145" max="6145" width="3.7109375" style="105" customWidth="1"/>
    <col min="6146" max="6146" width="26.7109375" style="105" customWidth="1"/>
    <col min="6147" max="6147" width="7.7109375" style="105" customWidth="1"/>
    <col min="6148" max="6148" width="5" style="105" customWidth="1"/>
    <col min="6149" max="6149" width="27.7109375" style="105" customWidth="1"/>
    <col min="6150" max="6150" width="14.42578125" style="105" customWidth="1"/>
    <col min="6151" max="6152" width="11.5703125" style="105"/>
    <col min="6153" max="6153" width="11.7109375" style="105" bestFit="1" customWidth="1"/>
    <col min="6154" max="6400" width="11.5703125" style="105"/>
    <col min="6401" max="6401" width="3.7109375" style="105" customWidth="1"/>
    <col min="6402" max="6402" width="26.7109375" style="105" customWidth="1"/>
    <col min="6403" max="6403" width="7.7109375" style="105" customWidth="1"/>
    <col min="6404" max="6404" width="5" style="105" customWidth="1"/>
    <col min="6405" max="6405" width="27.7109375" style="105" customWidth="1"/>
    <col min="6406" max="6406" width="14.42578125" style="105" customWidth="1"/>
    <col min="6407" max="6408" width="11.5703125" style="105"/>
    <col min="6409" max="6409" width="11.7109375" style="105" bestFit="1" customWidth="1"/>
    <col min="6410" max="6656" width="11.5703125" style="105"/>
    <col min="6657" max="6657" width="3.7109375" style="105" customWidth="1"/>
    <col min="6658" max="6658" width="26.7109375" style="105" customWidth="1"/>
    <col min="6659" max="6659" width="7.7109375" style="105" customWidth="1"/>
    <col min="6660" max="6660" width="5" style="105" customWidth="1"/>
    <col min="6661" max="6661" width="27.7109375" style="105" customWidth="1"/>
    <col min="6662" max="6662" width="14.42578125" style="105" customWidth="1"/>
    <col min="6663" max="6664" width="11.5703125" style="105"/>
    <col min="6665" max="6665" width="11.7109375" style="105" bestFit="1" customWidth="1"/>
    <col min="6666" max="6912" width="11.5703125" style="105"/>
    <col min="6913" max="6913" width="3.7109375" style="105" customWidth="1"/>
    <col min="6914" max="6914" width="26.7109375" style="105" customWidth="1"/>
    <col min="6915" max="6915" width="7.7109375" style="105" customWidth="1"/>
    <col min="6916" max="6916" width="5" style="105" customWidth="1"/>
    <col min="6917" max="6917" width="27.7109375" style="105" customWidth="1"/>
    <col min="6918" max="6918" width="14.42578125" style="105" customWidth="1"/>
    <col min="6919" max="6920" width="11.5703125" style="105"/>
    <col min="6921" max="6921" width="11.7109375" style="105" bestFit="1" customWidth="1"/>
    <col min="6922" max="7168" width="11.5703125" style="105"/>
    <col min="7169" max="7169" width="3.7109375" style="105" customWidth="1"/>
    <col min="7170" max="7170" width="26.7109375" style="105" customWidth="1"/>
    <col min="7171" max="7171" width="7.7109375" style="105" customWidth="1"/>
    <col min="7172" max="7172" width="5" style="105" customWidth="1"/>
    <col min="7173" max="7173" width="27.7109375" style="105" customWidth="1"/>
    <col min="7174" max="7174" width="14.42578125" style="105" customWidth="1"/>
    <col min="7175" max="7176" width="11.5703125" style="105"/>
    <col min="7177" max="7177" width="11.7109375" style="105" bestFit="1" customWidth="1"/>
    <col min="7178" max="7424" width="11.5703125" style="105"/>
    <col min="7425" max="7425" width="3.7109375" style="105" customWidth="1"/>
    <col min="7426" max="7426" width="26.7109375" style="105" customWidth="1"/>
    <col min="7427" max="7427" width="7.7109375" style="105" customWidth="1"/>
    <col min="7428" max="7428" width="5" style="105" customWidth="1"/>
    <col min="7429" max="7429" width="27.7109375" style="105" customWidth="1"/>
    <col min="7430" max="7430" width="14.42578125" style="105" customWidth="1"/>
    <col min="7431" max="7432" width="11.5703125" style="105"/>
    <col min="7433" max="7433" width="11.7109375" style="105" bestFit="1" customWidth="1"/>
    <col min="7434" max="7680" width="11.5703125" style="105"/>
    <col min="7681" max="7681" width="3.7109375" style="105" customWidth="1"/>
    <col min="7682" max="7682" width="26.7109375" style="105" customWidth="1"/>
    <col min="7683" max="7683" width="7.7109375" style="105" customWidth="1"/>
    <col min="7684" max="7684" width="5" style="105" customWidth="1"/>
    <col min="7685" max="7685" width="27.7109375" style="105" customWidth="1"/>
    <col min="7686" max="7686" width="14.42578125" style="105" customWidth="1"/>
    <col min="7687" max="7688" width="11.5703125" style="105"/>
    <col min="7689" max="7689" width="11.7109375" style="105" bestFit="1" customWidth="1"/>
    <col min="7690" max="7936" width="11.5703125" style="105"/>
    <col min="7937" max="7937" width="3.7109375" style="105" customWidth="1"/>
    <col min="7938" max="7938" width="26.7109375" style="105" customWidth="1"/>
    <col min="7939" max="7939" width="7.7109375" style="105" customWidth="1"/>
    <col min="7940" max="7940" width="5" style="105" customWidth="1"/>
    <col min="7941" max="7941" width="27.7109375" style="105" customWidth="1"/>
    <col min="7942" max="7942" width="14.42578125" style="105" customWidth="1"/>
    <col min="7943" max="7944" width="11.5703125" style="105"/>
    <col min="7945" max="7945" width="11.7109375" style="105" bestFit="1" customWidth="1"/>
    <col min="7946" max="8192" width="11.5703125" style="105"/>
    <col min="8193" max="8193" width="3.7109375" style="105" customWidth="1"/>
    <col min="8194" max="8194" width="26.7109375" style="105" customWidth="1"/>
    <col min="8195" max="8195" width="7.7109375" style="105" customWidth="1"/>
    <col min="8196" max="8196" width="5" style="105" customWidth="1"/>
    <col min="8197" max="8197" width="27.7109375" style="105" customWidth="1"/>
    <col min="8198" max="8198" width="14.42578125" style="105" customWidth="1"/>
    <col min="8199" max="8200" width="11.5703125" style="105"/>
    <col min="8201" max="8201" width="11.7109375" style="105" bestFit="1" customWidth="1"/>
    <col min="8202" max="8448" width="11.5703125" style="105"/>
    <col min="8449" max="8449" width="3.7109375" style="105" customWidth="1"/>
    <col min="8450" max="8450" width="26.7109375" style="105" customWidth="1"/>
    <col min="8451" max="8451" width="7.7109375" style="105" customWidth="1"/>
    <col min="8452" max="8452" width="5" style="105" customWidth="1"/>
    <col min="8453" max="8453" width="27.7109375" style="105" customWidth="1"/>
    <col min="8454" max="8454" width="14.42578125" style="105" customWidth="1"/>
    <col min="8455" max="8456" width="11.5703125" style="105"/>
    <col min="8457" max="8457" width="11.7109375" style="105" bestFit="1" customWidth="1"/>
    <col min="8458" max="8704" width="11.5703125" style="105"/>
    <col min="8705" max="8705" width="3.7109375" style="105" customWidth="1"/>
    <col min="8706" max="8706" width="26.7109375" style="105" customWidth="1"/>
    <col min="8707" max="8707" width="7.7109375" style="105" customWidth="1"/>
    <col min="8708" max="8708" width="5" style="105" customWidth="1"/>
    <col min="8709" max="8709" width="27.7109375" style="105" customWidth="1"/>
    <col min="8710" max="8710" width="14.42578125" style="105" customWidth="1"/>
    <col min="8711" max="8712" width="11.5703125" style="105"/>
    <col min="8713" max="8713" width="11.7109375" style="105" bestFit="1" customWidth="1"/>
    <col min="8714" max="8960" width="11.5703125" style="105"/>
    <col min="8961" max="8961" width="3.7109375" style="105" customWidth="1"/>
    <col min="8962" max="8962" width="26.7109375" style="105" customWidth="1"/>
    <col min="8963" max="8963" width="7.7109375" style="105" customWidth="1"/>
    <col min="8964" max="8964" width="5" style="105" customWidth="1"/>
    <col min="8965" max="8965" width="27.7109375" style="105" customWidth="1"/>
    <col min="8966" max="8966" width="14.42578125" style="105" customWidth="1"/>
    <col min="8967" max="8968" width="11.5703125" style="105"/>
    <col min="8969" max="8969" width="11.7109375" style="105" bestFit="1" customWidth="1"/>
    <col min="8970" max="9216" width="11.5703125" style="105"/>
    <col min="9217" max="9217" width="3.7109375" style="105" customWidth="1"/>
    <col min="9218" max="9218" width="26.7109375" style="105" customWidth="1"/>
    <col min="9219" max="9219" width="7.7109375" style="105" customWidth="1"/>
    <col min="9220" max="9220" width="5" style="105" customWidth="1"/>
    <col min="9221" max="9221" width="27.7109375" style="105" customWidth="1"/>
    <col min="9222" max="9222" width="14.42578125" style="105" customWidth="1"/>
    <col min="9223" max="9224" width="11.5703125" style="105"/>
    <col min="9225" max="9225" width="11.7109375" style="105" bestFit="1" customWidth="1"/>
    <col min="9226" max="9472" width="11.5703125" style="105"/>
    <col min="9473" max="9473" width="3.7109375" style="105" customWidth="1"/>
    <col min="9474" max="9474" width="26.7109375" style="105" customWidth="1"/>
    <col min="9475" max="9475" width="7.7109375" style="105" customWidth="1"/>
    <col min="9476" max="9476" width="5" style="105" customWidth="1"/>
    <col min="9477" max="9477" width="27.7109375" style="105" customWidth="1"/>
    <col min="9478" max="9478" width="14.42578125" style="105" customWidth="1"/>
    <col min="9479" max="9480" width="11.5703125" style="105"/>
    <col min="9481" max="9481" width="11.7109375" style="105" bestFit="1" customWidth="1"/>
    <col min="9482" max="9728" width="11.5703125" style="105"/>
    <col min="9729" max="9729" width="3.7109375" style="105" customWidth="1"/>
    <col min="9730" max="9730" width="26.7109375" style="105" customWidth="1"/>
    <col min="9731" max="9731" width="7.7109375" style="105" customWidth="1"/>
    <col min="9732" max="9732" width="5" style="105" customWidth="1"/>
    <col min="9733" max="9733" width="27.7109375" style="105" customWidth="1"/>
    <col min="9734" max="9734" width="14.42578125" style="105" customWidth="1"/>
    <col min="9735" max="9736" width="11.5703125" style="105"/>
    <col min="9737" max="9737" width="11.7109375" style="105" bestFit="1" customWidth="1"/>
    <col min="9738" max="9984" width="11.5703125" style="105"/>
    <col min="9985" max="9985" width="3.7109375" style="105" customWidth="1"/>
    <col min="9986" max="9986" width="26.7109375" style="105" customWidth="1"/>
    <col min="9987" max="9987" width="7.7109375" style="105" customWidth="1"/>
    <col min="9988" max="9988" width="5" style="105" customWidth="1"/>
    <col min="9989" max="9989" width="27.7109375" style="105" customWidth="1"/>
    <col min="9990" max="9990" width="14.42578125" style="105" customWidth="1"/>
    <col min="9991" max="9992" width="11.5703125" style="105"/>
    <col min="9993" max="9993" width="11.7109375" style="105" bestFit="1" customWidth="1"/>
    <col min="9994" max="10240" width="11.5703125" style="105"/>
    <col min="10241" max="10241" width="3.7109375" style="105" customWidth="1"/>
    <col min="10242" max="10242" width="26.7109375" style="105" customWidth="1"/>
    <col min="10243" max="10243" width="7.7109375" style="105" customWidth="1"/>
    <col min="10244" max="10244" width="5" style="105" customWidth="1"/>
    <col min="10245" max="10245" width="27.7109375" style="105" customWidth="1"/>
    <col min="10246" max="10246" width="14.42578125" style="105" customWidth="1"/>
    <col min="10247" max="10248" width="11.5703125" style="105"/>
    <col min="10249" max="10249" width="11.7109375" style="105" bestFit="1" customWidth="1"/>
    <col min="10250" max="10496" width="11.5703125" style="105"/>
    <col min="10497" max="10497" width="3.7109375" style="105" customWidth="1"/>
    <col min="10498" max="10498" width="26.7109375" style="105" customWidth="1"/>
    <col min="10499" max="10499" width="7.7109375" style="105" customWidth="1"/>
    <col min="10500" max="10500" width="5" style="105" customWidth="1"/>
    <col min="10501" max="10501" width="27.7109375" style="105" customWidth="1"/>
    <col min="10502" max="10502" width="14.42578125" style="105" customWidth="1"/>
    <col min="10503" max="10504" width="11.5703125" style="105"/>
    <col min="10505" max="10505" width="11.7109375" style="105" bestFit="1" customWidth="1"/>
    <col min="10506" max="10752" width="11.5703125" style="105"/>
    <col min="10753" max="10753" width="3.7109375" style="105" customWidth="1"/>
    <col min="10754" max="10754" width="26.7109375" style="105" customWidth="1"/>
    <col min="10755" max="10755" width="7.7109375" style="105" customWidth="1"/>
    <col min="10756" max="10756" width="5" style="105" customWidth="1"/>
    <col min="10757" max="10757" width="27.7109375" style="105" customWidth="1"/>
    <col min="10758" max="10758" width="14.42578125" style="105" customWidth="1"/>
    <col min="10759" max="10760" width="11.5703125" style="105"/>
    <col min="10761" max="10761" width="11.7109375" style="105" bestFit="1" customWidth="1"/>
    <col min="10762" max="11008" width="11.5703125" style="105"/>
    <col min="11009" max="11009" width="3.7109375" style="105" customWidth="1"/>
    <col min="11010" max="11010" width="26.7109375" style="105" customWidth="1"/>
    <col min="11011" max="11011" width="7.7109375" style="105" customWidth="1"/>
    <col min="11012" max="11012" width="5" style="105" customWidth="1"/>
    <col min="11013" max="11013" width="27.7109375" style="105" customWidth="1"/>
    <col min="11014" max="11014" width="14.42578125" style="105" customWidth="1"/>
    <col min="11015" max="11016" width="11.5703125" style="105"/>
    <col min="11017" max="11017" width="11.7109375" style="105" bestFit="1" customWidth="1"/>
    <col min="11018" max="11264" width="11.5703125" style="105"/>
    <col min="11265" max="11265" width="3.7109375" style="105" customWidth="1"/>
    <col min="11266" max="11266" width="26.7109375" style="105" customWidth="1"/>
    <col min="11267" max="11267" width="7.7109375" style="105" customWidth="1"/>
    <col min="11268" max="11268" width="5" style="105" customWidth="1"/>
    <col min="11269" max="11269" width="27.7109375" style="105" customWidth="1"/>
    <col min="11270" max="11270" width="14.42578125" style="105" customWidth="1"/>
    <col min="11271" max="11272" width="11.5703125" style="105"/>
    <col min="11273" max="11273" width="11.7109375" style="105" bestFit="1" customWidth="1"/>
    <col min="11274" max="11520" width="11.5703125" style="105"/>
    <col min="11521" max="11521" width="3.7109375" style="105" customWidth="1"/>
    <col min="11522" max="11522" width="26.7109375" style="105" customWidth="1"/>
    <col min="11523" max="11523" width="7.7109375" style="105" customWidth="1"/>
    <col min="11524" max="11524" width="5" style="105" customWidth="1"/>
    <col min="11525" max="11525" width="27.7109375" style="105" customWidth="1"/>
    <col min="11526" max="11526" width="14.42578125" style="105" customWidth="1"/>
    <col min="11527" max="11528" width="11.5703125" style="105"/>
    <col min="11529" max="11529" width="11.7109375" style="105" bestFit="1" customWidth="1"/>
    <col min="11530" max="11776" width="11.5703125" style="105"/>
    <col min="11777" max="11777" width="3.7109375" style="105" customWidth="1"/>
    <col min="11778" max="11778" width="26.7109375" style="105" customWidth="1"/>
    <col min="11779" max="11779" width="7.7109375" style="105" customWidth="1"/>
    <col min="11780" max="11780" width="5" style="105" customWidth="1"/>
    <col min="11781" max="11781" width="27.7109375" style="105" customWidth="1"/>
    <col min="11782" max="11782" width="14.42578125" style="105" customWidth="1"/>
    <col min="11783" max="11784" width="11.5703125" style="105"/>
    <col min="11785" max="11785" width="11.7109375" style="105" bestFit="1" customWidth="1"/>
    <col min="11786" max="12032" width="11.5703125" style="105"/>
    <col min="12033" max="12033" width="3.7109375" style="105" customWidth="1"/>
    <col min="12034" max="12034" width="26.7109375" style="105" customWidth="1"/>
    <col min="12035" max="12035" width="7.7109375" style="105" customWidth="1"/>
    <col min="12036" max="12036" width="5" style="105" customWidth="1"/>
    <col min="12037" max="12037" width="27.7109375" style="105" customWidth="1"/>
    <col min="12038" max="12038" width="14.42578125" style="105" customWidth="1"/>
    <col min="12039" max="12040" width="11.5703125" style="105"/>
    <col min="12041" max="12041" width="11.7109375" style="105" bestFit="1" customWidth="1"/>
    <col min="12042" max="12288" width="11.5703125" style="105"/>
    <col min="12289" max="12289" width="3.7109375" style="105" customWidth="1"/>
    <col min="12290" max="12290" width="26.7109375" style="105" customWidth="1"/>
    <col min="12291" max="12291" width="7.7109375" style="105" customWidth="1"/>
    <col min="12292" max="12292" width="5" style="105" customWidth="1"/>
    <col min="12293" max="12293" width="27.7109375" style="105" customWidth="1"/>
    <col min="12294" max="12294" width="14.42578125" style="105" customWidth="1"/>
    <col min="12295" max="12296" width="11.5703125" style="105"/>
    <col min="12297" max="12297" width="11.7109375" style="105" bestFit="1" customWidth="1"/>
    <col min="12298" max="12544" width="11.5703125" style="105"/>
    <col min="12545" max="12545" width="3.7109375" style="105" customWidth="1"/>
    <col min="12546" max="12546" width="26.7109375" style="105" customWidth="1"/>
    <col min="12547" max="12547" width="7.7109375" style="105" customWidth="1"/>
    <col min="12548" max="12548" width="5" style="105" customWidth="1"/>
    <col min="12549" max="12549" width="27.7109375" style="105" customWidth="1"/>
    <col min="12550" max="12550" width="14.42578125" style="105" customWidth="1"/>
    <col min="12551" max="12552" width="11.5703125" style="105"/>
    <col min="12553" max="12553" width="11.7109375" style="105" bestFit="1" customWidth="1"/>
    <col min="12554" max="12800" width="11.5703125" style="105"/>
    <col min="12801" max="12801" width="3.7109375" style="105" customWidth="1"/>
    <col min="12802" max="12802" width="26.7109375" style="105" customWidth="1"/>
    <col min="12803" max="12803" width="7.7109375" style="105" customWidth="1"/>
    <col min="12804" max="12804" width="5" style="105" customWidth="1"/>
    <col min="12805" max="12805" width="27.7109375" style="105" customWidth="1"/>
    <col min="12806" max="12806" width="14.42578125" style="105" customWidth="1"/>
    <col min="12807" max="12808" width="11.5703125" style="105"/>
    <col min="12809" max="12809" width="11.7109375" style="105" bestFit="1" customWidth="1"/>
    <col min="12810" max="13056" width="11.5703125" style="105"/>
    <col min="13057" max="13057" width="3.7109375" style="105" customWidth="1"/>
    <col min="13058" max="13058" width="26.7109375" style="105" customWidth="1"/>
    <col min="13059" max="13059" width="7.7109375" style="105" customWidth="1"/>
    <col min="13060" max="13060" width="5" style="105" customWidth="1"/>
    <col min="13061" max="13061" width="27.7109375" style="105" customWidth="1"/>
    <col min="13062" max="13062" width="14.42578125" style="105" customWidth="1"/>
    <col min="13063" max="13064" width="11.5703125" style="105"/>
    <col min="13065" max="13065" width="11.7109375" style="105" bestFit="1" customWidth="1"/>
    <col min="13066" max="13312" width="11.5703125" style="105"/>
    <col min="13313" max="13313" width="3.7109375" style="105" customWidth="1"/>
    <col min="13314" max="13314" width="26.7109375" style="105" customWidth="1"/>
    <col min="13315" max="13315" width="7.7109375" style="105" customWidth="1"/>
    <col min="13316" max="13316" width="5" style="105" customWidth="1"/>
    <col min="13317" max="13317" width="27.7109375" style="105" customWidth="1"/>
    <col min="13318" max="13318" width="14.42578125" style="105" customWidth="1"/>
    <col min="13319" max="13320" width="11.5703125" style="105"/>
    <col min="13321" max="13321" width="11.7109375" style="105" bestFit="1" customWidth="1"/>
    <col min="13322" max="13568" width="11.5703125" style="105"/>
    <col min="13569" max="13569" width="3.7109375" style="105" customWidth="1"/>
    <col min="13570" max="13570" width="26.7109375" style="105" customWidth="1"/>
    <col min="13571" max="13571" width="7.7109375" style="105" customWidth="1"/>
    <col min="13572" max="13572" width="5" style="105" customWidth="1"/>
    <col min="13573" max="13573" width="27.7109375" style="105" customWidth="1"/>
    <col min="13574" max="13574" width="14.42578125" style="105" customWidth="1"/>
    <col min="13575" max="13576" width="11.5703125" style="105"/>
    <col min="13577" max="13577" width="11.7109375" style="105" bestFit="1" customWidth="1"/>
    <col min="13578" max="13824" width="11.5703125" style="105"/>
    <col min="13825" max="13825" width="3.7109375" style="105" customWidth="1"/>
    <col min="13826" max="13826" width="26.7109375" style="105" customWidth="1"/>
    <col min="13827" max="13827" width="7.7109375" style="105" customWidth="1"/>
    <col min="13828" max="13828" width="5" style="105" customWidth="1"/>
    <col min="13829" max="13829" width="27.7109375" style="105" customWidth="1"/>
    <col min="13830" max="13830" width="14.42578125" style="105" customWidth="1"/>
    <col min="13831" max="13832" width="11.5703125" style="105"/>
    <col min="13833" max="13833" width="11.7109375" style="105" bestFit="1" customWidth="1"/>
    <col min="13834" max="14080" width="11.5703125" style="105"/>
    <col min="14081" max="14081" width="3.7109375" style="105" customWidth="1"/>
    <col min="14082" max="14082" width="26.7109375" style="105" customWidth="1"/>
    <col min="14083" max="14083" width="7.7109375" style="105" customWidth="1"/>
    <col min="14084" max="14084" width="5" style="105" customWidth="1"/>
    <col min="14085" max="14085" width="27.7109375" style="105" customWidth="1"/>
    <col min="14086" max="14086" width="14.42578125" style="105" customWidth="1"/>
    <col min="14087" max="14088" width="11.5703125" style="105"/>
    <col min="14089" max="14089" width="11.7109375" style="105" bestFit="1" customWidth="1"/>
    <col min="14090" max="14336" width="11.5703125" style="105"/>
    <col min="14337" max="14337" width="3.7109375" style="105" customWidth="1"/>
    <col min="14338" max="14338" width="26.7109375" style="105" customWidth="1"/>
    <col min="14339" max="14339" width="7.7109375" style="105" customWidth="1"/>
    <col min="14340" max="14340" width="5" style="105" customWidth="1"/>
    <col min="14341" max="14341" width="27.7109375" style="105" customWidth="1"/>
    <col min="14342" max="14342" width="14.42578125" style="105" customWidth="1"/>
    <col min="14343" max="14344" width="11.5703125" style="105"/>
    <col min="14345" max="14345" width="11.7109375" style="105" bestFit="1" customWidth="1"/>
    <col min="14346" max="14592" width="11.5703125" style="105"/>
    <col min="14593" max="14593" width="3.7109375" style="105" customWidth="1"/>
    <col min="14594" max="14594" width="26.7109375" style="105" customWidth="1"/>
    <col min="14595" max="14595" width="7.7109375" style="105" customWidth="1"/>
    <col min="14596" max="14596" width="5" style="105" customWidth="1"/>
    <col min="14597" max="14597" width="27.7109375" style="105" customWidth="1"/>
    <col min="14598" max="14598" width="14.42578125" style="105" customWidth="1"/>
    <col min="14599" max="14600" width="11.5703125" style="105"/>
    <col min="14601" max="14601" width="11.7109375" style="105" bestFit="1" customWidth="1"/>
    <col min="14602" max="14848" width="11.5703125" style="105"/>
    <col min="14849" max="14849" width="3.7109375" style="105" customWidth="1"/>
    <col min="14850" max="14850" width="26.7109375" style="105" customWidth="1"/>
    <col min="14851" max="14851" width="7.7109375" style="105" customWidth="1"/>
    <col min="14852" max="14852" width="5" style="105" customWidth="1"/>
    <col min="14853" max="14853" width="27.7109375" style="105" customWidth="1"/>
    <col min="14854" max="14854" width="14.42578125" style="105" customWidth="1"/>
    <col min="14855" max="14856" width="11.5703125" style="105"/>
    <col min="14857" max="14857" width="11.7109375" style="105" bestFit="1" customWidth="1"/>
    <col min="14858" max="15104" width="11.5703125" style="105"/>
    <col min="15105" max="15105" width="3.7109375" style="105" customWidth="1"/>
    <col min="15106" max="15106" width="26.7109375" style="105" customWidth="1"/>
    <col min="15107" max="15107" width="7.7109375" style="105" customWidth="1"/>
    <col min="15108" max="15108" width="5" style="105" customWidth="1"/>
    <col min="15109" max="15109" width="27.7109375" style="105" customWidth="1"/>
    <col min="15110" max="15110" width="14.42578125" style="105" customWidth="1"/>
    <col min="15111" max="15112" width="11.5703125" style="105"/>
    <col min="15113" max="15113" width="11.7109375" style="105" bestFit="1" customWidth="1"/>
    <col min="15114" max="15360" width="11.5703125" style="105"/>
    <col min="15361" max="15361" width="3.7109375" style="105" customWidth="1"/>
    <col min="15362" max="15362" width="26.7109375" style="105" customWidth="1"/>
    <col min="15363" max="15363" width="7.7109375" style="105" customWidth="1"/>
    <col min="15364" max="15364" width="5" style="105" customWidth="1"/>
    <col min="15365" max="15365" width="27.7109375" style="105" customWidth="1"/>
    <col min="15366" max="15366" width="14.42578125" style="105" customWidth="1"/>
    <col min="15367" max="15368" width="11.5703125" style="105"/>
    <col min="15369" max="15369" width="11.7109375" style="105" bestFit="1" customWidth="1"/>
    <col min="15370" max="15616" width="11.5703125" style="105"/>
    <col min="15617" max="15617" width="3.7109375" style="105" customWidth="1"/>
    <col min="15618" max="15618" width="26.7109375" style="105" customWidth="1"/>
    <col min="15619" max="15619" width="7.7109375" style="105" customWidth="1"/>
    <col min="15620" max="15620" width="5" style="105" customWidth="1"/>
    <col min="15621" max="15621" width="27.7109375" style="105" customWidth="1"/>
    <col min="15622" max="15622" width="14.42578125" style="105" customWidth="1"/>
    <col min="15623" max="15624" width="11.5703125" style="105"/>
    <col min="15625" max="15625" width="11.7109375" style="105" bestFit="1" customWidth="1"/>
    <col min="15626" max="15872" width="11.5703125" style="105"/>
    <col min="15873" max="15873" width="3.7109375" style="105" customWidth="1"/>
    <col min="15874" max="15874" width="26.7109375" style="105" customWidth="1"/>
    <col min="15875" max="15875" width="7.7109375" style="105" customWidth="1"/>
    <col min="15876" max="15876" width="5" style="105" customWidth="1"/>
    <col min="15877" max="15877" width="27.7109375" style="105" customWidth="1"/>
    <col min="15878" max="15878" width="14.42578125" style="105" customWidth="1"/>
    <col min="15879" max="15880" width="11.5703125" style="105"/>
    <col min="15881" max="15881" width="11.7109375" style="105" bestFit="1" customWidth="1"/>
    <col min="15882" max="16128" width="11.5703125" style="105"/>
    <col min="16129" max="16129" width="3.7109375" style="105" customWidth="1"/>
    <col min="16130" max="16130" width="26.7109375" style="105" customWidth="1"/>
    <col min="16131" max="16131" width="7.7109375" style="105" customWidth="1"/>
    <col min="16132" max="16132" width="5" style="105" customWidth="1"/>
    <col min="16133" max="16133" width="27.7109375" style="105" customWidth="1"/>
    <col min="16134" max="16134" width="14.42578125" style="105" customWidth="1"/>
    <col min="16135" max="16136" width="11.5703125" style="105"/>
    <col min="16137" max="16137" width="11.7109375" style="105" bestFit="1" customWidth="1"/>
    <col min="16138" max="16384" width="11.5703125" style="105"/>
  </cols>
  <sheetData>
    <row r="1" spans="1:7" ht="61.35" customHeight="1" x14ac:dyDescent="0.2">
      <c r="A1" s="368" t="s">
        <v>754</v>
      </c>
      <c r="B1" s="368"/>
      <c r="C1" s="363" t="s">
        <v>755</v>
      </c>
      <c r="D1" s="363"/>
      <c r="E1" s="363"/>
      <c r="F1" s="363"/>
      <c r="G1" s="363"/>
    </row>
    <row r="2" spans="1:7" x14ac:dyDescent="0.2">
      <c r="A2" s="38"/>
      <c r="B2" s="38"/>
      <c r="C2" s="106"/>
      <c r="D2" s="106"/>
      <c r="E2" s="106"/>
      <c r="F2" s="106"/>
      <c r="G2" s="107"/>
    </row>
    <row r="3" spans="1:7" x14ac:dyDescent="0.2">
      <c r="A3" s="38"/>
      <c r="B3" s="38"/>
      <c r="C3" s="106"/>
      <c r="D3" s="106"/>
      <c r="E3" s="106"/>
      <c r="F3" s="106"/>
      <c r="G3" s="107"/>
    </row>
    <row r="4" spans="1:7" x14ac:dyDescent="0.2">
      <c r="B4" s="364" t="s">
        <v>1154</v>
      </c>
      <c r="C4" s="364"/>
      <c r="D4" s="364"/>
      <c r="E4" s="364"/>
      <c r="F4" s="364"/>
    </row>
    <row r="5" spans="1:7" x14ac:dyDescent="0.2">
      <c r="B5" s="365" t="s">
        <v>381</v>
      </c>
      <c r="C5" s="365"/>
      <c r="D5" s="365"/>
      <c r="E5" s="365"/>
      <c r="F5" s="365"/>
    </row>
    <row r="6" spans="1:7" x14ac:dyDescent="0.2">
      <c r="C6" s="38"/>
      <c r="D6" s="38"/>
      <c r="E6" s="38"/>
    </row>
    <row r="7" spans="1:7" ht="118.9" customHeight="1" x14ac:dyDescent="0.2">
      <c r="A7" s="366" t="s">
        <v>273</v>
      </c>
      <c r="B7" s="366"/>
      <c r="C7" s="366"/>
      <c r="D7" s="333" t="s">
        <v>756</v>
      </c>
      <c r="E7" s="360"/>
      <c r="F7" s="360"/>
      <c r="G7" s="360"/>
    </row>
    <row r="8" spans="1:7" x14ac:dyDescent="0.2">
      <c r="A8" s="337" t="s">
        <v>3</v>
      </c>
      <c r="B8" s="337"/>
      <c r="C8" s="337"/>
      <c r="D8" s="337" t="s">
        <v>645</v>
      </c>
      <c r="E8" s="337"/>
      <c r="F8" s="337"/>
      <c r="G8" s="337"/>
    </row>
    <row r="9" spans="1:7" x14ac:dyDescent="0.2">
      <c r="A9" s="328" t="s">
        <v>646</v>
      </c>
      <c r="B9" s="329"/>
      <c r="C9" s="329"/>
      <c r="D9" s="338" t="s">
        <v>228</v>
      </c>
      <c r="E9" s="339"/>
      <c r="F9" s="339"/>
      <c r="G9" s="339"/>
    </row>
    <row r="10" spans="1:7" x14ac:dyDescent="0.2">
      <c r="A10" s="328" t="s">
        <v>647</v>
      </c>
      <c r="B10" s="328"/>
      <c r="C10" s="328"/>
      <c r="D10" s="338" t="s">
        <v>648</v>
      </c>
      <c r="E10" s="338"/>
      <c r="F10" s="338"/>
      <c r="G10" s="338"/>
    </row>
    <row r="11" spans="1:7" ht="13.15" customHeight="1" x14ac:dyDescent="0.2">
      <c r="A11" s="328" t="s">
        <v>649</v>
      </c>
      <c r="B11" s="329"/>
      <c r="C11" s="329"/>
      <c r="D11" s="330" t="s">
        <v>757</v>
      </c>
      <c r="E11" s="330"/>
      <c r="F11" s="330"/>
      <c r="G11" s="330"/>
    </row>
    <row r="12" spans="1:7" x14ac:dyDescent="0.2">
      <c r="A12" s="104"/>
      <c r="B12" s="104"/>
      <c r="D12" s="360"/>
      <c r="E12" s="360"/>
      <c r="F12" s="360"/>
      <c r="G12" s="360"/>
    </row>
    <row r="13" spans="1:7" ht="28.9" customHeight="1" x14ac:dyDescent="0.2">
      <c r="A13" s="328" t="s">
        <v>651</v>
      </c>
      <c r="B13" s="331"/>
      <c r="C13" s="331"/>
      <c r="D13" s="332" t="s">
        <v>859</v>
      </c>
      <c r="E13" s="332"/>
      <c r="F13" s="332"/>
      <c r="G13" s="332"/>
    </row>
    <row r="14" spans="1:7" ht="42.75" hidden="1" customHeight="1" x14ac:dyDescent="0.2">
      <c r="A14" s="366"/>
      <c r="B14" s="367"/>
      <c r="C14" s="367"/>
      <c r="D14" s="367"/>
      <c r="E14" s="367"/>
      <c r="F14" s="367"/>
      <c r="G14" s="367"/>
    </row>
    <row r="15" spans="1:7" ht="32.25" customHeight="1" x14ac:dyDescent="0.2">
      <c r="A15" s="111" t="s">
        <v>49</v>
      </c>
      <c r="B15" s="111" t="s">
        <v>278</v>
      </c>
      <c r="C15" s="111" t="s">
        <v>653</v>
      </c>
      <c r="D15" s="111" t="s">
        <v>654</v>
      </c>
      <c r="E15" s="111" t="s">
        <v>279</v>
      </c>
      <c r="F15" s="111" t="s">
        <v>46</v>
      </c>
      <c r="G15" s="112" t="s">
        <v>280</v>
      </c>
    </row>
    <row r="16" spans="1:7" x14ac:dyDescent="0.2">
      <c r="A16" s="113">
        <v>1</v>
      </c>
      <c r="B16" s="114">
        <v>2</v>
      </c>
      <c r="C16" s="114">
        <v>3</v>
      </c>
      <c r="D16" s="114">
        <v>4</v>
      </c>
      <c r="E16" s="114">
        <v>5</v>
      </c>
      <c r="F16" s="114">
        <v>6</v>
      </c>
      <c r="G16" s="114">
        <v>7</v>
      </c>
    </row>
    <row r="17" spans="1:12" ht="12.75" customHeight="1" x14ac:dyDescent="0.2">
      <c r="A17" s="115" t="s">
        <v>10</v>
      </c>
      <c r="B17" s="116" t="s">
        <v>78</v>
      </c>
      <c r="C17" s="116"/>
      <c r="D17" s="116"/>
      <c r="E17" s="116" t="s">
        <v>281</v>
      </c>
      <c r="F17" s="116"/>
      <c r="G17" s="117"/>
    </row>
    <row r="18" spans="1:12" ht="89.25" x14ac:dyDescent="0.2">
      <c r="A18" s="120" t="s">
        <v>88</v>
      </c>
      <c r="B18" s="121" t="s">
        <v>860</v>
      </c>
      <c r="C18" s="122" t="s">
        <v>761</v>
      </c>
      <c r="D18" s="122">
        <v>5.5</v>
      </c>
      <c r="E18" s="122" t="s">
        <v>1356</v>
      </c>
      <c r="F18" s="122" t="s">
        <v>861</v>
      </c>
      <c r="G18" s="123">
        <f>ROUND(18  * D18,2)</f>
        <v>99</v>
      </c>
    </row>
    <row r="19" spans="1:12" ht="12.75" customHeight="1" x14ac:dyDescent="0.2">
      <c r="A19" s="115" t="s">
        <v>85</v>
      </c>
      <c r="B19" s="116" t="s">
        <v>285</v>
      </c>
      <c r="C19" s="116"/>
      <c r="D19" s="116"/>
      <c r="E19" s="116"/>
      <c r="F19" s="116"/>
      <c r="G19" s="117">
        <f>ROUND((SUM($G$18:$G$18)),2)</f>
        <v>99</v>
      </c>
    </row>
    <row r="20" spans="1:12" s="182" customFormat="1" ht="76.5" x14ac:dyDescent="0.2">
      <c r="A20" s="272" t="s">
        <v>83</v>
      </c>
      <c r="B20" s="266" t="s">
        <v>736</v>
      </c>
      <c r="C20" s="266"/>
      <c r="D20" s="197"/>
      <c r="E20" s="266" t="s">
        <v>862</v>
      </c>
      <c r="F20" s="273">
        <v>0.85</v>
      </c>
      <c r="G20" s="267">
        <f>G19*F20</f>
        <v>84.149999999999991</v>
      </c>
      <c r="H20" s="183"/>
      <c r="I20" s="195"/>
      <c r="J20" s="196"/>
      <c r="K20" s="183"/>
      <c r="L20" s="183"/>
    </row>
    <row r="21" spans="1:12" ht="12.75" customHeight="1" x14ac:dyDescent="0.2">
      <c r="A21" s="115" t="s">
        <v>81</v>
      </c>
      <c r="B21" s="116" t="s">
        <v>286</v>
      </c>
      <c r="C21" s="116"/>
      <c r="D21" s="116"/>
      <c r="E21" s="116"/>
      <c r="F21" s="116"/>
      <c r="G21" s="117">
        <f>ROUND(($G$20),2)</f>
        <v>84.15</v>
      </c>
    </row>
    <row r="22" spans="1:12" ht="12.75" customHeight="1" x14ac:dyDescent="0.2">
      <c r="A22" s="115" t="s">
        <v>11</v>
      </c>
      <c r="B22" s="116" t="s">
        <v>78</v>
      </c>
      <c r="C22" s="116"/>
      <c r="D22" s="116"/>
      <c r="E22" s="116" t="s">
        <v>291</v>
      </c>
      <c r="F22" s="116"/>
      <c r="G22" s="117"/>
    </row>
    <row r="23" spans="1:12" ht="89.25" x14ac:dyDescent="0.2">
      <c r="A23" s="120" t="s">
        <v>76</v>
      </c>
      <c r="B23" s="121" t="s">
        <v>863</v>
      </c>
      <c r="C23" s="122" t="s">
        <v>761</v>
      </c>
      <c r="D23" s="122">
        <f>D18</f>
        <v>5.5</v>
      </c>
      <c r="E23" s="122" t="s">
        <v>1357</v>
      </c>
      <c r="F23" s="122" t="s">
        <v>864</v>
      </c>
      <c r="G23" s="123">
        <f>ROUND(6  * D23,3)</f>
        <v>33</v>
      </c>
    </row>
    <row r="24" spans="1:12" ht="127.5" customHeight="1" x14ac:dyDescent="0.2">
      <c r="A24" s="115" t="s">
        <v>75</v>
      </c>
      <c r="B24" s="116" t="s">
        <v>382</v>
      </c>
      <c r="C24" s="118" t="s">
        <v>865</v>
      </c>
      <c r="D24" s="118">
        <v>1</v>
      </c>
      <c r="E24" s="118" t="s">
        <v>866</v>
      </c>
      <c r="F24" s="118" t="s">
        <v>867</v>
      </c>
      <c r="G24" s="119">
        <f>ROUND(90  * D24,3)</f>
        <v>90</v>
      </c>
    </row>
    <row r="25" spans="1:12" ht="76.5" x14ac:dyDescent="0.2">
      <c r="A25" s="115" t="s">
        <v>73</v>
      </c>
      <c r="B25" s="116" t="s">
        <v>446</v>
      </c>
      <c r="C25" s="118" t="s">
        <v>868</v>
      </c>
      <c r="D25" s="118">
        <v>1</v>
      </c>
      <c r="E25" s="118" t="s">
        <v>1358</v>
      </c>
      <c r="F25" s="118" t="s">
        <v>869</v>
      </c>
      <c r="G25" s="119">
        <f>ROUND(201  * D25,2)</f>
        <v>201</v>
      </c>
    </row>
    <row r="26" spans="1:12" ht="63.75" x14ac:dyDescent="0.2">
      <c r="A26" s="133" t="s">
        <v>353</v>
      </c>
      <c r="B26" s="134" t="s">
        <v>447</v>
      </c>
      <c r="C26" s="135" t="s">
        <v>870</v>
      </c>
      <c r="D26" s="135">
        <v>1</v>
      </c>
      <c r="E26" s="135" t="s">
        <v>1359</v>
      </c>
      <c r="F26" s="135" t="s">
        <v>871</v>
      </c>
      <c r="G26" s="136">
        <f>ROUND(331  *D26,2)</f>
        <v>331</v>
      </c>
    </row>
    <row r="27" spans="1:12" ht="89.25" x14ac:dyDescent="0.2">
      <c r="A27" s="115" t="s">
        <v>357</v>
      </c>
      <c r="B27" s="116" t="s">
        <v>872</v>
      </c>
      <c r="C27" s="118" t="s">
        <v>873</v>
      </c>
      <c r="D27" s="118">
        <v>1</v>
      </c>
      <c r="E27" s="118" t="s">
        <v>1360</v>
      </c>
      <c r="F27" s="118" t="s">
        <v>874</v>
      </c>
      <c r="G27" s="119">
        <f>ROUND(61  * D27,2)</f>
        <v>61</v>
      </c>
    </row>
    <row r="28" spans="1:12" ht="25.5" customHeight="1" x14ac:dyDescent="0.2">
      <c r="A28" s="130" t="s">
        <v>361</v>
      </c>
      <c r="B28" s="150" t="s">
        <v>295</v>
      </c>
      <c r="C28" s="150"/>
      <c r="D28" s="150"/>
      <c r="E28" s="150"/>
      <c r="F28" s="150" t="s">
        <v>1361</v>
      </c>
      <c r="G28" s="151">
        <f>SUM(G23:G27)</f>
        <v>716</v>
      </c>
    </row>
    <row r="29" spans="1:12" ht="76.5" x14ac:dyDescent="0.2">
      <c r="A29" s="115" t="s">
        <v>365</v>
      </c>
      <c r="B29" s="116" t="s">
        <v>875</v>
      </c>
      <c r="C29" s="118" t="s">
        <v>819</v>
      </c>
      <c r="D29" s="118">
        <v>1</v>
      </c>
      <c r="E29" s="118" t="s">
        <v>1362</v>
      </c>
      <c r="F29" s="118" t="s">
        <v>876</v>
      </c>
      <c r="G29" s="119">
        <f>ROUND(450 * D29,2)</f>
        <v>450</v>
      </c>
    </row>
    <row r="30" spans="1:12" ht="51" x14ac:dyDescent="0.2">
      <c r="A30" s="133" t="s">
        <v>366</v>
      </c>
      <c r="B30" s="134" t="s">
        <v>387</v>
      </c>
      <c r="C30" s="135" t="s">
        <v>830</v>
      </c>
      <c r="D30" s="135">
        <v>1</v>
      </c>
      <c r="E30" s="135" t="s">
        <v>1363</v>
      </c>
      <c r="F30" s="135" t="s">
        <v>877</v>
      </c>
      <c r="G30" s="136">
        <f>G28*60%*1.15</f>
        <v>494.03999999999991</v>
      </c>
    </row>
    <row r="31" spans="1:12" ht="15.75" customHeight="1" x14ac:dyDescent="0.2">
      <c r="A31" s="124" t="s">
        <v>39</v>
      </c>
      <c r="B31" s="125" t="s">
        <v>45</v>
      </c>
      <c r="C31" s="125"/>
      <c r="D31" s="125"/>
      <c r="E31" s="125"/>
      <c r="F31" s="125"/>
      <c r="G31" s="126"/>
    </row>
    <row r="32" spans="1:12" ht="38.25" x14ac:dyDescent="0.2">
      <c r="A32" s="130" t="s">
        <v>39</v>
      </c>
      <c r="B32" s="131" t="s">
        <v>878</v>
      </c>
      <c r="C32" s="131"/>
      <c r="D32" s="131"/>
      <c r="E32" s="131" t="s">
        <v>1364</v>
      </c>
      <c r="F32" s="131"/>
      <c r="G32" s="132"/>
    </row>
    <row r="33" spans="1:12" ht="25.5" customHeight="1" x14ac:dyDescent="0.2">
      <c r="A33" s="115" t="s">
        <v>445</v>
      </c>
      <c r="B33" s="116" t="s">
        <v>297</v>
      </c>
      <c r="C33" s="116"/>
      <c r="D33" s="116"/>
      <c r="E33" s="116"/>
      <c r="F33" s="116" t="s">
        <v>879</v>
      </c>
      <c r="G33" s="117">
        <f>SUM(G28:G32)</f>
        <v>1660.04</v>
      </c>
    </row>
    <row r="34" spans="1:12" ht="12.75" customHeight="1" x14ac:dyDescent="0.2">
      <c r="A34" s="115" t="s">
        <v>13</v>
      </c>
      <c r="B34" s="116" t="s">
        <v>78</v>
      </c>
      <c r="C34" s="116"/>
      <c r="D34" s="116"/>
      <c r="E34" s="116" t="s">
        <v>299</v>
      </c>
      <c r="F34" s="116"/>
      <c r="G34" s="117"/>
    </row>
    <row r="35" spans="1:12" ht="89.25" customHeight="1" x14ac:dyDescent="0.2">
      <c r="A35" s="115" t="s">
        <v>292</v>
      </c>
      <c r="B35" s="118" t="s">
        <v>880</v>
      </c>
      <c r="C35" s="118"/>
      <c r="D35" s="118"/>
      <c r="E35" s="118" t="s">
        <v>1365</v>
      </c>
      <c r="F35" s="118" t="s">
        <v>881</v>
      </c>
      <c r="G35" s="119">
        <f>ROUND(($G$21) * 13.75 / 100 * 1,3)</f>
        <v>11.571</v>
      </c>
      <c r="H35" s="152">
        <f>G21</f>
        <v>84.15</v>
      </c>
    </row>
    <row r="36" spans="1:12" s="182" customFormat="1" ht="87" customHeight="1" x14ac:dyDescent="0.2">
      <c r="A36" s="201" t="s">
        <v>293</v>
      </c>
      <c r="B36" s="266" t="s">
        <v>309</v>
      </c>
      <c r="C36" s="266"/>
      <c r="D36" s="266"/>
      <c r="E36" s="266" t="s">
        <v>1366</v>
      </c>
      <c r="F36" s="266" t="s">
        <v>882</v>
      </c>
      <c r="G36" s="267">
        <f>ROUND((H35+G35)*6/100*2.5,2)</f>
        <v>14.36</v>
      </c>
      <c r="H36" s="183"/>
      <c r="I36" s="195"/>
      <c r="J36" s="196"/>
      <c r="K36" s="183"/>
      <c r="L36" s="183"/>
    </row>
    <row r="37" spans="1:12" ht="25.9" customHeight="1" x14ac:dyDescent="0.2">
      <c r="A37" s="115" t="s">
        <v>294</v>
      </c>
      <c r="B37" s="116" t="s">
        <v>312</v>
      </c>
      <c r="C37" s="116"/>
      <c r="D37" s="116"/>
      <c r="E37" s="116"/>
      <c r="F37" s="116" t="s">
        <v>1367</v>
      </c>
      <c r="G37" s="117">
        <f>ROUND((SUM($G$35:$G$36)),3)</f>
        <v>25.931000000000001</v>
      </c>
    </row>
    <row r="38" spans="1:12" ht="29.45" customHeight="1" x14ac:dyDescent="0.2">
      <c r="A38" s="115" t="s">
        <v>15</v>
      </c>
      <c r="B38" s="116" t="s">
        <v>43</v>
      </c>
      <c r="C38" s="116"/>
      <c r="D38" s="116"/>
      <c r="E38" s="116"/>
      <c r="F38" s="116" t="s">
        <v>1368</v>
      </c>
      <c r="G38" s="117">
        <f>G37+G33+G21</f>
        <v>1770.1210000000001</v>
      </c>
    </row>
    <row r="39" spans="1:12" ht="51" customHeight="1" x14ac:dyDescent="0.2">
      <c r="A39" s="115" t="s">
        <v>17</v>
      </c>
      <c r="B39" s="118" t="s">
        <v>1068</v>
      </c>
      <c r="C39" s="118"/>
      <c r="D39" s="118"/>
      <c r="E39" s="118" t="s">
        <v>1151</v>
      </c>
      <c r="F39" s="118" t="s">
        <v>1069</v>
      </c>
      <c r="G39" s="119">
        <f>ROUND(($G$38) * 67.78 * 1,2)</f>
        <v>119978.8</v>
      </c>
    </row>
    <row r="40" spans="1:12" s="306" customFormat="1" ht="70.150000000000006" hidden="1" customHeight="1" x14ac:dyDescent="0.2">
      <c r="A40" s="303" t="s">
        <v>19</v>
      </c>
      <c r="B40" s="304" t="s">
        <v>883</v>
      </c>
      <c r="C40" s="304"/>
      <c r="D40" s="304"/>
      <c r="E40" s="304" t="s">
        <v>884</v>
      </c>
      <c r="F40" s="304">
        <v>15180</v>
      </c>
      <c r="G40" s="305">
        <f>F40</f>
        <v>15180</v>
      </c>
    </row>
    <row r="41" spans="1:12" x14ac:dyDescent="0.2">
      <c r="A41" s="115" t="s">
        <v>20</v>
      </c>
      <c r="B41" s="116" t="s">
        <v>42</v>
      </c>
      <c r="C41" s="116"/>
      <c r="D41" s="116"/>
      <c r="E41" s="116"/>
      <c r="F41" s="116" t="s">
        <v>724</v>
      </c>
      <c r="G41" s="117">
        <f>G39</f>
        <v>119978.8</v>
      </c>
      <c r="H41" s="152"/>
      <c r="I41" s="152"/>
    </row>
    <row r="42" spans="1:12" ht="12.75" customHeight="1" x14ac:dyDescent="0.2"/>
    <row r="45" spans="1:12" s="103" customFormat="1" ht="28.15" customHeight="1" x14ac:dyDescent="0.2">
      <c r="A45" s="333" t="s">
        <v>725</v>
      </c>
      <c r="B45" s="333"/>
      <c r="C45" s="334"/>
      <c r="D45" s="333"/>
      <c r="E45" s="333"/>
      <c r="F45" s="333"/>
      <c r="G45" s="333"/>
    </row>
    <row r="46" spans="1:12" s="103" customFormat="1" ht="28.15" customHeight="1" x14ac:dyDescent="0.2">
      <c r="A46" s="366"/>
      <c r="B46" s="366"/>
      <c r="C46" s="334"/>
      <c r="D46" s="333"/>
      <c r="E46" s="333"/>
      <c r="F46" s="333"/>
      <c r="G46" s="333"/>
    </row>
    <row r="47" spans="1:12" x14ac:dyDescent="0.2">
      <c r="A47" s="153"/>
      <c r="B47" s="153"/>
      <c r="C47" s="153"/>
      <c r="D47" s="153"/>
      <c r="E47" s="153"/>
      <c r="F47" s="153"/>
      <c r="G47" s="154"/>
    </row>
    <row r="48" spans="1:12" x14ac:dyDescent="0.2">
      <c r="A48" s="153"/>
      <c r="B48" s="153"/>
      <c r="C48" s="153"/>
      <c r="D48" s="153"/>
      <c r="E48" s="153"/>
      <c r="F48" s="153"/>
      <c r="G48" s="154"/>
    </row>
    <row r="49" spans="1:7" x14ac:dyDescent="0.2">
      <c r="A49" s="153"/>
      <c r="B49" s="153"/>
      <c r="C49" s="153"/>
      <c r="D49" s="153"/>
      <c r="E49" s="153"/>
      <c r="F49" s="153"/>
      <c r="G49" s="154"/>
    </row>
  </sheetData>
  <mergeCells count="22">
    <mergeCell ref="A1:B1"/>
    <mergeCell ref="C1:G1"/>
    <mergeCell ref="B4:F4"/>
    <mergeCell ref="B5:F5"/>
    <mergeCell ref="A7:C7"/>
    <mergeCell ref="D7:G7"/>
    <mergeCell ref="A8:C8"/>
    <mergeCell ref="D8:G8"/>
    <mergeCell ref="A9:C9"/>
    <mergeCell ref="D9:G9"/>
    <mergeCell ref="A10:C10"/>
    <mergeCell ref="D10:G10"/>
    <mergeCell ref="A45:B45"/>
    <mergeCell ref="C45:G45"/>
    <mergeCell ref="A46:B46"/>
    <mergeCell ref="C46:G46"/>
    <mergeCell ref="A11:C11"/>
    <mergeCell ref="D11:G11"/>
    <mergeCell ref="D12:G12"/>
    <mergeCell ref="A13:C13"/>
    <mergeCell ref="D13:G13"/>
    <mergeCell ref="A14:G14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horizontalDpi="300" verticalDpi="300" r:id="rId1"/>
  <headerFooter alignWithMargins="0">
    <oddFooter>&amp;CСтраница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FC65-C4E8-46FA-A827-67E620B7AEBC}">
  <dimension ref="A1:K112"/>
  <sheetViews>
    <sheetView view="pageBreakPreview" topLeftCell="A91" zoomScale="60" zoomScaleNormal="100" workbookViewId="0">
      <selection activeCell="C107" sqref="C107:G107"/>
    </sheetView>
  </sheetViews>
  <sheetFormatPr defaultColWidth="11.5703125" defaultRowHeight="12.75" x14ac:dyDescent="0.2"/>
  <cols>
    <col min="1" max="1" width="5.140625" style="108" customWidth="1"/>
    <col min="2" max="2" width="26.7109375" style="108" customWidth="1"/>
    <col min="3" max="3" width="7.7109375" style="108" customWidth="1"/>
    <col min="4" max="4" width="5" style="108" customWidth="1"/>
    <col min="5" max="5" width="27.7109375" style="108" customWidth="1"/>
    <col min="6" max="6" width="14.42578125" style="108" customWidth="1"/>
    <col min="7" max="7" width="12.85546875" style="109" customWidth="1"/>
    <col min="8" max="8" width="11.5703125" style="105"/>
    <col min="9" max="9" width="11.7109375" style="105" bestFit="1" customWidth="1"/>
    <col min="10" max="256" width="11.5703125" style="105"/>
    <col min="257" max="257" width="5.140625" style="105" customWidth="1"/>
    <col min="258" max="258" width="26.7109375" style="105" customWidth="1"/>
    <col min="259" max="259" width="7.7109375" style="105" customWidth="1"/>
    <col min="260" max="260" width="5" style="105" customWidth="1"/>
    <col min="261" max="261" width="27.7109375" style="105" customWidth="1"/>
    <col min="262" max="262" width="14.42578125" style="105" customWidth="1"/>
    <col min="263" max="264" width="11.5703125" style="105"/>
    <col min="265" max="265" width="11.7109375" style="105" bestFit="1" customWidth="1"/>
    <col min="266" max="512" width="11.5703125" style="105"/>
    <col min="513" max="513" width="5.140625" style="105" customWidth="1"/>
    <col min="514" max="514" width="26.7109375" style="105" customWidth="1"/>
    <col min="515" max="515" width="7.7109375" style="105" customWidth="1"/>
    <col min="516" max="516" width="5" style="105" customWidth="1"/>
    <col min="517" max="517" width="27.7109375" style="105" customWidth="1"/>
    <col min="518" max="518" width="14.42578125" style="105" customWidth="1"/>
    <col min="519" max="520" width="11.5703125" style="105"/>
    <col min="521" max="521" width="11.7109375" style="105" bestFit="1" customWidth="1"/>
    <col min="522" max="768" width="11.5703125" style="105"/>
    <col min="769" max="769" width="5.140625" style="105" customWidth="1"/>
    <col min="770" max="770" width="26.7109375" style="105" customWidth="1"/>
    <col min="771" max="771" width="7.7109375" style="105" customWidth="1"/>
    <col min="772" max="772" width="5" style="105" customWidth="1"/>
    <col min="773" max="773" width="27.7109375" style="105" customWidth="1"/>
    <col min="774" max="774" width="14.42578125" style="105" customWidth="1"/>
    <col min="775" max="776" width="11.5703125" style="105"/>
    <col min="777" max="777" width="11.7109375" style="105" bestFit="1" customWidth="1"/>
    <col min="778" max="1024" width="11.5703125" style="105"/>
    <col min="1025" max="1025" width="5.140625" style="105" customWidth="1"/>
    <col min="1026" max="1026" width="26.7109375" style="105" customWidth="1"/>
    <col min="1027" max="1027" width="7.7109375" style="105" customWidth="1"/>
    <col min="1028" max="1028" width="5" style="105" customWidth="1"/>
    <col min="1029" max="1029" width="27.7109375" style="105" customWidth="1"/>
    <col min="1030" max="1030" width="14.42578125" style="105" customWidth="1"/>
    <col min="1031" max="1032" width="11.5703125" style="105"/>
    <col min="1033" max="1033" width="11.7109375" style="105" bestFit="1" customWidth="1"/>
    <col min="1034" max="1280" width="11.5703125" style="105"/>
    <col min="1281" max="1281" width="5.140625" style="105" customWidth="1"/>
    <col min="1282" max="1282" width="26.7109375" style="105" customWidth="1"/>
    <col min="1283" max="1283" width="7.7109375" style="105" customWidth="1"/>
    <col min="1284" max="1284" width="5" style="105" customWidth="1"/>
    <col min="1285" max="1285" width="27.7109375" style="105" customWidth="1"/>
    <col min="1286" max="1286" width="14.42578125" style="105" customWidth="1"/>
    <col min="1287" max="1288" width="11.5703125" style="105"/>
    <col min="1289" max="1289" width="11.7109375" style="105" bestFit="1" customWidth="1"/>
    <col min="1290" max="1536" width="11.5703125" style="105"/>
    <col min="1537" max="1537" width="5.140625" style="105" customWidth="1"/>
    <col min="1538" max="1538" width="26.7109375" style="105" customWidth="1"/>
    <col min="1539" max="1539" width="7.7109375" style="105" customWidth="1"/>
    <col min="1540" max="1540" width="5" style="105" customWidth="1"/>
    <col min="1541" max="1541" width="27.7109375" style="105" customWidth="1"/>
    <col min="1542" max="1542" width="14.42578125" style="105" customWidth="1"/>
    <col min="1543" max="1544" width="11.5703125" style="105"/>
    <col min="1545" max="1545" width="11.7109375" style="105" bestFit="1" customWidth="1"/>
    <col min="1546" max="1792" width="11.5703125" style="105"/>
    <col min="1793" max="1793" width="5.140625" style="105" customWidth="1"/>
    <col min="1794" max="1794" width="26.7109375" style="105" customWidth="1"/>
    <col min="1795" max="1795" width="7.7109375" style="105" customWidth="1"/>
    <col min="1796" max="1796" width="5" style="105" customWidth="1"/>
    <col min="1797" max="1797" width="27.7109375" style="105" customWidth="1"/>
    <col min="1798" max="1798" width="14.42578125" style="105" customWidth="1"/>
    <col min="1799" max="1800" width="11.5703125" style="105"/>
    <col min="1801" max="1801" width="11.7109375" style="105" bestFit="1" customWidth="1"/>
    <col min="1802" max="2048" width="11.5703125" style="105"/>
    <col min="2049" max="2049" width="5.140625" style="105" customWidth="1"/>
    <col min="2050" max="2050" width="26.7109375" style="105" customWidth="1"/>
    <col min="2051" max="2051" width="7.7109375" style="105" customWidth="1"/>
    <col min="2052" max="2052" width="5" style="105" customWidth="1"/>
    <col min="2053" max="2053" width="27.7109375" style="105" customWidth="1"/>
    <col min="2054" max="2054" width="14.42578125" style="105" customWidth="1"/>
    <col min="2055" max="2056" width="11.5703125" style="105"/>
    <col min="2057" max="2057" width="11.7109375" style="105" bestFit="1" customWidth="1"/>
    <col min="2058" max="2304" width="11.5703125" style="105"/>
    <col min="2305" max="2305" width="5.140625" style="105" customWidth="1"/>
    <col min="2306" max="2306" width="26.7109375" style="105" customWidth="1"/>
    <col min="2307" max="2307" width="7.7109375" style="105" customWidth="1"/>
    <col min="2308" max="2308" width="5" style="105" customWidth="1"/>
    <col min="2309" max="2309" width="27.7109375" style="105" customWidth="1"/>
    <col min="2310" max="2310" width="14.42578125" style="105" customWidth="1"/>
    <col min="2311" max="2312" width="11.5703125" style="105"/>
    <col min="2313" max="2313" width="11.7109375" style="105" bestFit="1" customWidth="1"/>
    <col min="2314" max="2560" width="11.5703125" style="105"/>
    <col min="2561" max="2561" width="5.140625" style="105" customWidth="1"/>
    <col min="2562" max="2562" width="26.7109375" style="105" customWidth="1"/>
    <col min="2563" max="2563" width="7.7109375" style="105" customWidth="1"/>
    <col min="2564" max="2564" width="5" style="105" customWidth="1"/>
    <col min="2565" max="2565" width="27.7109375" style="105" customWidth="1"/>
    <col min="2566" max="2566" width="14.42578125" style="105" customWidth="1"/>
    <col min="2567" max="2568" width="11.5703125" style="105"/>
    <col min="2569" max="2569" width="11.7109375" style="105" bestFit="1" customWidth="1"/>
    <col min="2570" max="2816" width="11.5703125" style="105"/>
    <col min="2817" max="2817" width="5.140625" style="105" customWidth="1"/>
    <col min="2818" max="2818" width="26.7109375" style="105" customWidth="1"/>
    <col min="2819" max="2819" width="7.7109375" style="105" customWidth="1"/>
    <col min="2820" max="2820" width="5" style="105" customWidth="1"/>
    <col min="2821" max="2821" width="27.7109375" style="105" customWidth="1"/>
    <col min="2822" max="2822" width="14.42578125" style="105" customWidth="1"/>
    <col min="2823" max="2824" width="11.5703125" style="105"/>
    <col min="2825" max="2825" width="11.7109375" style="105" bestFit="1" customWidth="1"/>
    <col min="2826" max="3072" width="11.5703125" style="105"/>
    <col min="3073" max="3073" width="5.140625" style="105" customWidth="1"/>
    <col min="3074" max="3074" width="26.7109375" style="105" customWidth="1"/>
    <col min="3075" max="3075" width="7.7109375" style="105" customWidth="1"/>
    <col min="3076" max="3076" width="5" style="105" customWidth="1"/>
    <col min="3077" max="3077" width="27.7109375" style="105" customWidth="1"/>
    <col min="3078" max="3078" width="14.42578125" style="105" customWidth="1"/>
    <col min="3079" max="3080" width="11.5703125" style="105"/>
    <col min="3081" max="3081" width="11.7109375" style="105" bestFit="1" customWidth="1"/>
    <col min="3082" max="3328" width="11.5703125" style="105"/>
    <col min="3329" max="3329" width="5.140625" style="105" customWidth="1"/>
    <col min="3330" max="3330" width="26.7109375" style="105" customWidth="1"/>
    <col min="3331" max="3331" width="7.7109375" style="105" customWidth="1"/>
    <col min="3332" max="3332" width="5" style="105" customWidth="1"/>
    <col min="3333" max="3333" width="27.7109375" style="105" customWidth="1"/>
    <col min="3334" max="3334" width="14.42578125" style="105" customWidth="1"/>
    <col min="3335" max="3336" width="11.5703125" style="105"/>
    <col min="3337" max="3337" width="11.7109375" style="105" bestFit="1" customWidth="1"/>
    <col min="3338" max="3584" width="11.5703125" style="105"/>
    <col min="3585" max="3585" width="5.140625" style="105" customWidth="1"/>
    <col min="3586" max="3586" width="26.7109375" style="105" customWidth="1"/>
    <col min="3587" max="3587" width="7.7109375" style="105" customWidth="1"/>
    <col min="3588" max="3588" width="5" style="105" customWidth="1"/>
    <col min="3589" max="3589" width="27.7109375" style="105" customWidth="1"/>
    <col min="3590" max="3590" width="14.42578125" style="105" customWidth="1"/>
    <col min="3591" max="3592" width="11.5703125" style="105"/>
    <col min="3593" max="3593" width="11.7109375" style="105" bestFit="1" customWidth="1"/>
    <col min="3594" max="3840" width="11.5703125" style="105"/>
    <col min="3841" max="3841" width="5.140625" style="105" customWidth="1"/>
    <col min="3842" max="3842" width="26.7109375" style="105" customWidth="1"/>
    <col min="3843" max="3843" width="7.7109375" style="105" customWidth="1"/>
    <col min="3844" max="3844" width="5" style="105" customWidth="1"/>
    <col min="3845" max="3845" width="27.7109375" style="105" customWidth="1"/>
    <col min="3846" max="3846" width="14.42578125" style="105" customWidth="1"/>
    <col min="3847" max="3848" width="11.5703125" style="105"/>
    <col min="3849" max="3849" width="11.7109375" style="105" bestFit="1" customWidth="1"/>
    <col min="3850" max="4096" width="11.5703125" style="105"/>
    <col min="4097" max="4097" width="5.140625" style="105" customWidth="1"/>
    <col min="4098" max="4098" width="26.7109375" style="105" customWidth="1"/>
    <col min="4099" max="4099" width="7.7109375" style="105" customWidth="1"/>
    <col min="4100" max="4100" width="5" style="105" customWidth="1"/>
    <col min="4101" max="4101" width="27.7109375" style="105" customWidth="1"/>
    <col min="4102" max="4102" width="14.42578125" style="105" customWidth="1"/>
    <col min="4103" max="4104" width="11.5703125" style="105"/>
    <col min="4105" max="4105" width="11.7109375" style="105" bestFit="1" customWidth="1"/>
    <col min="4106" max="4352" width="11.5703125" style="105"/>
    <col min="4353" max="4353" width="5.140625" style="105" customWidth="1"/>
    <col min="4354" max="4354" width="26.7109375" style="105" customWidth="1"/>
    <col min="4355" max="4355" width="7.7109375" style="105" customWidth="1"/>
    <col min="4356" max="4356" width="5" style="105" customWidth="1"/>
    <col min="4357" max="4357" width="27.7109375" style="105" customWidth="1"/>
    <col min="4358" max="4358" width="14.42578125" style="105" customWidth="1"/>
    <col min="4359" max="4360" width="11.5703125" style="105"/>
    <col min="4361" max="4361" width="11.7109375" style="105" bestFit="1" customWidth="1"/>
    <col min="4362" max="4608" width="11.5703125" style="105"/>
    <col min="4609" max="4609" width="5.140625" style="105" customWidth="1"/>
    <col min="4610" max="4610" width="26.7109375" style="105" customWidth="1"/>
    <col min="4611" max="4611" width="7.7109375" style="105" customWidth="1"/>
    <col min="4612" max="4612" width="5" style="105" customWidth="1"/>
    <col min="4613" max="4613" width="27.7109375" style="105" customWidth="1"/>
    <col min="4614" max="4614" width="14.42578125" style="105" customWidth="1"/>
    <col min="4615" max="4616" width="11.5703125" style="105"/>
    <col min="4617" max="4617" width="11.7109375" style="105" bestFit="1" customWidth="1"/>
    <col min="4618" max="4864" width="11.5703125" style="105"/>
    <col min="4865" max="4865" width="5.140625" style="105" customWidth="1"/>
    <col min="4866" max="4866" width="26.7109375" style="105" customWidth="1"/>
    <col min="4867" max="4867" width="7.7109375" style="105" customWidth="1"/>
    <col min="4868" max="4868" width="5" style="105" customWidth="1"/>
    <col min="4869" max="4869" width="27.7109375" style="105" customWidth="1"/>
    <col min="4870" max="4870" width="14.42578125" style="105" customWidth="1"/>
    <col min="4871" max="4872" width="11.5703125" style="105"/>
    <col min="4873" max="4873" width="11.7109375" style="105" bestFit="1" customWidth="1"/>
    <col min="4874" max="5120" width="11.5703125" style="105"/>
    <col min="5121" max="5121" width="5.140625" style="105" customWidth="1"/>
    <col min="5122" max="5122" width="26.7109375" style="105" customWidth="1"/>
    <col min="5123" max="5123" width="7.7109375" style="105" customWidth="1"/>
    <col min="5124" max="5124" width="5" style="105" customWidth="1"/>
    <col min="5125" max="5125" width="27.7109375" style="105" customWidth="1"/>
    <col min="5126" max="5126" width="14.42578125" style="105" customWidth="1"/>
    <col min="5127" max="5128" width="11.5703125" style="105"/>
    <col min="5129" max="5129" width="11.7109375" style="105" bestFit="1" customWidth="1"/>
    <col min="5130" max="5376" width="11.5703125" style="105"/>
    <col min="5377" max="5377" width="5.140625" style="105" customWidth="1"/>
    <col min="5378" max="5378" width="26.7109375" style="105" customWidth="1"/>
    <col min="5379" max="5379" width="7.7109375" style="105" customWidth="1"/>
    <col min="5380" max="5380" width="5" style="105" customWidth="1"/>
    <col min="5381" max="5381" width="27.7109375" style="105" customWidth="1"/>
    <col min="5382" max="5382" width="14.42578125" style="105" customWidth="1"/>
    <col min="5383" max="5384" width="11.5703125" style="105"/>
    <col min="5385" max="5385" width="11.7109375" style="105" bestFit="1" customWidth="1"/>
    <col min="5386" max="5632" width="11.5703125" style="105"/>
    <col min="5633" max="5633" width="5.140625" style="105" customWidth="1"/>
    <col min="5634" max="5634" width="26.7109375" style="105" customWidth="1"/>
    <col min="5635" max="5635" width="7.7109375" style="105" customWidth="1"/>
    <col min="5636" max="5636" width="5" style="105" customWidth="1"/>
    <col min="5637" max="5637" width="27.7109375" style="105" customWidth="1"/>
    <col min="5638" max="5638" width="14.42578125" style="105" customWidth="1"/>
    <col min="5639" max="5640" width="11.5703125" style="105"/>
    <col min="5641" max="5641" width="11.7109375" style="105" bestFit="1" customWidth="1"/>
    <col min="5642" max="5888" width="11.5703125" style="105"/>
    <col min="5889" max="5889" width="5.140625" style="105" customWidth="1"/>
    <col min="5890" max="5890" width="26.7109375" style="105" customWidth="1"/>
    <col min="5891" max="5891" width="7.7109375" style="105" customWidth="1"/>
    <col min="5892" max="5892" width="5" style="105" customWidth="1"/>
    <col min="5893" max="5893" width="27.7109375" style="105" customWidth="1"/>
    <col min="5894" max="5894" width="14.42578125" style="105" customWidth="1"/>
    <col min="5895" max="5896" width="11.5703125" style="105"/>
    <col min="5897" max="5897" width="11.7109375" style="105" bestFit="1" customWidth="1"/>
    <col min="5898" max="6144" width="11.5703125" style="105"/>
    <col min="6145" max="6145" width="5.140625" style="105" customWidth="1"/>
    <col min="6146" max="6146" width="26.7109375" style="105" customWidth="1"/>
    <col min="6147" max="6147" width="7.7109375" style="105" customWidth="1"/>
    <col min="6148" max="6148" width="5" style="105" customWidth="1"/>
    <col min="6149" max="6149" width="27.7109375" style="105" customWidth="1"/>
    <col min="6150" max="6150" width="14.42578125" style="105" customWidth="1"/>
    <col min="6151" max="6152" width="11.5703125" style="105"/>
    <col min="6153" max="6153" width="11.7109375" style="105" bestFit="1" customWidth="1"/>
    <col min="6154" max="6400" width="11.5703125" style="105"/>
    <col min="6401" max="6401" width="5.140625" style="105" customWidth="1"/>
    <col min="6402" max="6402" width="26.7109375" style="105" customWidth="1"/>
    <col min="6403" max="6403" width="7.7109375" style="105" customWidth="1"/>
    <col min="6404" max="6404" width="5" style="105" customWidth="1"/>
    <col min="6405" max="6405" width="27.7109375" style="105" customWidth="1"/>
    <col min="6406" max="6406" width="14.42578125" style="105" customWidth="1"/>
    <col min="6407" max="6408" width="11.5703125" style="105"/>
    <col min="6409" max="6409" width="11.7109375" style="105" bestFit="1" customWidth="1"/>
    <col min="6410" max="6656" width="11.5703125" style="105"/>
    <col min="6657" max="6657" width="5.140625" style="105" customWidth="1"/>
    <col min="6658" max="6658" width="26.7109375" style="105" customWidth="1"/>
    <col min="6659" max="6659" width="7.7109375" style="105" customWidth="1"/>
    <col min="6660" max="6660" width="5" style="105" customWidth="1"/>
    <col min="6661" max="6662" width="0" style="105" hidden="1" customWidth="1"/>
    <col min="6663" max="6664" width="0" style="105" hidden="1"/>
    <col min="6665" max="6665" width="0" style="105" hidden="1" bestFit="1" customWidth="1"/>
    <col min="6666" max="6912" width="0" style="105" hidden="1"/>
    <col min="6913" max="6914" width="0" style="105" hidden="1" customWidth="1"/>
    <col min="6915" max="6915" width="1.42578125" style="105" customWidth="1"/>
    <col min="6916" max="6916" width="0" style="105" hidden="1" customWidth="1"/>
    <col min="6917" max="6917" width="11.7109375" style="105" customWidth="1"/>
    <col min="6918" max="6918" width="14.42578125" style="105" customWidth="1"/>
    <col min="6919" max="6920" width="0" style="105" hidden="1"/>
    <col min="6921" max="6921" width="0" style="105" hidden="1" bestFit="1" customWidth="1"/>
    <col min="6922" max="7168" width="0" style="105" hidden="1"/>
    <col min="7169" max="7170" width="0" style="105" hidden="1" customWidth="1"/>
    <col min="7171" max="7171" width="1.42578125" style="105" customWidth="1"/>
    <col min="7172" max="7174" width="0" style="105" hidden="1" customWidth="1"/>
    <col min="7175" max="7176" width="0" style="105" hidden="1"/>
    <col min="7177" max="7177" width="0" style="105" hidden="1" bestFit="1" customWidth="1"/>
    <col min="7178" max="7424" width="0" style="105" hidden="1"/>
    <col min="7425" max="7426" width="0" style="105" hidden="1" customWidth="1"/>
    <col min="7427" max="7427" width="1.42578125" style="105" customWidth="1"/>
    <col min="7428" max="7430" width="0" style="105" hidden="1" customWidth="1"/>
    <col min="7431" max="7432" width="0" style="105" hidden="1"/>
    <col min="7433" max="7433" width="0" style="105" hidden="1" bestFit="1" customWidth="1"/>
    <col min="7434" max="7680" width="0" style="105" hidden="1"/>
    <col min="7681" max="7682" width="0" style="105" hidden="1" customWidth="1"/>
    <col min="7683" max="7683" width="1.42578125" style="105" customWidth="1"/>
    <col min="7684" max="7684" width="0" style="105" hidden="1" customWidth="1"/>
    <col min="7685" max="7685" width="11.7109375" style="105" customWidth="1"/>
    <col min="7686" max="7686" width="0" style="105" hidden="1" customWidth="1"/>
    <col min="7687" max="7688" width="0" style="105" hidden="1"/>
    <col min="7689" max="7689" width="0" style="105" hidden="1" bestFit="1" customWidth="1"/>
    <col min="7690" max="7936" width="0" style="105" hidden="1"/>
    <col min="7937" max="7938" width="0" style="105" hidden="1" customWidth="1"/>
    <col min="7939" max="7939" width="1.42578125" style="105" customWidth="1"/>
    <col min="7940" max="7942" width="0" style="105" hidden="1" customWidth="1"/>
    <col min="7943" max="7944" width="0" style="105" hidden="1"/>
    <col min="7945" max="7945" width="0" style="105" hidden="1" bestFit="1" customWidth="1"/>
    <col min="7946" max="8192" width="0" style="105" hidden="1"/>
    <col min="8193" max="8194" width="0" style="105" hidden="1" customWidth="1"/>
    <col min="8195" max="8195" width="1.42578125" style="105" customWidth="1"/>
    <col min="8196" max="8198" width="0" style="105" hidden="1" customWidth="1"/>
    <col min="8199" max="8200" width="0" style="105" hidden="1"/>
    <col min="8201" max="8201" width="0" style="105" hidden="1" bestFit="1" customWidth="1"/>
    <col min="8202" max="8448" width="0" style="105" hidden="1"/>
    <col min="8449" max="8450" width="0" style="105" hidden="1" customWidth="1"/>
    <col min="8451" max="8451" width="1.42578125" style="105" customWidth="1"/>
    <col min="8452" max="8454" width="0" style="105" hidden="1" customWidth="1"/>
    <col min="8455" max="8456" width="0" style="105" hidden="1"/>
    <col min="8457" max="8457" width="0" style="105" hidden="1" bestFit="1" customWidth="1"/>
    <col min="8458" max="8704" width="0" style="105" hidden="1"/>
    <col min="8705" max="8706" width="0" style="105" hidden="1" customWidth="1"/>
    <col min="8707" max="8707" width="1.42578125" style="105" customWidth="1"/>
    <col min="8708" max="8710" width="0" style="105" hidden="1" customWidth="1"/>
    <col min="8711" max="8712" width="0" style="105" hidden="1"/>
    <col min="8713" max="8713" width="0" style="105" hidden="1" bestFit="1" customWidth="1"/>
    <col min="8714" max="8960" width="0" style="105" hidden="1"/>
    <col min="8961" max="8962" width="0" style="105" hidden="1" customWidth="1"/>
    <col min="8963" max="8963" width="1.42578125" style="105" customWidth="1"/>
    <col min="8964" max="8966" width="0" style="105" hidden="1" customWidth="1"/>
    <col min="8967" max="8968" width="0" style="105" hidden="1"/>
    <col min="8969" max="8969" width="0" style="105" hidden="1" bestFit="1" customWidth="1"/>
    <col min="8970" max="9216" width="0" style="105" hidden="1"/>
    <col min="9217" max="9218" width="0" style="105" hidden="1" customWidth="1"/>
    <col min="9219" max="9219" width="1.42578125" style="105" customWidth="1"/>
    <col min="9220" max="9220" width="0" style="105" hidden="1" customWidth="1"/>
    <col min="9221" max="9221" width="11.7109375" style="105" customWidth="1"/>
    <col min="9222" max="9222" width="14.42578125" style="105" customWidth="1"/>
    <col min="9223" max="9224" width="0" style="105" hidden="1"/>
    <col min="9225" max="9225" width="0" style="105" hidden="1" bestFit="1" customWidth="1"/>
    <col min="9226" max="9472" width="0" style="105" hidden="1"/>
    <col min="9473" max="9474" width="0" style="105" hidden="1" customWidth="1"/>
    <col min="9475" max="9475" width="1.42578125" style="105" customWidth="1"/>
    <col min="9476" max="9478" width="0" style="105" hidden="1" customWidth="1"/>
    <col min="9479" max="9480" width="0" style="105" hidden="1"/>
    <col min="9481" max="9481" width="0" style="105" hidden="1" bestFit="1" customWidth="1"/>
    <col min="9482" max="9728" width="0" style="105" hidden="1"/>
    <col min="9729" max="9730" width="0" style="105" hidden="1" customWidth="1"/>
    <col min="9731" max="9731" width="1.42578125" style="105" customWidth="1"/>
    <col min="9732" max="9734" width="0" style="105" hidden="1" customWidth="1"/>
    <col min="9735" max="9736" width="0" style="105" hidden="1"/>
    <col min="9737" max="9737" width="0" style="105" hidden="1" bestFit="1" customWidth="1"/>
    <col min="9738" max="9984" width="0" style="105" hidden="1"/>
    <col min="9985" max="9986" width="0" style="105" hidden="1" customWidth="1"/>
    <col min="9987" max="9987" width="1.42578125" style="105" customWidth="1"/>
    <col min="9988" max="9990" width="0" style="105" hidden="1" customWidth="1"/>
    <col min="9991" max="9992" width="0" style="105" hidden="1"/>
    <col min="9993" max="9993" width="0" style="105" hidden="1" bestFit="1" customWidth="1"/>
    <col min="9994" max="10240" width="0" style="105" hidden="1"/>
    <col min="10241" max="10242" width="0" style="105" hidden="1" customWidth="1"/>
    <col min="10243" max="10243" width="1.42578125" style="105" customWidth="1"/>
    <col min="10244" max="10246" width="0" style="105" hidden="1" customWidth="1"/>
    <col min="10247" max="10248" width="0" style="105" hidden="1"/>
    <col min="10249" max="10249" width="0" style="105" hidden="1" bestFit="1" customWidth="1"/>
    <col min="10250" max="10496" width="0" style="105" hidden="1"/>
    <col min="10497" max="10498" width="0" style="105" hidden="1" customWidth="1"/>
    <col min="10499" max="10499" width="3.7109375" style="105" customWidth="1"/>
    <col min="10500" max="10502" width="0" style="105" hidden="1" customWidth="1"/>
    <col min="10503" max="10504" width="0" style="105" hidden="1"/>
    <col min="10505" max="10505" width="0" style="105" hidden="1" bestFit="1" customWidth="1"/>
    <col min="10506" max="10752" width="0" style="105" hidden="1"/>
    <col min="10753" max="10754" width="0" style="105" hidden="1" customWidth="1"/>
    <col min="10755" max="10755" width="1.42578125" style="105" customWidth="1"/>
    <col min="10756" max="10758" width="0" style="105" hidden="1" customWidth="1"/>
    <col min="10759" max="10760" width="0" style="105" hidden="1"/>
    <col min="10761" max="10761" width="0" style="105" hidden="1" bestFit="1" customWidth="1"/>
    <col min="10762" max="11008" width="0" style="105" hidden="1"/>
    <col min="11009" max="11010" width="0" style="105" hidden="1" customWidth="1"/>
    <col min="11011" max="11011" width="1.42578125" style="105" customWidth="1"/>
    <col min="11012" max="11014" width="0" style="105" hidden="1" customWidth="1"/>
    <col min="11015" max="11016" width="0" style="105" hidden="1"/>
    <col min="11017" max="11017" width="0" style="105" hidden="1" bestFit="1" customWidth="1"/>
    <col min="11018" max="11264" width="0" style="105" hidden="1"/>
    <col min="11265" max="11266" width="0" style="105" hidden="1" customWidth="1"/>
    <col min="11267" max="11267" width="1.42578125" style="105" customWidth="1"/>
    <col min="11268" max="11270" width="0" style="105" hidden="1" customWidth="1"/>
    <col min="11271" max="11272" width="0" style="105" hidden="1"/>
    <col min="11273" max="11273" width="0" style="105" hidden="1" bestFit="1" customWidth="1"/>
    <col min="11274" max="11520" width="0" style="105" hidden="1"/>
    <col min="11521" max="11522" width="0" style="105" hidden="1" customWidth="1"/>
    <col min="11523" max="11523" width="1.42578125" style="105" customWidth="1"/>
    <col min="11524" max="11526" width="0" style="105" hidden="1" customWidth="1"/>
    <col min="11527" max="11528" width="0" style="105" hidden="1"/>
    <col min="11529" max="11529" width="0" style="105" hidden="1" bestFit="1" customWidth="1"/>
    <col min="11530" max="11776" width="0" style="105" hidden="1"/>
    <col min="11777" max="11778" width="0" style="105" hidden="1" customWidth="1"/>
    <col min="11779" max="11779" width="1.42578125" style="105" customWidth="1"/>
    <col min="11780" max="11782" width="0" style="105" hidden="1" customWidth="1"/>
    <col min="11783" max="11784" width="0" style="105" hidden="1"/>
    <col min="11785" max="11785" width="0" style="105" hidden="1" bestFit="1" customWidth="1"/>
    <col min="11786" max="12032" width="0" style="105" hidden="1"/>
    <col min="12033" max="12034" width="0" style="105" hidden="1" customWidth="1"/>
    <col min="12035" max="12035" width="1.42578125" style="105" customWidth="1"/>
    <col min="12036" max="12038" width="0" style="105" hidden="1" customWidth="1"/>
    <col min="12039" max="12040" width="0" style="105" hidden="1"/>
    <col min="12041" max="12041" width="0" style="105" hidden="1" bestFit="1" customWidth="1"/>
    <col min="12042" max="12288" width="0" style="105" hidden="1"/>
    <col min="12289" max="12290" width="0" style="105" hidden="1" customWidth="1"/>
    <col min="12291" max="12291" width="1.42578125" style="105" customWidth="1"/>
    <col min="12292" max="12294" width="0" style="105" hidden="1" customWidth="1"/>
    <col min="12295" max="12296" width="0" style="105" hidden="1"/>
    <col min="12297" max="12297" width="0" style="105" hidden="1" bestFit="1" customWidth="1"/>
    <col min="12298" max="12544" width="0" style="105" hidden="1"/>
    <col min="12545" max="12546" width="0" style="105" hidden="1" customWidth="1"/>
    <col min="12547" max="12547" width="1.42578125" style="105" customWidth="1"/>
    <col min="12548" max="12550" width="0" style="105" hidden="1" customWidth="1"/>
    <col min="12551" max="12552" width="0" style="105" hidden="1"/>
    <col min="12553" max="12553" width="0" style="105" hidden="1" bestFit="1" customWidth="1"/>
    <col min="12554" max="12800" width="0" style="105" hidden="1"/>
    <col min="12801" max="12802" width="0" style="105" hidden="1" customWidth="1"/>
    <col min="12803" max="12803" width="1.42578125" style="105" customWidth="1"/>
    <col min="12804" max="12806" width="0" style="105" hidden="1" customWidth="1"/>
    <col min="12807" max="12808" width="0" style="105" hidden="1"/>
    <col min="12809" max="12809" width="0" style="105" hidden="1" bestFit="1" customWidth="1"/>
    <col min="12810" max="13056" width="0" style="105" hidden="1"/>
    <col min="13057" max="13058" width="0" style="105" hidden="1" customWidth="1"/>
    <col min="13059" max="13059" width="1.42578125" style="105" customWidth="1"/>
    <col min="13060" max="13062" width="0" style="105" hidden="1" customWidth="1"/>
    <col min="13063" max="13064" width="0" style="105" hidden="1"/>
    <col min="13065" max="13065" width="0" style="105" hidden="1" bestFit="1" customWidth="1"/>
    <col min="13066" max="13312" width="0" style="105" hidden="1"/>
    <col min="13313" max="13314" width="0" style="105" hidden="1" customWidth="1"/>
    <col min="13315" max="13315" width="1.42578125" style="105" customWidth="1"/>
    <col min="13316" max="13318" width="0" style="105" hidden="1" customWidth="1"/>
    <col min="13319" max="13320" width="0" style="105" hidden="1"/>
    <col min="13321" max="13321" width="0" style="105" hidden="1" bestFit="1" customWidth="1"/>
    <col min="13322" max="13568" width="0" style="105" hidden="1"/>
    <col min="13569" max="13570" width="0" style="105" hidden="1" customWidth="1"/>
    <col min="13571" max="13571" width="1.42578125" style="105" customWidth="1"/>
    <col min="13572" max="13574" width="0" style="105" hidden="1" customWidth="1"/>
    <col min="13575" max="13576" width="0" style="105" hidden="1"/>
    <col min="13577" max="13577" width="0" style="105" hidden="1" bestFit="1" customWidth="1"/>
    <col min="13578" max="13824" width="0" style="105" hidden="1"/>
    <col min="13825" max="13826" width="0" style="105" hidden="1" customWidth="1"/>
    <col min="13827" max="13827" width="1.42578125" style="105" customWidth="1"/>
    <col min="13828" max="13828" width="0" style="105" hidden="1" customWidth="1"/>
    <col min="13829" max="13829" width="11.7109375" style="105" customWidth="1"/>
    <col min="13830" max="13830" width="0" style="105" hidden="1" customWidth="1"/>
    <col min="13831" max="13832" width="0" style="105" hidden="1"/>
    <col min="13833" max="13833" width="0" style="105" hidden="1" bestFit="1" customWidth="1"/>
    <col min="13834" max="14080" width="0" style="105" hidden="1"/>
    <col min="14081" max="14081" width="0" style="105" hidden="1" customWidth="1"/>
    <col min="14082" max="14082" width="26.7109375" style="105" customWidth="1"/>
    <col min="14083" max="14083" width="1.42578125" style="105" customWidth="1"/>
    <col min="14084" max="14085" width="0" style="105" hidden="1" customWidth="1"/>
    <col min="14086" max="14086" width="14.42578125" style="105" customWidth="1"/>
    <col min="14087" max="14088" width="0" style="105" hidden="1"/>
    <col min="14089" max="14089" width="0" style="105" hidden="1" bestFit="1" customWidth="1"/>
    <col min="14090" max="14336" width="0" style="105" hidden="1"/>
    <col min="14337" max="14338" width="0" style="105" hidden="1" customWidth="1"/>
    <col min="14339" max="14339" width="1.42578125" style="105" customWidth="1"/>
    <col min="14340" max="14342" width="0" style="105" hidden="1" customWidth="1"/>
    <col min="14343" max="14344" width="0" style="105" hidden="1"/>
    <col min="14345" max="14345" width="0" style="105" hidden="1" bestFit="1" customWidth="1"/>
    <col min="14346" max="14592" width="0" style="105" hidden="1"/>
    <col min="14593" max="14594" width="0" style="105" hidden="1" customWidth="1"/>
    <col min="14595" max="14595" width="1.42578125" style="105" customWidth="1"/>
    <col min="14596" max="14598" width="0" style="105" hidden="1" customWidth="1"/>
    <col min="14599" max="14600" width="0" style="105" hidden="1"/>
    <col min="14601" max="14601" width="0" style="105" hidden="1" bestFit="1" customWidth="1"/>
    <col min="14602" max="14848" width="0" style="105" hidden="1"/>
    <col min="14849" max="14850" width="0" style="105" hidden="1" customWidth="1"/>
    <col min="14851" max="14851" width="1.42578125" style="105" customWidth="1"/>
    <col min="14852" max="14854" width="0" style="105" hidden="1" customWidth="1"/>
    <col min="14855" max="14856" width="11.5703125" style="105"/>
    <col min="14857" max="14857" width="11.7109375" style="105" bestFit="1" customWidth="1"/>
    <col min="14858" max="15104" width="11.5703125" style="105"/>
    <col min="15105" max="15106" width="0" style="105" hidden="1" customWidth="1"/>
    <col min="15107" max="15107" width="1.42578125" style="105" customWidth="1"/>
    <col min="15108" max="15110" width="0" style="105" hidden="1" customWidth="1"/>
    <col min="15111" max="15112" width="0" style="105" hidden="1"/>
    <col min="15113" max="15113" width="0" style="105" hidden="1" bestFit="1" customWidth="1"/>
    <col min="15114" max="15360" width="0" style="105" hidden="1"/>
    <col min="15361" max="15362" width="0" style="105" hidden="1" customWidth="1"/>
    <col min="15363" max="15363" width="1.42578125" style="105" customWidth="1"/>
    <col min="15364" max="15366" width="0" style="105" hidden="1" customWidth="1"/>
    <col min="15367" max="15368" width="0" style="105" hidden="1"/>
    <col min="15369" max="15369" width="0" style="105" hidden="1" bestFit="1" customWidth="1"/>
    <col min="15370" max="15616" width="0" style="105" hidden="1"/>
    <col min="15617" max="15618" width="0" style="105" hidden="1" customWidth="1"/>
    <col min="15619" max="15619" width="1.42578125" style="105" customWidth="1"/>
    <col min="15620" max="15622" width="0" style="105" hidden="1" customWidth="1"/>
    <col min="15623" max="15624" width="0" style="105" hidden="1"/>
    <col min="15625" max="15625" width="0" style="105" hidden="1" bestFit="1" customWidth="1"/>
    <col min="15626" max="15872" width="0" style="105" hidden="1"/>
    <col min="15873" max="15874" width="0" style="105" hidden="1" customWidth="1"/>
    <col min="15875" max="15875" width="1.42578125" style="105" customWidth="1"/>
    <col min="15876" max="15878" width="0" style="105" hidden="1" customWidth="1"/>
    <col min="15879" max="15880" width="0" style="105" hidden="1"/>
    <col min="15881" max="15881" width="0" style="105" hidden="1" bestFit="1" customWidth="1"/>
    <col min="15882" max="16128" width="0" style="105" hidden="1"/>
    <col min="16129" max="16130" width="0" style="105" hidden="1" customWidth="1"/>
    <col min="16131" max="16131" width="1.42578125" style="105" customWidth="1"/>
    <col min="16132" max="16134" width="0" style="105" hidden="1" customWidth="1"/>
    <col min="16135" max="16136" width="0" style="105" hidden="1"/>
    <col min="16137" max="16137" width="0" style="105" hidden="1" bestFit="1" customWidth="1"/>
    <col min="16138" max="16384" width="0" style="105" hidden="1"/>
  </cols>
  <sheetData>
    <row r="1" spans="1:7" ht="0" hidden="1" customHeight="1" x14ac:dyDescent="0.2">
      <c r="A1" s="368" t="s">
        <v>754</v>
      </c>
      <c r="B1" s="368"/>
      <c r="C1" s="363" t="s">
        <v>755</v>
      </c>
      <c r="D1" s="363"/>
      <c r="E1" s="363"/>
      <c r="F1" s="363"/>
      <c r="G1" s="363"/>
    </row>
    <row r="2" spans="1:7" x14ac:dyDescent="0.2">
      <c r="A2" s="38"/>
      <c r="B2" s="38"/>
      <c r="C2" s="106"/>
      <c r="D2" s="106"/>
      <c r="E2" s="106"/>
      <c r="F2" s="106"/>
      <c r="G2" s="107"/>
    </row>
    <row r="3" spans="1:7" x14ac:dyDescent="0.2">
      <c r="A3" s="38"/>
      <c r="B3" s="38"/>
      <c r="C3" s="106"/>
      <c r="D3" s="106"/>
      <c r="E3" s="106"/>
      <c r="F3" s="106"/>
      <c r="G3" s="107"/>
    </row>
    <row r="4" spans="1:7" x14ac:dyDescent="0.2">
      <c r="B4" s="364" t="s">
        <v>1155</v>
      </c>
      <c r="C4" s="364"/>
      <c r="D4" s="364"/>
      <c r="E4" s="364"/>
      <c r="F4" s="364"/>
    </row>
    <row r="5" spans="1:7" x14ac:dyDescent="0.2">
      <c r="B5" s="365" t="s">
        <v>390</v>
      </c>
      <c r="C5" s="365"/>
      <c r="D5" s="365"/>
      <c r="E5" s="365"/>
      <c r="F5" s="365"/>
    </row>
    <row r="6" spans="1:7" x14ac:dyDescent="0.2">
      <c r="C6" s="38"/>
      <c r="D6" s="38"/>
      <c r="E6" s="38"/>
    </row>
    <row r="7" spans="1:7" ht="0" hidden="1" customHeight="1" x14ac:dyDescent="0.2">
      <c r="A7" s="366" t="s">
        <v>273</v>
      </c>
      <c r="B7" s="366"/>
      <c r="C7" s="366"/>
      <c r="D7" s="333" t="s">
        <v>756</v>
      </c>
      <c r="E7" s="360"/>
      <c r="F7" s="360"/>
      <c r="G7" s="360"/>
    </row>
    <row r="8" spans="1:7" x14ac:dyDescent="0.2">
      <c r="A8" s="369" t="s">
        <v>3</v>
      </c>
      <c r="B8" s="369"/>
      <c r="C8" s="369"/>
      <c r="D8" s="369" t="s">
        <v>645</v>
      </c>
      <c r="E8" s="369"/>
      <c r="F8" s="369"/>
      <c r="G8" s="369"/>
    </row>
    <row r="9" spans="1:7" x14ac:dyDescent="0.2">
      <c r="A9" s="328" t="s">
        <v>646</v>
      </c>
      <c r="B9" s="370"/>
      <c r="C9" s="370"/>
      <c r="D9" s="338" t="s">
        <v>228</v>
      </c>
      <c r="E9" s="339"/>
      <c r="F9" s="339"/>
      <c r="G9" s="339"/>
    </row>
    <row r="10" spans="1:7" x14ac:dyDescent="0.2">
      <c r="A10" s="328" t="s">
        <v>647</v>
      </c>
      <c r="B10" s="328"/>
      <c r="C10" s="328"/>
      <c r="D10" s="338" t="s">
        <v>648</v>
      </c>
      <c r="E10" s="338"/>
      <c r="F10" s="338"/>
      <c r="G10" s="338"/>
    </row>
    <row r="11" spans="1:7" ht="0" hidden="1" customHeight="1" x14ac:dyDescent="0.2">
      <c r="A11" s="328" t="s">
        <v>649</v>
      </c>
      <c r="B11" s="370"/>
      <c r="C11" s="370"/>
      <c r="D11" s="330" t="s">
        <v>757</v>
      </c>
      <c r="E11" s="330"/>
      <c r="F11" s="330"/>
      <c r="G11" s="330"/>
    </row>
    <row r="12" spans="1:7" x14ac:dyDescent="0.2">
      <c r="A12" s="104"/>
      <c r="B12" s="104"/>
      <c r="D12" s="360"/>
      <c r="E12" s="360"/>
      <c r="F12" s="360"/>
      <c r="G12" s="360"/>
    </row>
    <row r="13" spans="1:7" ht="33" customHeight="1" x14ac:dyDescent="0.2">
      <c r="A13" s="328" t="s">
        <v>651</v>
      </c>
      <c r="B13" s="331"/>
      <c r="C13" s="331"/>
      <c r="D13" s="332" t="s">
        <v>758</v>
      </c>
      <c r="E13" s="332"/>
      <c r="F13" s="332"/>
      <c r="G13" s="332"/>
    </row>
    <row r="14" spans="1:7" ht="0" hidden="1" customHeight="1" x14ac:dyDescent="0.2">
      <c r="A14" s="111" t="s">
        <v>49</v>
      </c>
      <c r="B14" s="111" t="s">
        <v>278</v>
      </c>
      <c r="C14" s="111" t="s">
        <v>653</v>
      </c>
      <c r="D14" s="111" t="s">
        <v>654</v>
      </c>
      <c r="E14" s="111" t="s">
        <v>279</v>
      </c>
      <c r="F14" s="111" t="s">
        <v>46</v>
      </c>
      <c r="G14" s="112" t="s">
        <v>280</v>
      </c>
    </row>
    <row r="15" spans="1:7" x14ac:dyDescent="0.2">
      <c r="A15" s="113">
        <v>1</v>
      </c>
      <c r="B15" s="114">
        <v>2</v>
      </c>
      <c r="C15" s="114">
        <v>3</v>
      </c>
      <c r="D15" s="114">
        <v>4</v>
      </c>
      <c r="E15" s="114">
        <v>5</v>
      </c>
      <c r="F15" s="114">
        <v>6</v>
      </c>
      <c r="G15" s="114">
        <v>7</v>
      </c>
    </row>
    <row r="16" spans="1:7" ht="12.75" customHeight="1" x14ac:dyDescent="0.2">
      <c r="A16" s="115" t="s">
        <v>10</v>
      </c>
      <c r="B16" s="116" t="s">
        <v>78</v>
      </c>
      <c r="C16" s="116"/>
      <c r="D16" s="116"/>
      <c r="E16" s="116" t="s">
        <v>281</v>
      </c>
      <c r="F16" s="116"/>
      <c r="G16" s="117"/>
    </row>
    <row r="17" spans="1:7" ht="63.75" hidden="1" x14ac:dyDescent="0.2">
      <c r="A17" s="120" t="s">
        <v>88</v>
      </c>
      <c r="B17" s="121" t="s">
        <v>886</v>
      </c>
      <c r="C17" s="122" t="s">
        <v>761</v>
      </c>
      <c r="D17" s="122">
        <v>0</v>
      </c>
      <c r="E17" s="122" t="s">
        <v>1369</v>
      </c>
      <c r="F17" s="122" t="s">
        <v>887</v>
      </c>
      <c r="G17" s="123">
        <f>ROUND(23.3  *D17*1.1,2)</f>
        <v>0</v>
      </c>
    </row>
    <row r="18" spans="1:7" x14ac:dyDescent="0.2">
      <c r="A18" s="124" t="s">
        <v>39</v>
      </c>
      <c r="B18" s="125" t="s">
        <v>45</v>
      </c>
      <c r="C18" s="125"/>
      <c r="D18" s="125"/>
      <c r="E18" s="125"/>
      <c r="F18" s="125"/>
      <c r="G18" s="126"/>
    </row>
    <row r="19" spans="1:7" ht="51" x14ac:dyDescent="0.2">
      <c r="A19" s="127" t="s">
        <v>39</v>
      </c>
      <c r="B19" s="128" t="s">
        <v>888</v>
      </c>
      <c r="C19" s="128"/>
      <c r="D19" s="128"/>
      <c r="E19" s="128" t="s">
        <v>889</v>
      </c>
      <c r="F19" s="128"/>
      <c r="G19" s="129"/>
    </row>
    <row r="20" spans="1:7" ht="114.75" hidden="1" x14ac:dyDescent="0.2">
      <c r="A20" s="120" t="s">
        <v>85</v>
      </c>
      <c r="B20" s="121" t="s">
        <v>890</v>
      </c>
      <c r="C20" s="122" t="s">
        <v>761</v>
      </c>
      <c r="D20" s="122">
        <f>D17</f>
        <v>0</v>
      </c>
      <c r="E20" s="122" t="s">
        <v>1370</v>
      </c>
      <c r="F20" s="122" t="s">
        <v>891</v>
      </c>
      <c r="G20" s="123">
        <f>ROUND(16.3  *D20*1.3,2)</f>
        <v>116.55</v>
      </c>
    </row>
    <row r="21" spans="1:7" x14ac:dyDescent="0.2">
      <c r="A21" s="124" t="s">
        <v>39</v>
      </c>
      <c r="B21" s="125" t="s">
        <v>45</v>
      </c>
      <c r="C21" s="125"/>
      <c r="D21" s="125"/>
      <c r="E21" s="125"/>
      <c r="F21" s="125"/>
      <c r="G21" s="126"/>
    </row>
    <row r="22" spans="1:7" ht="38.25" hidden="1" x14ac:dyDescent="0.2">
      <c r="A22" s="127" t="s">
        <v>39</v>
      </c>
      <c r="B22" s="128" t="s">
        <v>892</v>
      </c>
      <c r="C22" s="128"/>
      <c r="D22" s="128"/>
      <c r="E22" s="128" t="s">
        <v>893</v>
      </c>
      <c r="F22" s="128"/>
      <c r="G22" s="129"/>
    </row>
    <row r="23" spans="1:7" ht="51" x14ac:dyDescent="0.2">
      <c r="A23" s="115" t="s">
        <v>83</v>
      </c>
      <c r="B23" s="116" t="s">
        <v>894</v>
      </c>
      <c r="C23" s="118" t="s">
        <v>811</v>
      </c>
      <c r="D23" s="118">
        <v>6</v>
      </c>
      <c r="E23" s="118" t="s">
        <v>1371</v>
      </c>
      <c r="F23" s="118" t="s">
        <v>895</v>
      </c>
      <c r="G23" s="119">
        <f>ROUND(6.9  * D23,2)</f>
        <v>0</v>
      </c>
    </row>
    <row r="24" spans="1:7" ht="18.600000000000001" customHeight="1" x14ac:dyDescent="0.2">
      <c r="A24" s="349" t="s">
        <v>81</v>
      </c>
      <c r="B24" s="351" t="s">
        <v>896</v>
      </c>
      <c r="C24" s="353" t="s">
        <v>811</v>
      </c>
      <c r="D24" s="353">
        <v>8</v>
      </c>
      <c r="E24" s="353" t="s">
        <v>1372</v>
      </c>
      <c r="F24" s="353" t="s">
        <v>897</v>
      </c>
      <c r="G24" s="347">
        <f>ROUND(37.7 * D24,2)</f>
        <v>301.60000000000002</v>
      </c>
    </row>
    <row r="25" spans="1:7" ht="39" customHeight="1" x14ac:dyDescent="0.2">
      <c r="A25" s="350"/>
      <c r="B25" s="352"/>
      <c r="C25" s="354"/>
      <c r="D25" s="354"/>
      <c r="E25" s="354"/>
      <c r="F25" s="354"/>
      <c r="G25" s="348"/>
    </row>
    <row r="26" spans="1:7" ht="51" x14ac:dyDescent="0.2">
      <c r="A26" s="120" t="s">
        <v>167</v>
      </c>
      <c r="B26" s="121" t="s">
        <v>395</v>
      </c>
      <c r="C26" s="122" t="s">
        <v>811</v>
      </c>
      <c r="D26" s="122">
        <v>8</v>
      </c>
      <c r="E26" s="122" t="s">
        <v>1373</v>
      </c>
      <c r="F26" s="122" t="s">
        <v>898</v>
      </c>
      <c r="G26" s="123">
        <f>ROUND(37.7 *D26 * 0.9,3)</f>
        <v>0</v>
      </c>
    </row>
    <row r="27" spans="1:7" ht="0" hidden="1" customHeight="1" x14ac:dyDescent="0.2">
      <c r="A27" s="124" t="s">
        <v>39</v>
      </c>
      <c r="B27" s="125" t="s">
        <v>45</v>
      </c>
      <c r="C27" s="125"/>
      <c r="D27" s="125"/>
      <c r="E27" s="125"/>
      <c r="F27" s="125"/>
      <c r="G27" s="126"/>
    </row>
    <row r="28" spans="1:7" ht="0" hidden="1" customHeight="1" x14ac:dyDescent="0.2">
      <c r="A28" s="130" t="s">
        <v>39</v>
      </c>
      <c r="B28" s="131" t="s">
        <v>899</v>
      </c>
      <c r="C28" s="131"/>
      <c r="D28" s="131"/>
      <c r="E28" s="131" t="s">
        <v>900</v>
      </c>
      <c r="F28" s="131"/>
      <c r="G28" s="132"/>
    </row>
    <row r="29" spans="1:7" ht="38.25" hidden="1" x14ac:dyDescent="0.2">
      <c r="A29" s="120" t="s">
        <v>166</v>
      </c>
      <c r="B29" s="121" t="s">
        <v>901</v>
      </c>
      <c r="C29" s="122" t="s">
        <v>811</v>
      </c>
      <c r="D29" s="122">
        <v>4</v>
      </c>
      <c r="E29" s="122" t="s">
        <v>1374</v>
      </c>
      <c r="F29" s="122" t="s">
        <v>902</v>
      </c>
      <c r="G29" s="123">
        <f>ROUND(6.9 *D29 * 1.2,3)</f>
        <v>33.119999999999997</v>
      </c>
    </row>
    <row r="30" spans="1:7" ht="0" hidden="1" customHeight="1" x14ac:dyDescent="0.2">
      <c r="A30" s="124" t="s">
        <v>39</v>
      </c>
      <c r="B30" s="125" t="s">
        <v>45</v>
      </c>
      <c r="C30" s="125"/>
      <c r="D30" s="125"/>
      <c r="E30" s="125"/>
      <c r="F30" s="125"/>
      <c r="G30" s="126"/>
    </row>
    <row r="31" spans="1:7" ht="51" hidden="1" x14ac:dyDescent="0.2">
      <c r="A31" s="130" t="s">
        <v>39</v>
      </c>
      <c r="B31" s="131" t="s">
        <v>903</v>
      </c>
      <c r="C31" s="131"/>
      <c r="D31" s="131"/>
      <c r="E31" s="131" t="s">
        <v>904</v>
      </c>
      <c r="F31" s="131"/>
      <c r="G31" s="132"/>
    </row>
    <row r="32" spans="1:7" ht="0" hidden="1" customHeight="1" x14ac:dyDescent="0.2">
      <c r="A32" s="349" t="s">
        <v>337</v>
      </c>
      <c r="B32" s="351" t="s">
        <v>905</v>
      </c>
      <c r="C32" s="353" t="s">
        <v>811</v>
      </c>
      <c r="D32" s="353">
        <v>1</v>
      </c>
      <c r="E32" s="353" t="s">
        <v>1375</v>
      </c>
      <c r="F32" s="353" t="s">
        <v>906</v>
      </c>
      <c r="G32" s="347">
        <f>ROUND(7.6 * D32*0.5,2)</f>
        <v>3.8</v>
      </c>
    </row>
    <row r="33" spans="1:7" ht="12.75" customHeight="1" x14ac:dyDescent="0.2">
      <c r="A33" s="376"/>
      <c r="B33" s="377"/>
      <c r="C33" s="378"/>
      <c r="D33" s="378"/>
      <c r="E33" s="378"/>
      <c r="F33" s="378"/>
      <c r="G33" s="379"/>
    </row>
    <row r="34" spans="1:7" ht="0" hidden="1" customHeight="1" x14ac:dyDescent="0.2">
      <c r="A34" s="124" t="s">
        <v>39</v>
      </c>
      <c r="B34" s="125" t="s">
        <v>45</v>
      </c>
      <c r="C34" s="125"/>
      <c r="D34" s="125"/>
      <c r="E34" s="125"/>
      <c r="F34" s="125"/>
      <c r="G34" s="126"/>
    </row>
    <row r="35" spans="1:7" ht="51" hidden="1" x14ac:dyDescent="0.2">
      <c r="A35" s="130" t="s">
        <v>39</v>
      </c>
      <c r="B35" s="131" t="s">
        <v>907</v>
      </c>
      <c r="C35" s="131"/>
      <c r="D35" s="131"/>
      <c r="E35" s="155" t="s">
        <v>908</v>
      </c>
      <c r="F35" s="131"/>
      <c r="G35" s="132"/>
    </row>
    <row r="36" spans="1:7" ht="38.25" hidden="1" x14ac:dyDescent="0.2">
      <c r="A36" s="115" t="s">
        <v>341</v>
      </c>
      <c r="B36" s="116" t="s">
        <v>449</v>
      </c>
      <c r="C36" s="118" t="s">
        <v>909</v>
      </c>
      <c r="D36" s="118">
        <f>7.96*10</f>
        <v>79.599999999999994</v>
      </c>
      <c r="E36" s="118" t="s">
        <v>1376</v>
      </c>
      <c r="F36" s="118" t="s">
        <v>1377</v>
      </c>
      <c r="G36" s="119">
        <f>ROUND(49.2 * D36,2)</f>
        <v>3916.32</v>
      </c>
    </row>
    <row r="37" spans="1:7" x14ac:dyDescent="0.2">
      <c r="A37" s="130" t="s">
        <v>342</v>
      </c>
      <c r="B37" s="150" t="s">
        <v>285</v>
      </c>
      <c r="C37" s="150"/>
      <c r="D37" s="150"/>
      <c r="E37" s="150"/>
      <c r="F37" s="150"/>
      <c r="G37" s="151">
        <f>ROUND((SUM($G$17:$G$36)),3)</f>
        <v>0</v>
      </c>
    </row>
    <row r="38" spans="1:7" ht="76.5" hidden="1" x14ac:dyDescent="0.2">
      <c r="A38" s="156" t="s">
        <v>790</v>
      </c>
      <c r="B38" s="131" t="s">
        <v>736</v>
      </c>
      <c r="C38" s="131"/>
      <c r="D38" s="131"/>
      <c r="E38" s="131" t="s">
        <v>1378</v>
      </c>
      <c r="F38" s="131">
        <v>0.85</v>
      </c>
      <c r="G38" s="132">
        <f>G37*F38</f>
        <v>0</v>
      </c>
    </row>
    <row r="39" spans="1:7" x14ac:dyDescent="0.2">
      <c r="A39" s="115" t="s">
        <v>791</v>
      </c>
      <c r="B39" s="116" t="s">
        <v>286</v>
      </c>
      <c r="C39" s="116"/>
      <c r="D39" s="116"/>
      <c r="E39" s="116"/>
      <c r="F39" s="116"/>
      <c r="G39" s="117">
        <f>G38</f>
        <v>0</v>
      </c>
    </row>
    <row r="40" spans="1:7" ht="12.75" customHeight="1" x14ac:dyDescent="0.2">
      <c r="A40" s="115" t="s">
        <v>11</v>
      </c>
      <c r="B40" s="116" t="s">
        <v>78</v>
      </c>
      <c r="C40" s="116"/>
      <c r="D40" s="116"/>
      <c r="E40" s="116" t="s">
        <v>287</v>
      </c>
      <c r="F40" s="116"/>
      <c r="G40" s="117"/>
    </row>
    <row r="41" spans="1:7" ht="51" x14ac:dyDescent="0.2">
      <c r="A41" s="115" t="s">
        <v>76</v>
      </c>
      <c r="B41" s="116" t="s">
        <v>910</v>
      </c>
      <c r="C41" s="118" t="s">
        <v>795</v>
      </c>
      <c r="D41" s="118">
        <v>6</v>
      </c>
      <c r="E41" s="118" t="s">
        <v>911</v>
      </c>
      <c r="F41" s="118" t="s">
        <v>912</v>
      </c>
      <c r="G41" s="119">
        <f>52.3*D41</f>
        <v>313.79999999999995</v>
      </c>
    </row>
    <row r="42" spans="1:7" ht="38.25" hidden="1" x14ac:dyDescent="0.2">
      <c r="A42" s="115" t="s">
        <v>75</v>
      </c>
      <c r="B42" s="116" t="s">
        <v>913</v>
      </c>
      <c r="C42" s="118" t="s">
        <v>795</v>
      </c>
      <c r="D42" s="118">
        <v>6</v>
      </c>
      <c r="E42" s="118" t="s">
        <v>914</v>
      </c>
      <c r="F42" s="118" t="s">
        <v>915</v>
      </c>
      <c r="G42" s="119">
        <f>8.5*D42</f>
        <v>51</v>
      </c>
    </row>
    <row r="43" spans="1:7" ht="38.25" hidden="1" x14ac:dyDescent="0.2">
      <c r="A43" s="115" t="s">
        <v>73</v>
      </c>
      <c r="B43" s="116" t="s">
        <v>916</v>
      </c>
      <c r="C43" s="118" t="s">
        <v>795</v>
      </c>
      <c r="D43" s="118">
        <v>6</v>
      </c>
      <c r="E43" s="118" t="s">
        <v>917</v>
      </c>
      <c r="F43" s="118" t="s">
        <v>918</v>
      </c>
      <c r="G43" s="119">
        <f>3.8*D43</f>
        <v>22.799999999999997</v>
      </c>
    </row>
    <row r="44" spans="1:7" ht="51" hidden="1" x14ac:dyDescent="0.2">
      <c r="A44" s="115" t="s">
        <v>353</v>
      </c>
      <c r="B44" s="116" t="s">
        <v>919</v>
      </c>
      <c r="C44" s="118" t="s">
        <v>795</v>
      </c>
      <c r="D44" s="118">
        <v>6</v>
      </c>
      <c r="E44" s="118" t="s">
        <v>920</v>
      </c>
      <c r="F44" s="118" t="s">
        <v>921</v>
      </c>
      <c r="G44" s="119">
        <f>2*D44</f>
        <v>12</v>
      </c>
    </row>
    <row r="45" spans="1:7" ht="0" hidden="1" customHeight="1" x14ac:dyDescent="0.2">
      <c r="A45" s="115" t="s">
        <v>357</v>
      </c>
      <c r="B45" s="116" t="s">
        <v>922</v>
      </c>
      <c r="C45" s="118" t="s">
        <v>795</v>
      </c>
      <c r="D45" s="118">
        <v>6</v>
      </c>
      <c r="E45" s="118" t="s">
        <v>923</v>
      </c>
      <c r="F45" s="118" t="s">
        <v>924</v>
      </c>
      <c r="G45" s="119">
        <f>7.8*6*6</f>
        <v>280.79999999999995</v>
      </c>
    </row>
    <row r="46" spans="1:7" ht="0" hidden="1" customHeight="1" x14ac:dyDescent="0.2">
      <c r="A46" s="115" t="s">
        <v>361</v>
      </c>
      <c r="B46" s="116" t="s">
        <v>925</v>
      </c>
      <c r="C46" s="118" t="s">
        <v>795</v>
      </c>
      <c r="D46" s="118">
        <v>6</v>
      </c>
      <c r="E46" s="118" t="s">
        <v>926</v>
      </c>
      <c r="F46" s="118" t="s">
        <v>927</v>
      </c>
      <c r="G46" s="119">
        <f>23*D46</f>
        <v>138</v>
      </c>
    </row>
    <row r="47" spans="1:7" ht="49.15" customHeight="1" x14ac:dyDescent="0.2">
      <c r="A47" s="115" t="s">
        <v>365</v>
      </c>
      <c r="B47" s="116" t="s">
        <v>928</v>
      </c>
      <c r="C47" s="118" t="s">
        <v>795</v>
      </c>
      <c r="D47" s="118">
        <v>6</v>
      </c>
      <c r="E47" s="118" t="s">
        <v>929</v>
      </c>
      <c r="F47" s="118" t="s">
        <v>930</v>
      </c>
      <c r="G47" s="119">
        <f>95.8*D47</f>
        <v>574.79999999999995</v>
      </c>
    </row>
    <row r="48" spans="1:7" ht="51" hidden="1" x14ac:dyDescent="0.2">
      <c r="A48" s="115" t="s">
        <v>366</v>
      </c>
      <c r="B48" s="116" t="s">
        <v>931</v>
      </c>
      <c r="C48" s="118" t="s">
        <v>795</v>
      </c>
      <c r="D48" s="118">
        <v>6</v>
      </c>
      <c r="E48" s="118" t="s">
        <v>932</v>
      </c>
      <c r="F48" s="118" t="s">
        <v>933</v>
      </c>
      <c r="G48" s="119">
        <f>19.7*D48</f>
        <v>118.19999999999999</v>
      </c>
    </row>
    <row r="49" spans="1:7" ht="0" hidden="1" customHeight="1" x14ac:dyDescent="0.2">
      <c r="A49" s="115" t="s">
        <v>445</v>
      </c>
      <c r="B49" s="116" t="s">
        <v>934</v>
      </c>
      <c r="C49" s="118" t="s">
        <v>795</v>
      </c>
      <c r="D49" s="118">
        <v>6</v>
      </c>
      <c r="E49" s="118" t="s">
        <v>935</v>
      </c>
      <c r="F49" s="118" t="s">
        <v>936</v>
      </c>
      <c r="G49" s="119">
        <f>59*D49</f>
        <v>354</v>
      </c>
    </row>
    <row r="50" spans="1:7" x14ac:dyDescent="0.2">
      <c r="A50" s="371" t="s">
        <v>937</v>
      </c>
      <c r="B50" s="372"/>
      <c r="C50" s="372"/>
      <c r="D50" s="372"/>
      <c r="E50" s="372"/>
      <c r="F50" s="372"/>
      <c r="G50" s="373"/>
    </row>
    <row r="51" spans="1:7" ht="38.25" hidden="1" x14ac:dyDescent="0.2">
      <c r="A51" s="115" t="s">
        <v>817</v>
      </c>
      <c r="B51" s="116" t="s">
        <v>938</v>
      </c>
      <c r="C51" s="118" t="s">
        <v>795</v>
      </c>
      <c r="D51" s="118">
        <v>1</v>
      </c>
      <c r="E51" s="118" t="s">
        <v>939</v>
      </c>
      <c r="F51" s="118" t="s">
        <v>940</v>
      </c>
      <c r="G51" s="119">
        <f>12.2*D51</f>
        <v>4.2</v>
      </c>
    </row>
    <row r="52" spans="1:7" ht="38.25" hidden="1" x14ac:dyDescent="0.2">
      <c r="A52" s="115" t="s">
        <v>941</v>
      </c>
      <c r="B52" s="116" t="s">
        <v>942</v>
      </c>
      <c r="C52" s="118" t="s">
        <v>795</v>
      </c>
      <c r="D52" s="118">
        <v>1</v>
      </c>
      <c r="E52" s="118" t="s">
        <v>943</v>
      </c>
      <c r="F52" s="118" t="s">
        <v>944</v>
      </c>
      <c r="G52" s="119">
        <f>6.1*D52</f>
        <v>2.1</v>
      </c>
    </row>
    <row r="53" spans="1:7" ht="38.25" hidden="1" x14ac:dyDescent="0.2">
      <c r="A53" s="115" t="s">
        <v>945</v>
      </c>
      <c r="B53" s="116" t="s">
        <v>946</v>
      </c>
      <c r="C53" s="118" t="s">
        <v>795</v>
      </c>
      <c r="D53" s="118">
        <v>1</v>
      </c>
      <c r="E53" s="118" t="s">
        <v>947</v>
      </c>
      <c r="F53" s="118" t="s">
        <v>948</v>
      </c>
      <c r="G53" s="119">
        <f>8.1*D53</f>
        <v>0</v>
      </c>
    </row>
    <row r="54" spans="1:7" ht="38.25" hidden="1" x14ac:dyDescent="0.2">
      <c r="A54" s="115" t="s">
        <v>949</v>
      </c>
      <c r="B54" s="116" t="s">
        <v>950</v>
      </c>
      <c r="C54" s="118" t="s">
        <v>795</v>
      </c>
      <c r="D54" s="118">
        <v>1</v>
      </c>
      <c r="E54" s="118" t="s">
        <v>951</v>
      </c>
      <c r="F54" s="118" t="s">
        <v>952</v>
      </c>
      <c r="G54" s="119">
        <f>23.5*D54</f>
        <v>0</v>
      </c>
    </row>
    <row r="55" spans="1:7" ht="38.25" hidden="1" x14ac:dyDescent="0.2">
      <c r="A55" s="115" t="s">
        <v>953</v>
      </c>
      <c r="B55" s="116" t="s">
        <v>954</v>
      </c>
      <c r="C55" s="118" t="s">
        <v>795</v>
      </c>
      <c r="D55" s="118">
        <v>1</v>
      </c>
      <c r="E55" s="118" t="s">
        <v>955</v>
      </c>
      <c r="F55" s="118" t="s">
        <v>956</v>
      </c>
      <c r="G55" s="119">
        <f>21.5*D55</f>
        <v>0</v>
      </c>
    </row>
    <row r="56" spans="1:7" ht="38.25" hidden="1" x14ac:dyDescent="0.2">
      <c r="A56" s="115" t="s">
        <v>957</v>
      </c>
      <c r="B56" s="116" t="s">
        <v>958</v>
      </c>
      <c r="C56" s="118" t="s">
        <v>795</v>
      </c>
      <c r="D56" s="118">
        <v>1</v>
      </c>
      <c r="E56" s="118" t="s">
        <v>959</v>
      </c>
      <c r="F56" s="118" t="s">
        <v>960</v>
      </c>
      <c r="G56" s="119">
        <f>4.5*D56</f>
        <v>0</v>
      </c>
    </row>
    <row r="57" spans="1:7" ht="38.25" hidden="1" x14ac:dyDescent="0.2">
      <c r="A57" s="115" t="s">
        <v>961</v>
      </c>
      <c r="B57" s="116" t="s">
        <v>962</v>
      </c>
      <c r="C57" s="118" t="s">
        <v>795</v>
      </c>
      <c r="D57" s="118">
        <v>1</v>
      </c>
      <c r="E57" s="118" t="s">
        <v>963</v>
      </c>
      <c r="F57" s="118" t="s">
        <v>964</v>
      </c>
      <c r="G57" s="119">
        <f>59*D57</f>
        <v>59</v>
      </c>
    </row>
    <row r="58" spans="1:7" ht="38.25" hidden="1" x14ac:dyDescent="0.2">
      <c r="A58" s="115" t="s">
        <v>965</v>
      </c>
      <c r="B58" s="116" t="s">
        <v>966</v>
      </c>
      <c r="C58" s="118" t="s">
        <v>795</v>
      </c>
      <c r="D58" s="118">
        <v>1</v>
      </c>
      <c r="E58" s="118" t="s">
        <v>967</v>
      </c>
      <c r="F58" s="118" t="s">
        <v>968</v>
      </c>
      <c r="G58" s="119">
        <f>9.6*D58</f>
        <v>0</v>
      </c>
    </row>
    <row r="59" spans="1:7" ht="38.25" hidden="1" x14ac:dyDescent="0.2">
      <c r="A59" s="115" t="s">
        <v>969</v>
      </c>
      <c r="B59" s="116" t="s">
        <v>970</v>
      </c>
      <c r="C59" s="118" t="s">
        <v>795</v>
      </c>
      <c r="D59" s="118">
        <v>1</v>
      </c>
      <c r="E59" s="118" t="s">
        <v>971</v>
      </c>
      <c r="F59" s="118" t="s">
        <v>972</v>
      </c>
      <c r="G59" s="119">
        <f>8.8*D59</f>
        <v>8.8000000000000007</v>
      </c>
    </row>
    <row r="60" spans="1:7" ht="38.25" hidden="1" x14ac:dyDescent="0.2">
      <c r="A60" s="115" t="s">
        <v>973</v>
      </c>
      <c r="B60" s="116" t="s">
        <v>974</v>
      </c>
      <c r="C60" s="118" t="s">
        <v>795</v>
      </c>
      <c r="D60" s="118">
        <v>1</v>
      </c>
      <c r="E60" s="118" t="s">
        <v>975</v>
      </c>
      <c r="F60" s="118" t="s">
        <v>976</v>
      </c>
      <c r="G60" s="119">
        <f>3.1*D60</f>
        <v>1.1000000000000001</v>
      </c>
    </row>
    <row r="61" spans="1:7" ht="38.25" hidden="1" x14ac:dyDescent="0.2">
      <c r="A61" s="115" t="s">
        <v>977</v>
      </c>
      <c r="B61" s="116" t="s">
        <v>978</v>
      </c>
      <c r="C61" s="118" t="s">
        <v>795</v>
      </c>
      <c r="D61" s="118">
        <v>1</v>
      </c>
      <c r="E61" s="118" t="s">
        <v>979</v>
      </c>
      <c r="F61" s="118" t="s">
        <v>980</v>
      </c>
      <c r="G61" s="119">
        <f>2.7*D61</f>
        <v>0</v>
      </c>
    </row>
    <row r="62" spans="1:7" ht="51" x14ac:dyDescent="0.2">
      <c r="A62" s="115" t="s">
        <v>981</v>
      </c>
      <c r="B62" s="116" t="s">
        <v>982</v>
      </c>
      <c r="C62" s="118" t="s">
        <v>795</v>
      </c>
      <c r="D62" s="118">
        <v>1</v>
      </c>
      <c r="E62" s="118" t="s">
        <v>983</v>
      </c>
      <c r="F62" s="118" t="s">
        <v>984</v>
      </c>
      <c r="G62" s="119">
        <f>14*D62</f>
        <v>14</v>
      </c>
    </row>
    <row r="63" spans="1:7" ht="38.25" hidden="1" x14ac:dyDescent="0.2">
      <c r="A63" s="115" t="s">
        <v>985</v>
      </c>
      <c r="B63" s="116" t="s">
        <v>986</v>
      </c>
      <c r="C63" s="118" t="s">
        <v>795</v>
      </c>
      <c r="D63" s="118">
        <v>1</v>
      </c>
      <c r="E63" s="118" t="s">
        <v>987</v>
      </c>
      <c r="F63" s="118" t="s">
        <v>988</v>
      </c>
      <c r="G63" s="119">
        <f>2.3*D63</f>
        <v>2.2999999999999998</v>
      </c>
    </row>
    <row r="64" spans="1:7" ht="38.25" hidden="1" x14ac:dyDescent="0.2">
      <c r="A64" s="115" t="s">
        <v>989</v>
      </c>
      <c r="B64" s="116" t="s">
        <v>990</v>
      </c>
      <c r="C64" s="118" t="s">
        <v>795</v>
      </c>
      <c r="D64" s="118">
        <v>1</v>
      </c>
      <c r="E64" s="118" t="s">
        <v>991</v>
      </c>
      <c r="F64" s="118" t="s">
        <v>992</v>
      </c>
      <c r="G64" s="119">
        <f>8.7*D64</f>
        <v>8.6999999999999993</v>
      </c>
    </row>
    <row r="65" spans="1:7" ht="38.25" hidden="1" x14ac:dyDescent="0.2">
      <c r="A65" s="115" t="s">
        <v>993</v>
      </c>
      <c r="B65" s="116" t="s">
        <v>994</v>
      </c>
      <c r="C65" s="118" t="s">
        <v>795</v>
      </c>
      <c r="D65" s="118">
        <v>1</v>
      </c>
      <c r="E65" s="118" t="s">
        <v>995</v>
      </c>
      <c r="F65" s="118" t="s">
        <v>996</v>
      </c>
      <c r="G65" s="119">
        <f>2.6*D65</f>
        <v>0</v>
      </c>
    </row>
    <row r="66" spans="1:7" ht="51" x14ac:dyDescent="0.2">
      <c r="A66" s="115" t="s">
        <v>997</v>
      </c>
      <c r="B66" s="116" t="s">
        <v>998</v>
      </c>
      <c r="C66" s="118" t="s">
        <v>795</v>
      </c>
      <c r="D66" s="118">
        <v>1</v>
      </c>
      <c r="E66" s="118" t="s">
        <v>999</v>
      </c>
      <c r="F66" s="118" t="s">
        <v>1000</v>
      </c>
      <c r="G66" s="119">
        <f>14.7*D66</f>
        <v>14.7</v>
      </c>
    </row>
    <row r="67" spans="1:7" ht="38.25" hidden="1" x14ac:dyDescent="0.2">
      <c r="A67" s="115" t="s">
        <v>1001</v>
      </c>
      <c r="B67" s="116" t="s">
        <v>1002</v>
      </c>
      <c r="C67" s="118" t="s">
        <v>795</v>
      </c>
      <c r="D67" s="118">
        <v>1</v>
      </c>
      <c r="E67" s="118" t="s">
        <v>1003</v>
      </c>
      <c r="F67" s="118" t="s">
        <v>1004</v>
      </c>
      <c r="G67" s="119">
        <f>2.9*D67</f>
        <v>0</v>
      </c>
    </row>
    <row r="68" spans="1:7" ht="38.25" hidden="1" x14ac:dyDescent="0.2">
      <c r="A68" s="115" t="s">
        <v>1005</v>
      </c>
      <c r="B68" s="116" t="s">
        <v>1006</v>
      </c>
      <c r="C68" s="118" t="s">
        <v>795</v>
      </c>
      <c r="D68" s="118">
        <v>1</v>
      </c>
      <c r="E68" s="118" t="s">
        <v>1007</v>
      </c>
      <c r="F68" s="118" t="s">
        <v>1008</v>
      </c>
      <c r="G68" s="119">
        <f>11.3*D68</f>
        <v>0</v>
      </c>
    </row>
    <row r="69" spans="1:7" ht="38.25" hidden="1" x14ac:dyDescent="0.2">
      <c r="A69" s="115" t="s">
        <v>1009</v>
      </c>
      <c r="B69" s="116" t="s">
        <v>1010</v>
      </c>
      <c r="C69" s="118" t="s">
        <v>795</v>
      </c>
      <c r="D69" s="118">
        <v>1</v>
      </c>
      <c r="E69" s="118" t="s">
        <v>1011</v>
      </c>
      <c r="F69" s="118" t="s">
        <v>1012</v>
      </c>
      <c r="G69" s="119">
        <f>7.4*D69</f>
        <v>7.4</v>
      </c>
    </row>
    <row r="70" spans="1:7" ht="38.25" hidden="1" x14ac:dyDescent="0.2">
      <c r="A70" s="115" t="s">
        <v>1013</v>
      </c>
      <c r="B70" s="116" t="s">
        <v>1014</v>
      </c>
      <c r="C70" s="118" t="s">
        <v>795</v>
      </c>
      <c r="D70" s="118">
        <v>1</v>
      </c>
      <c r="E70" s="118" t="s">
        <v>1015</v>
      </c>
      <c r="F70" s="118" t="s">
        <v>1016</v>
      </c>
      <c r="G70" s="119">
        <f>8.3*D70</f>
        <v>8.3000000000000007</v>
      </c>
    </row>
    <row r="71" spans="1:7" ht="63.75" hidden="1" x14ac:dyDescent="0.2">
      <c r="A71" s="115" t="s">
        <v>1017</v>
      </c>
      <c r="B71" s="116" t="s">
        <v>1018</v>
      </c>
      <c r="C71" s="118" t="s">
        <v>795</v>
      </c>
      <c r="D71" s="118">
        <v>1</v>
      </c>
      <c r="E71" s="118" t="s">
        <v>1019</v>
      </c>
      <c r="F71" s="118" t="s">
        <v>1020</v>
      </c>
      <c r="G71" s="119">
        <f>10.3*D71</f>
        <v>0</v>
      </c>
    </row>
    <row r="72" spans="1:7" ht="38.25" hidden="1" x14ac:dyDescent="0.2">
      <c r="A72" s="115" t="s">
        <v>1021</v>
      </c>
      <c r="B72" s="116" t="s">
        <v>1022</v>
      </c>
      <c r="C72" s="118" t="s">
        <v>795</v>
      </c>
      <c r="D72" s="118">
        <v>1</v>
      </c>
      <c r="E72" s="118" t="s">
        <v>1023</v>
      </c>
      <c r="F72" s="118" t="s">
        <v>972</v>
      </c>
      <c r="G72" s="119">
        <f>8.8*D72</f>
        <v>8.8000000000000007</v>
      </c>
    </row>
    <row r="73" spans="1:7" ht="38.25" hidden="1" x14ac:dyDescent="0.2">
      <c r="A73" s="115" t="s">
        <v>1024</v>
      </c>
      <c r="B73" s="116" t="s">
        <v>1025</v>
      </c>
      <c r="C73" s="118" t="s">
        <v>795</v>
      </c>
      <c r="D73" s="118">
        <v>1</v>
      </c>
      <c r="E73" s="118" t="s">
        <v>1026</v>
      </c>
      <c r="F73" s="118" t="s">
        <v>1027</v>
      </c>
      <c r="G73" s="119">
        <f>5.6*D73</f>
        <v>0</v>
      </c>
    </row>
    <row r="74" spans="1:7" ht="38.25" hidden="1" x14ac:dyDescent="0.2">
      <c r="A74" s="115" t="s">
        <v>1028</v>
      </c>
      <c r="B74" s="116" t="s">
        <v>1029</v>
      </c>
      <c r="C74" s="118" t="s">
        <v>795</v>
      </c>
      <c r="D74" s="118">
        <v>1</v>
      </c>
      <c r="E74" s="118" t="s">
        <v>1030</v>
      </c>
      <c r="F74" s="118" t="s">
        <v>1031</v>
      </c>
      <c r="G74" s="119">
        <f>4.1*D74</f>
        <v>4.0999999999999996</v>
      </c>
    </row>
    <row r="75" spans="1:7" ht="38.25" hidden="1" x14ac:dyDescent="0.2">
      <c r="A75" s="115" t="s">
        <v>1032</v>
      </c>
      <c r="B75" s="116" t="s">
        <v>1033</v>
      </c>
      <c r="C75" s="118" t="s">
        <v>795</v>
      </c>
      <c r="D75" s="118">
        <v>1</v>
      </c>
      <c r="E75" s="118" t="s">
        <v>1034</v>
      </c>
      <c r="F75" s="118" t="s">
        <v>1035</v>
      </c>
      <c r="G75" s="119">
        <f>5.5*D75</f>
        <v>0</v>
      </c>
    </row>
    <row r="76" spans="1:7" ht="38.25" hidden="1" x14ac:dyDescent="0.2">
      <c r="A76" s="130" t="s">
        <v>1036</v>
      </c>
      <c r="B76" s="150" t="s">
        <v>1037</v>
      </c>
      <c r="C76" s="118" t="s">
        <v>795</v>
      </c>
      <c r="D76" s="118">
        <v>4</v>
      </c>
      <c r="E76" s="131" t="s">
        <v>1038</v>
      </c>
      <c r="F76" s="131" t="s">
        <v>1039</v>
      </c>
      <c r="G76" s="119">
        <f>148*D76</f>
        <v>592</v>
      </c>
    </row>
    <row r="77" spans="1:7" ht="9.6" customHeight="1" x14ac:dyDescent="0.2">
      <c r="A77" s="130" t="s">
        <v>1040</v>
      </c>
      <c r="B77" s="150" t="s">
        <v>288</v>
      </c>
      <c r="C77" s="150"/>
      <c r="D77" s="150"/>
      <c r="E77" s="150"/>
      <c r="F77" s="150" t="s">
        <v>1041</v>
      </c>
      <c r="G77" s="151">
        <f>ROUND((SUM($G$41:$G$76)),2)</f>
        <v>2723</v>
      </c>
    </row>
    <row r="78" spans="1:7" ht="9.6" customHeight="1" x14ac:dyDescent="0.2">
      <c r="A78" s="115" t="s">
        <v>1042</v>
      </c>
      <c r="B78" s="116" t="s">
        <v>289</v>
      </c>
      <c r="C78" s="116"/>
      <c r="D78" s="116"/>
      <c r="E78" s="116"/>
      <c r="F78" s="116"/>
      <c r="G78" s="117">
        <f>G77</f>
        <v>2723</v>
      </c>
    </row>
    <row r="79" spans="1:7" ht="12.75" customHeight="1" x14ac:dyDescent="0.2">
      <c r="A79" s="115" t="s">
        <v>13</v>
      </c>
      <c r="B79" s="116" t="s">
        <v>78</v>
      </c>
      <c r="C79" s="116"/>
      <c r="D79" s="116"/>
      <c r="E79" s="116" t="s">
        <v>291</v>
      </c>
      <c r="F79" s="116"/>
      <c r="G79" s="117"/>
    </row>
    <row r="80" spans="1:7" ht="76.5" hidden="1" x14ac:dyDescent="0.2">
      <c r="A80" s="120" t="s">
        <v>292</v>
      </c>
      <c r="B80" s="121" t="s">
        <v>1043</v>
      </c>
      <c r="C80" s="122" t="s">
        <v>819</v>
      </c>
      <c r="D80" s="122">
        <v>1</v>
      </c>
      <c r="E80" s="122" t="s">
        <v>1379</v>
      </c>
      <c r="F80" s="122" t="s">
        <v>1044</v>
      </c>
      <c r="G80" s="123">
        <f>ROUND(200  * 1.25,2)</f>
        <v>250</v>
      </c>
    </row>
    <row r="81" spans="1:8" ht="0" hidden="1" customHeight="1" x14ac:dyDescent="0.2">
      <c r="A81" s="124" t="s">
        <v>39</v>
      </c>
      <c r="B81" s="125" t="s">
        <v>45</v>
      </c>
      <c r="C81" s="125"/>
      <c r="D81" s="125"/>
      <c r="E81" s="125"/>
      <c r="F81" s="125"/>
      <c r="G81" s="126"/>
    </row>
    <row r="82" spans="1:8" ht="63.75" x14ac:dyDescent="0.2">
      <c r="A82" s="130" t="s">
        <v>39</v>
      </c>
      <c r="B82" s="131" t="s">
        <v>821</v>
      </c>
      <c r="C82" s="131"/>
      <c r="D82" s="131"/>
      <c r="E82" s="155" t="s">
        <v>822</v>
      </c>
      <c r="F82" s="131"/>
      <c r="G82" s="132"/>
    </row>
    <row r="83" spans="1:8" ht="63.75" hidden="1" x14ac:dyDescent="0.2">
      <c r="A83" s="120" t="s">
        <v>293</v>
      </c>
      <c r="B83" s="121" t="s">
        <v>886</v>
      </c>
      <c r="C83" s="122" t="s">
        <v>761</v>
      </c>
      <c r="D83" s="122">
        <f>D17</f>
        <v>0</v>
      </c>
      <c r="E83" s="122" t="s">
        <v>1380</v>
      </c>
      <c r="F83" s="122" t="s">
        <v>1045</v>
      </c>
      <c r="G83" s="123">
        <f>ROUND(18.5  *D83*1.1,2)</f>
        <v>111.93</v>
      </c>
    </row>
    <row r="84" spans="1:8" x14ac:dyDescent="0.2">
      <c r="A84" s="124" t="s">
        <v>39</v>
      </c>
      <c r="B84" s="125" t="s">
        <v>45</v>
      </c>
      <c r="C84" s="125"/>
      <c r="D84" s="125"/>
      <c r="E84" s="125"/>
      <c r="F84" s="125"/>
      <c r="G84" s="126"/>
    </row>
    <row r="85" spans="1:8" ht="51" x14ac:dyDescent="0.2">
      <c r="A85" s="133" t="s">
        <v>39</v>
      </c>
      <c r="B85" s="135" t="s">
        <v>888</v>
      </c>
      <c r="C85" s="135"/>
      <c r="D85" s="135"/>
      <c r="E85" s="135" t="s">
        <v>889</v>
      </c>
      <c r="F85" s="135"/>
      <c r="G85" s="136"/>
    </row>
    <row r="86" spans="1:8" ht="114.75" hidden="1" x14ac:dyDescent="0.2">
      <c r="A86" s="120" t="s">
        <v>294</v>
      </c>
      <c r="B86" s="121" t="s">
        <v>890</v>
      </c>
      <c r="C86" s="122" t="s">
        <v>761</v>
      </c>
      <c r="D86" s="122">
        <f>D83</f>
        <v>0</v>
      </c>
      <c r="E86" s="122" t="s">
        <v>1381</v>
      </c>
      <c r="F86" s="122" t="s">
        <v>1046</v>
      </c>
      <c r="G86" s="123">
        <f>ROUND(1.6  *D86*1.3,2)</f>
        <v>11.44</v>
      </c>
    </row>
    <row r="87" spans="1:8" x14ac:dyDescent="0.2">
      <c r="A87" s="124" t="s">
        <v>39</v>
      </c>
      <c r="B87" s="125" t="s">
        <v>45</v>
      </c>
      <c r="C87" s="125"/>
      <c r="D87" s="125"/>
      <c r="E87" s="125"/>
      <c r="F87" s="125"/>
      <c r="G87" s="126"/>
    </row>
    <row r="88" spans="1:8" ht="44.45" customHeight="1" x14ac:dyDescent="0.2">
      <c r="A88" s="127" t="s">
        <v>39</v>
      </c>
      <c r="B88" s="128" t="s">
        <v>892</v>
      </c>
      <c r="C88" s="128"/>
      <c r="D88" s="128"/>
      <c r="E88" s="128" t="s">
        <v>893</v>
      </c>
      <c r="F88" s="128"/>
      <c r="G88" s="129"/>
    </row>
    <row r="89" spans="1:8" ht="38.25" hidden="1" x14ac:dyDescent="0.2">
      <c r="A89" s="115" t="s">
        <v>296</v>
      </c>
      <c r="B89" s="116" t="s">
        <v>449</v>
      </c>
      <c r="C89" s="118" t="s">
        <v>909</v>
      </c>
      <c r="D89" s="118">
        <f>D36</f>
        <v>79.599999999999994</v>
      </c>
      <c r="E89" s="118" t="s">
        <v>1382</v>
      </c>
      <c r="F89" s="118" t="s">
        <v>1047</v>
      </c>
      <c r="G89" s="299">
        <f>ROUND(14.8 * D89,2)</f>
        <v>0</v>
      </c>
    </row>
    <row r="90" spans="1:8" ht="102" x14ac:dyDescent="0.2">
      <c r="A90" s="115" t="s">
        <v>383</v>
      </c>
      <c r="B90" s="116" t="s">
        <v>450</v>
      </c>
      <c r="C90" s="118" t="s">
        <v>830</v>
      </c>
      <c r="D90" s="118">
        <v>1</v>
      </c>
      <c r="E90" s="118" t="s">
        <v>1383</v>
      </c>
      <c r="F90" s="118" t="s">
        <v>1384</v>
      </c>
      <c r="G90" s="119">
        <f>G78*20%</f>
        <v>0</v>
      </c>
      <c r="H90" s="152">
        <f>G78</f>
        <v>2723</v>
      </c>
    </row>
    <row r="91" spans="1:8" ht="102" x14ac:dyDescent="0.2">
      <c r="A91" s="115" t="s">
        <v>384</v>
      </c>
      <c r="B91" s="116" t="s">
        <v>1390</v>
      </c>
      <c r="C91" s="118" t="s">
        <v>830</v>
      </c>
      <c r="D91" s="118">
        <v>1</v>
      </c>
      <c r="E91" s="118" t="s">
        <v>1391</v>
      </c>
      <c r="F91" s="118" t="s">
        <v>1392</v>
      </c>
      <c r="G91" s="299">
        <f>SUM(G83:G90)*21%</f>
        <v>387.67049999999995</v>
      </c>
      <c r="H91" s="152">
        <f>SUM(G83:G90)</f>
        <v>1846.0499999999997</v>
      </c>
    </row>
    <row r="92" spans="1:8" ht="38.25" hidden="1" x14ac:dyDescent="0.2">
      <c r="A92" s="115" t="s">
        <v>385</v>
      </c>
      <c r="B92" s="116" t="s">
        <v>1048</v>
      </c>
      <c r="C92" s="118" t="s">
        <v>1049</v>
      </c>
      <c r="D92" s="118">
        <v>12</v>
      </c>
      <c r="E92" s="118" t="s">
        <v>1050</v>
      </c>
      <c r="F92" s="118" t="s">
        <v>1385</v>
      </c>
      <c r="G92" s="119">
        <f>ROUND(50.7 * D92,2)</f>
        <v>0</v>
      </c>
    </row>
    <row r="93" spans="1:8" ht="9.6" customHeight="1" x14ac:dyDescent="0.2">
      <c r="A93" s="130" t="s">
        <v>386</v>
      </c>
      <c r="B93" s="150" t="s">
        <v>295</v>
      </c>
      <c r="C93" s="150"/>
      <c r="D93" s="150"/>
      <c r="E93" s="150"/>
      <c r="F93" s="150"/>
      <c r="G93" s="300">
        <f>ROUND((SUM($G$80:$G$92)),2)</f>
        <v>3092.12</v>
      </c>
    </row>
    <row r="94" spans="1:8" ht="9.6" customHeight="1" x14ac:dyDescent="0.2">
      <c r="A94" s="115" t="s">
        <v>841</v>
      </c>
      <c r="B94" s="116" t="s">
        <v>297</v>
      </c>
      <c r="C94" s="116"/>
      <c r="D94" s="116"/>
      <c r="E94" s="116"/>
      <c r="F94" s="116"/>
      <c r="G94" s="301">
        <f>ROUND(($G$93),3)</f>
        <v>3092.12</v>
      </c>
    </row>
    <row r="95" spans="1:8" ht="12.75" customHeight="1" x14ac:dyDescent="0.2">
      <c r="A95" s="115" t="s">
        <v>15</v>
      </c>
      <c r="B95" s="116" t="s">
        <v>78</v>
      </c>
      <c r="C95" s="116"/>
      <c r="D95" s="116"/>
      <c r="E95" s="116" t="s">
        <v>299</v>
      </c>
      <c r="F95" s="116"/>
      <c r="G95" s="117"/>
    </row>
    <row r="96" spans="1:8" ht="0" hidden="1" customHeight="1" x14ac:dyDescent="0.2">
      <c r="A96" s="115" t="s">
        <v>300</v>
      </c>
      <c r="B96" s="118" t="s">
        <v>1051</v>
      </c>
      <c r="C96" s="118"/>
      <c r="D96" s="118"/>
      <c r="E96" s="118" t="s">
        <v>1386</v>
      </c>
      <c r="F96" s="118" t="s">
        <v>1052</v>
      </c>
      <c r="G96" s="119">
        <f>ROUND(G39 * 13.75 / 100 * 1,2)</f>
        <v>563.95000000000005</v>
      </c>
      <c r="H96" s="152">
        <f>G39</f>
        <v>0</v>
      </c>
    </row>
    <row r="97" spans="1:11" ht="102" x14ac:dyDescent="0.2">
      <c r="A97" s="115" t="s">
        <v>303</v>
      </c>
      <c r="B97" s="118" t="s">
        <v>1053</v>
      </c>
      <c r="C97" s="118"/>
      <c r="D97" s="118"/>
      <c r="E97" s="118" t="s">
        <v>1387</v>
      </c>
      <c r="F97" s="118" t="s">
        <v>1054</v>
      </c>
      <c r="G97" s="119">
        <f>ROUND((G39+G96) * 2 * 1 * 6 / 100 * 1,2)</f>
        <v>0</v>
      </c>
      <c r="H97" s="152">
        <f>H96+G96</f>
        <v>0</v>
      </c>
    </row>
    <row r="98" spans="1:11" ht="12.75" customHeight="1" x14ac:dyDescent="0.2">
      <c r="A98" s="115" t="s">
        <v>305</v>
      </c>
      <c r="B98" s="116" t="s">
        <v>312</v>
      </c>
      <c r="C98" s="116"/>
      <c r="D98" s="116"/>
      <c r="E98" s="116"/>
      <c r="F98" s="116"/>
      <c r="G98" s="117">
        <f>ROUND((SUM($G$96:$G$97)),3)</f>
        <v>0</v>
      </c>
    </row>
    <row r="99" spans="1:11" ht="12.75" customHeight="1" x14ac:dyDescent="0.2">
      <c r="A99" s="115" t="s">
        <v>17</v>
      </c>
      <c r="B99" s="116" t="s">
        <v>43</v>
      </c>
      <c r="C99" s="116"/>
      <c r="D99" s="116"/>
      <c r="E99" s="116"/>
      <c r="F99" s="116"/>
      <c r="G99" s="301">
        <f>ROUND(($G$39 + $G$78 + $G$94 + $G$98),3)</f>
        <v>11040.33</v>
      </c>
    </row>
    <row r="100" spans="1:11" ht="51" customHeight="1" x14ac:dyDescent="0.2">
      <c r="A100" s="115" t="s">
        <v>19</v>
      </c>
      <c r="B100" s="116" t="s">
        <v>1068</v>
      </c>
      <c r="C100" s="118"/>
      <c r="D100" s="118"/>
      <c r="E100" s="116" t="s">
        <v>1064</v>
      </c>
      <c r="F100" s="116" t="s">
        <v>1069</v>
      </c>
      <c r="G100" s="301">
        <f>ROUND(($G$99) * 67.78 * 1,3)</f>
        <v>748313.56700000004</v>
      </c>
    </row>
    <row r="101" spans="1:11" s="306" customFormat="1" ht="89.25" hidden="1" x14ac:dyDescent="0.2">
      <c r="A101" s="303" t="s">
        <v>20</v>
      </c>
      <c r="B101" s="304" t="s">
        <v>1055</v>
      </c>
      <c r="C101" s="307" t="s">
        <v>1056</v>
      </c>
      <c r="D101" s="307">
        <v>5</v>
      </c>
      <c r="E101" s="304" t="s">
        <v>884</v>
      </c>
      <c r="F101" s="305" t="s">
        <v>1057</v>
      </c>
      <c r="G101" s="305">
        <f>4730*D101</f>
        <v>23650</v>
      </c>
    </row>
    <row r="102" spans="1:11" ht="0" hidden="1" customHeight="1" x14ac:dyDescent="0.2">
      <c r="A102" s="115" t="s">
        <v>22</v>
      </c>
      <c r="B102" s="118" t="s">
        <v>1058</v>
      </c>
      <c r="C102" s="118"/>
      <c r="D102" s="118"/>
      <c r="E102" s="118"/>
      <c r="F102" s="118" t="s">
        <v>448</v>
      </c>
      <c r="G102" s="119">
        <f>SUM(G101:G101)</f>
        <v>23650</v>
      </c>
    </row>
    <row r="103" spans="1:11" ht="0" hidden="1" customHeight="1" x14ac:dyDescent="0.2">
      <c r="A103" s="115" t="s">
        <v>24</v>
      </c>
      <c r="B103" s="116" t="s">
        <v>42</v>
      </c>
      <c r="C103" s="116"/>
      <c r="D103" s="116"/>
      <c r="E103" s="116"/>
      <c r="F103" s="116" t="s">
        <v>1059</v>
      </c>
      <c r="G103" s="301">
        <f>G100+G102</f>
        <v>771963.56700000004</v>
      </c>
      <c r="H103" s="152"/>
      <c r="I103" s="152"/>
    </row>
    <row r="104" spans="1:11" ht="12.75" customHeight="1" x14ac:dyDescent="0.2"/>
    <row r="107" spans="1:11" s="103" customFormat="1" ht="33" customHeight="1" x14ac:dyDescent="0.2">
      <c r="A107" s="366" t="s">
        <v>725</v>
      </c>
      <c r="B107" s="366"/>
      <c r="C107" s="374"/>
      <c r="D107" s="366"/>
      <c r="E107" s="366"/>
      <c r="F107" s="366"/>
      <c r="G107" s="366"/>
      <c r="K107" s="105"/>
    </row>
    <row r="108" spans="1:11" x14ac:dyDescent="0.2">
      <c r="A108" s="153"/>
      <c r="B108" s="153"/>
      <c r="C108" s="153"/>
      <c r="D108" s="153"/>
      <c r="E108" s="153"/>
      <c r="F108" s="153"/>
      <c r="G108" s="154"/>
      <c r="K108" s="103"/>
    </row>
    <row r="109" spans="1:11" x14ac:dyDescent="0.2">
      <c r="A109" s="153"/>
      <c r="B109" s="153"/>
      <c r="C109" s="153"/>
      <c r="D109" s="153"/>
      <c r="E109" s="153"/>
      <c r="F109" s="153"/>
      <c r="G109" s="154"/>
    </row>
    <row r="110" spans="1:11" x14ac:dyDescent="0.2">
      <c r="A110" s="153"/>
      <c r="B110" s="153"/>
      <c r="C110" s="153"/>
      <c r="D110" s="153"/>
      <c r="E110" s="153"/>
      <c r="F110" s="153"/>
      <c r="G110" s="154"/>
    </row>
    <row r="111" spans="1:11" s="157" customFormat="1" ht="12.75" customHeight="1" x14ac:dyDescent="0.2">
      <c r="A111" s="375"/>
      <c r="B111" s="375"/>
      <c r="C111" s="375"/>
      <c r="D111" s="375"/>
      <c r="E111" s="375"/>
      <c r="F111" s="375"/>
      <c r="G111" s="375"/>
      <c r="K111" s="105"/>
    </row>
    <row r="112" spans="1:11" x14ac:dyDescent="0.2">
      <c r="K112" s="157"/>
    </row>
  </sheetData>
  <mergeCells count="35">
    <mergeCell ref="A50:G50"/>
    <mergeCell ref="A107:B107"/>
    <mergeCell ref="C107:G107"/>
    <mergeCell ref="A111:G111"/>
    <mergeCell ref="F24:F25"/>
    <mergeCell ref="G24:G25"/>
    <mergeCell ref="A32:A33"/>
    <mergeCell ref="B32:B33"/>
    <mergeCell ref="C32:C33"/>
    <mergeCell ref="D32:D33"/>
    <mergeCell ref="E32:E33"/>
    <mergeCell ref="F32:F33"/>
    <mergeCell ref="G32:G33"/>
    <mergeCell ref="A24:A25"/>
    <mergeCell ref="B24:B25"/>
    <mergeCell ref="C24:C25"/>
    <mergeCell ref="D24:D25"/>
    <mergeCell ref="E24:E25"/>
    <mergeCell ref="A8:C8"/>
    <mergeCell ref="D8:G8"/>
    <mergeCell ref="A9:C9"/>
    <mergeCell ref="D9:G9"/>
    <mergeCell ref="A10:C10"/>
    <mergeCell ref="D10:G10"/>
    <mergeCell ref="A11:C11"/>
    <mergeCell ref="D11:G11"/>
    <mergeCell ref="D12:G12"/>
    <mergeCell ref="A13:C13"/>
    <mergeCell ref="D13:G13"/>
    <mergeCell ref="A1:B1"/>
    <mergeCell ref="C1:G1"/>
    <mergeCell ref="B4:F4"/>
    <mergeCell ref="B5:F5"/>
    <mergeCell ref="A7:C7"/>
    <mergeCell ref="D7:G7"/>
  </mergeCells>
  <pageMargins left="0" right="0" top="0.75" bottom="0.75" header="0" footer="0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5121-9412-46DA-ABB0-B5C4DED2BAF5}">
  <dimension ref="A1"/>
  <sheetViews>
    <sheetView workbookViewId="0">
      <selection activeCell="X16" sqref="X16"/>
    </sheetView>
  </sheetViews>
  <sheetFormatPr defaultRowHeight="12.75" x14ac:dyDescent="0.2"/>
  <cols>
    <col min="11" max="11" width="4" customWidth="1"/>
  </cols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0"/>
  <dimension ref="A1:H50"/>
  <sheetViews>
    <sheetView view="pageBreakPreview" zoomScale="60" zoomScaleNormal="100" workbookViewId="0">
      <selection activeCell="J45" sqref="J45"/>
    </sheetView>
  </sheetViews>
  <sheetFormatPr defaultColWidth="11.5703125" defaultRowHeight="12.75" x14ac:dyDescent="0.2"/>
  <cols>
    <col min="1" max="1" width="3.7109375" style="6" customWidth="1"/>
    <col min="2" max="2" width="26.7109375" style="6" customWidth="1"/>
    <col min="3" max="3" width="7.7109375" style="6" customWidth="1"/>
    <col min="4" max="4" width="8.42578125" style="6" customWidth="1"/>
    <col min="5" max="5" width="27.7109375" style="6" customWidth="1"/>
    <col min="6" max="6" width="14.42578125" style="6" customWidth="1"/>
    <col min="7" max="7" width="11.5703125" style="6"/>
    <col min="8" max="256" width="11.5703125" style="5"/>
    <col min="257" max="257" width="3.7109375" style="5" customWidth="1"/>
    <col min="258" max="258" width="26.7109375" style="5" customWidth="1"/>
    <col min="259" max="259" width="7.7109375" style="5" customWidth="1"/>
    <col min="260" max="260" width="5" style="5" customWidth="1"/>
    <col min="261" max="261" width="27.7109375" style="5" customWidth="1"/>
    <col min="262" max="262" width="14.42578125" style="5" customWidth="1"/>
    <col min="263" max="512" width="11.5703125" style="5"/>
    <col min="513" max="513" width="3.7109375" style="5" customWidth="1"/>
    <col min="514" max="514" width="26.7109375" style="5" customWidth="1"/>
    <col min="515" max="515" width="7.7109375" style="5" customWidth="1"/>
    <col min="516" max="516" width="5" style="5" customWidth="1"/>
    <col min="517" max="517" width="27.7109375" style="5" customWidth="1"/>
    <col min="518" max="518" width="14.42578125" style="5" customWidth="1"/>
    <col min="519" max="768" width="11.5703125" style="5"/>
    <col min="769" max="769" width="3.7109375" style="5" customWidth="1"/>
    <col min="770" max="770" width="26.7109375" style="5" customWidth="1"/>
    <col min="771" max="771" width="7.7109375" style="5" customWidth="1"/>
    <col min="772" max="772" width="5" style="5" customWidth="1"/>
    <col min="773" max="773" width="27.7109375" style="5" customWidth="1"/>
    <col min="774" max="774" width="14.42578125" style="5" customWidth="1"/>
    <col min="775" max="1024" width="11.5703125" style="5"/>
    <col min="1025" max="1025" width="3.7109375" style="5" customWidth="1"/>
    <col min="1026" max="1026" width="26.7109375" style="5" customWidth="1"/>
    <col min="1027" max="1027" width="7.7109375" style="5" customWidth="1"/>
    <col min="1028" max="1028" width="5" style="5" customWidth="1"/>
    <col min="1029" max="1029" width="27.7109375" style="5" customWidth="1"/>
    <col min="1030" max="1030" width="14.42578125" style="5" customWidth="1"/>
    <col min="1031" max="1280" width="11.5703125" style="5"/>
    <col min="1281" max="1281" width="3.7109375" style="5" customWidth="1"/>
    <col min="1282" max="1282" width="26.7109375" style="5" customWidth="1"/>
    <col min="1283" max="1283" width="7.7109375" style="5" customWidth="1"/>
    <col min="1284" max="1284" width="5" style="5" customWidth="1"/>
    <col min="1285" max="1285" width="27.7109375" style="5" customWidth="1"/>
    <col min="1286" max="1286" width="14.42578125" style="5" customWidth="1"/>
    <col min="1287" max="1536" width="11.5703125" style="5"/>
    <col min="1537" max="1537" width="3.7109375" style="5" customWidth="1"/>
    <col min="1538" max="1538" width="26.7109375" style="5" customWidth="1"/>
    <col min="1539" max="1539" width="7.7109375" style="5" customWidth="1"/>
    <col min="1540" max="1540" width="5" style="5" customWidth="1"/>
    <col min="1541" max="1541" width="27.7109375" style="5" customWidth="1"/>
    <col min="1542" max="1542" width="14.42578125" style="5" customWidth="1"/>
    <col min="1543" max="1792" width="11.5703125" style="5"/>
    <col min="1793" max="1793" width="3.7109375" style="5" customWidth="1"/>
    <col min="1794" max="1794" width="26.7109375" style="5" customWidth="1"/>
    <col min="1795" max="1795" width="7.7109375" style="5" customWidth="1"/>
    <col min="1796" max="1796" width="5" style="5" customWidth="1"/>
    <col min="1797" max="1797" width="27.7109375" style="5" customWidth="1"/>
    <col min="1798" max="1798" width="14.42578125" style="5" customWidth="1"/>
    <col min="1799" max="2048" width="11.5703125" style="5"/>
    <col min="2049" max="2049" width="3.7109375" style="5" customWidth="1"/>
    <col min="2050" max="2050" width="26.7109375" style="5" customWidth="1"/>
    <col min="2051" max="2051" width="7.7109375" style="5" customWidth="1"/>
    <col min="2052" max="2052" width="5" style="5" customWidth="1"/>
    <col min="2053" max="2053" width="27.7109375" style="5" customWidth="1"/>
    <col min="2054" max="2054" width="14.42578125" style="5" customWidth="1"/>
    <col min="2055" max="2304" width="11.5703125" style="5"/>
    <col min="2305" max="2305" width="3.7109375" style="5" customWidth="1"/>
    <col min="2306" max="2306" width="26.7109375" style="5" customWidth="1"/>
    <col min="2307" max="2307" width="7.7109375" style="5" customWidth="1"/>
    <col min="2308" max="2308" width="5" style="5" customWidth="1"/>
    <col min="2309" max="2309" width="27.7109375" style="5" customWidth="1"/>
    <col min="2310" max="2310" width="14.42578125" style="5" customWidth="1"/>
    <col min="2311" max="2560" width="11.5703125" style="5"/>
    <col min="2561" max="2561" width="3.7109375" style="5" customWidth="1"/>
    <col min="2562" max="2562" width="26.7109375" style="5" customWidth="1"/>
    <col min="2563" max="2563" width="7.7109375" style="5" customWidth="1"/>
    <col min="2564" max="2564" width="5" style="5" customWidth="1"/>
    <col min="2565" max="2565" width="27.7109375" style="5" customWidth="1"/>
    <col min="2566" max="2566" width="14.42578125" style="5" customWidth="1"/>
    <col min="2567" max="2816" width="11.5703125" style="5"/>
    <col min="2817" max="2817" width="3.7109375" style="5" customWidth="1"/>
    <col min="2818" max="2818" width="26.7109375" style="5" customWidth="1"/>
    <col min="2819" max="2819" width="7.7109375" style="5" customWidth="1"/>
    <col min="2820" max="2820" width="5" style="5" customWidth="1"/>
    <col min="2821" max="2821" width="27.7109375" style="5" customWidth="1"/>
    <col min="2822" max="2822" width="14.42578125" style="5" customWidth="1"/>
    <col min="2823" max="3072" width="11.5703125" style="5"/>
    <col min="3073" max="3073" width="3.7109375" style="5" customWidth="1"/>
    <col min="3074" max="3074" width="26.7109375" style="5" customWidth="1"/>
    <col min="3075" max="3075" width="7.7109375" style="5" customWidth="1"/>
    <col min="3076" max="3076" width="5" style="5" customWidth="1"/>
    <col min="3077" max="3077" width="27.7109375" style="5" customWidth="1"/>
    <col min="3078" max="3078" width="14.42578125" style="5" customWidth="1"/>
    <col min="3079" max="3328" width="11.5703125" style="5"/>
    <col min="3329" max="3329" width="3.7109375" style="5" customWidth="1"/>
    <col min="3330" max="3330" width="26.7109375" style="5" customWidth="1"/>
    <col min="3331" max="3331" width="7.7109375" style="5" customWidth="1"/>
    <col min="3332" max="3332" width="5" style="5" customWidth="1"/>
    <col min="3333" max="3333" width="27.7109375" style="5" customWidth="1"/>
    <col min="3334" max="3334" width="14.42578125" style="5" customWidth="1"/>
    <col min="3335" max="3584" width="11.5703125" style="5"/>
    <col min="3585" max="3585" width="3.7109375" style="5" customWidth="1"/>
    <col min="3586" max="3586" width="26.7109375" style="5" customWidth="1"/>
    <col min="3587" max="3587" width="7.7109375" style="5" customWidth="1"/>
    <col min="3588" max="3588" width="5" style="5" customWidth="1"/>
    <col min="3589" max="3589" width="27.7109375" style="5" customWidth="1"/>
    <col min="3590" max="3590" width="14.42578125" style="5" customWidth="1"/>
    <col min="3591" max="3840" width="11.5703125" style="5"/>
    <col min="3841" max="3841" width="3.7109375" style="5" customWidth="1"/>
    <col min="3842" max="3842" width="26.7109375" style="5" customWidth="1"/>
    <col min="3843" max="3843" width="7.7109375" style="5" customWidth="1"/>
    <col min="3844" max="3844" width="5" style="5" customWidth="1"/>
    <col min="3845" max="3845" width="27.7109375" style="5" customWidth="1"/>
    <col min="3846" max="3846" width="14.42578125" style="5" customWidth="1"/>
    <col min="3847" max="4096" width="11.5703125" style="5"/>
    <col min="4097" max="4097" width="3.7109375" style="5" customWidth="1"/>
    <col min="4098" max="4098" width="26.7109375" style="5" customWidth="1"/>
    <col min="4099" max="4099" width="7.7109375" style="5" customWidth="1"/>
    <col min="4100" max="4100" width="5" style="5" customWidth="1"/>
    <col min="4101" max="4101" width="27.7109375" style="5" customWidth="1"/>
    <col min="4102" max="4102" width="14.42578125" style="5" customWidth="1"/>
    <col min="4103" max="4352" width="11.5703125" style="5"/>
    <col min="4353" max="4353" width="3.7109375" style="5" customWidth="1"/>
    <col min="4354" max="4354" width="26.7109375" style="5" customWidth="1"/>
    <col min="4355" max="4355" width="7.7109375" style="5" customWidth="1"/>
    <col min="4356" max="4356" width="5" style="5" customWidth="1"/>
    <col min="4357" max="4357" width="27.7109375" style="5" customWidth="1"/>
    <col min="4358" max="4358" width="14.42578125" style="5" customWidth="1"/>
    <col min="4359" max="4608" width="11.5703125" style="5"/>
    <col min="4609" max="4609" width="3.7109375" style="5" customWidth="1"/>
    <col min="4610" max="4610" width="26.7109375" style="5" customWidth="1"/>
    <col min="4611" max="4611" width="7.7109375" style="5" customWidth="1"/>
    <col min="4612" max="4612" width="5" style="5" customWidth="1"/>
    <col min="4613" max="4613" width="27.7109375" style="5" customWidth="1"/>
    <col min="4614" max="4614" width="14.42578125" style="5" customWidth="1"/>
    <col min="4615" max="4864" width="11.5703125" style="5"/>
    <col min="4865" max="4865" width="3.7109375" style="5" customWidth="1"/>
    <col min="4866" max="4866" width="26.7109375" style="5" customWidth="1"/>
    <col min="4867" max="4867" width="7.7109375" style="5" customWidth="1"/>
    <col min="4868" max="4868" width="5" style="5" customWidth="1"/>
    <col min="4869" max="4869" width="27.7109375" style="5" customWidth="1"/>
    <col min="4870" max="4870" width="14.42578125" style="5" customWidth="1"/>
    <col min="4871" max="5120" width="11.5703125" style="5"/>
    <col min="5121" max="5121" width="3.7109375" style="5" customWidth="1"/>
    <col min="5122" max="5122" width="26.7109375" style="5" customWidth="1"/>
    <col min="5123" max="5123" width="7.7109375" style="5" customWidth="1"/>
    <col min="5124" max="5124" width="5" style="5" customWidth="1"/>
    <col min="5125" max="5125" width="27.7109375" style="5" customWidth="1"/>
    <col min="5126" max="5126" width="14.42578125" style="5" customWidth="1"/>
    <col min="5127" max="5376" width="11.5703125" style="5"/>
    <col min="5377" max="5377" width="3.7109375" style="5" customWidth="1"/>
    <col min="5378" max="5378" width="26.7109375" style="5" customWidth="1"/>
    <col min="5379" max="5379" width="7.7109375" style="5" customWidth="1"/>
    <col min="5380" max="5380" width="5" style="5" customWidth="1"/>
    <col min="5381" max="5381" width="27.7109375" style="5" customWidth="1"/>
    <col min="5382" max="5382" width="14.42578125" style="5" customWidth="1"/>
    <col min="5383" max="5632" width="11.5703125" style="5"/>
    <col min="5633" max="5633" width="3.7109375" style="5" customWidth="1"/>
    <col min="5634" max="5634" width="26.7109375" style="5" customWidth="1"/>
    <col min="5635" max="5635" width="7.7109375" style="5" customWidth="1"/>
    <col min="5636" max="5636" width="5" style="5" customWidth="1"/>
    <col min="5637" max="5637" width="27.7109375" style="5" customWidth="1"/>
    <col min="5638" max="5638" width="14.42578125" style="5" customWidth="1"/>
    <col min="5639" max="5888" width="11.5703125" style="5"/>
    <col min="5889" max="5889" width="3.7109375" style="5" customWidth="1"/>
    <col min="5890" max="5890" width="26.7109375" style="5" customWidth="1"/>
    <col min="5891" max="5891" width="7.7109375" style="5" customWidth="1"/>
    <col min="5892" max="5892" width="5" style="5" customWidth="1"/>
    <col min="5893" max="5893" width="27.7109375" style="5" customWidth="1"/>
    <col min="5894" max="5894" width="14.42578125" style="5" customWidth="1"/>
    <col min="5895" max="6144" width="11.5703125" style="5"/>
    <col min="6145" max="6145" width="3.7109375" style="5" customWidth="1"/>
    <col min="6146" max="6146" width="26.7109375" style="5" customWidth="1"/>
    <col min="6147" max="6147" width="7.7109375" style="5" customWidth="1"/>
    <col min="6148" max="6148" width="5" style="5" customWidth="1"/>
    <col min="6149" max="6149" width="27.7109375" style="5" customWidth="1"/>
    <col min="6150" max="6150" width="14.42578125" style="5" customWidth="1"/>
    <col min="6151" max="6400" width="11.5703125" style="5"/>
    <col min="6401" max="6401" width="3.7109375" style="5" customWidth="1"/>
    <col min="6402" max="6402" width="26.7109375" style="5" customWidth="1"/>
    <col min="6403" max="6403" width="7.7109375" style="5" customWidth="1"/>
    <col min="6404" max="6404" width="5" style="5" customWidth="1"/>
    <col min="6405" max="6405" width="27.7109375" style="5" customWidth="1"/>
    <col min="6406" max="6406" width="14.42578125" style="5" customWidth="1"/>
    <col min="6407" max="6656" width="11.5703125" style="5"/>
    <col min="6657" max="6657" width="3.7109375" style="5" customWidth="1"/>
    <col min="6658" max="6658" width="26.7109375" style="5" customWidth="1"/>
    <col min="6659" max="6659" width="7.7109375" style="5" customWidth="1"/>
    <col min="6660" max="6660" width="5" style="5" customWidth="1"/>
    <col min="6661" max="6661" width="27.7109375" style="5" customWidth="1"/>
    <col min="6662" max="6662" width="14.42578125" style="5" customWidth="1"/>
    <col min="6663" max="6912" width="11.5703125" style="5"/>
    <col min="6913" max="6913" width="3.7109375" style="5" customWidth="1"/>
    <col min="6914" max="6914" width="26.7109375" style="5" customWidth="1"/>
    <col min="6915" max="6915" width="7.7109375" style="5" customWidth="1"/>
    <col min="6916" max="6916" width="5" style="5" customWidth="1"/>
    <col min="6917" max="6917" width="27.7109375" style="5" customWidth="1"/>
    <col min="6918" max="6918" width="14.42578125" style="5" customWidth="1"/>
    <col min="6919" max="7168" width="11.5703125" style="5"/>
    <col min="7169" max="7169" width="3.7109375" style="5" customWidth="1"/>
    <col min="7170" max="7170" width="26.7109375" style="5" customWidth="1"/>
    <col min="7171" max="7171" width="7.7109375" style="5" customWidth="1"/>
    <col min="7172" max="7172" width="5" style="5" customWidth="1"/>
    <col min="7173" max="7173" width="27.7109375" style="5" customWidth="1"/>
    <col min="7174" max="7174" width="14.42578125" style="5" customWidth="1"/>
    <col min="7175" max="7424" width="11.5703125" style="5"/>
    <col min="7425" max="7425" width="3.7109375" style="5" customWidth="1"/>
    <col min="7426" max="7426" width="26.7109375" style="5" customWidth="1"/>
    <col min="7427" max="7427" width="7.7109375" style="5" customWidth="1"/>
    <col min="7428" max="7428" width="5" style="5" customWidth="1"/>
    <col min="7429" max="7429" width="27.7109375" style="5" customWidth="1"/>
    <col min="7430" max="7430" width="14.42578125" style="5" customWidth="1"/>
    <col min="7431" max="7680" width="11.5703125" style="5"/>
    <col min="7681" max="7681" width="3.7109375" style="5" customWidth="1"/>
    <col min="7682" max="7682" width="26.7109375" style="5" customWidth="1"/>
    <col min="7683" max="7683" width="7.7109375" style="5" customWidth="1"/>
    <col min="7684" max="7684" width="5" style="5" customWidth="1"/>
    <col min="7685" max="7685" width="27.7109375" style="5" customWidth="1"/>
    <col min="7686" max="7686" width="14.42578125" style="5" customWidth="1"/>
    <col min="7687" max="7936" width="11.5703125" style="5"/>
    <col min="7937" max="7937" width="3.7109375" style="5" customWidth="1"/>
    <col min="7938" max="7938" width="26.7109375" style="5" customWidth="1"/>
    <col min="7939" max="7939" width="7.7109375" style="5" customWidth="1"/>
    <col min="7940" max="7940" width="5" style="5" customWidth="1"/>
    <col min="7941" max="7941" width="27.7109375" style="5" customWidth="1"/>
    <col min="7942" max="7942" width="14.42578125" style="5" customWidth="1"/>
    <col min="7943" max="8192" width="11.5703125" style="5"/>
    <col min="8193" max="8193" width="3.7109375" style="5" customWidth="1"/>
    <col min="8194" max="8194" width="26.7109375" style="5" customWidth="1"/>
    <col min="8195" max="8195" width="7.7109375" style="5" customWidth="1"/>
    <col min="8196" max="8196" width="5" style="5" customWidth="1"/>
    <col min="8197" max="8197" width="27.7109375" style="5" customWidth="1"/>
    <col min="8198" max="8198" width="14.42578125" style="5" customWidth="1"/>
    <col min="8199" max="8448" width="11.5703125" style="5"/>
    <col min="8449" max="8449" width="3.7109375" style="5" customWidth="1"/>
    <col min="8450" max="8450" width="26.7109375" style="5" customWidth="1"/>
    <col min="8451" max="8451" width="7.7109375" style="5" customWidth="1"/>
    <col min="8452" max="8452" width="5" style="5" customWidth="1"/>
    <col min="8453" max="8453" width="27.7109375" style="5" customWidth="1"/>
    <col min="8454" max="8454" width="14.42578125" style="5" customWidth="1"/>
    <col min="8455" max="8704" width="11.5703125" style="5"/>
    <col min="8705" max="8705" width="3.7109375" style="5" customWidth="1"/>
    <col min="8706" max="8706" width="26.7109375" style="5" customWidth="1"/>
    <col min="8707" max="8707" width="7.7109375" style="5" customWidth="1"/>
    <col min="8708" max="8708" width="5" style="5" customWidth="1"/>
    <col min="8709" max="8709" width="27.7109375" style="5" customWidth="1"/>
    <col min="8710" max="8710" width="14.42578125" style="5" customWidth="1"/>
    <col min="8711" max="8960" width="11.5703125" style="5"/>
    <col min="8961" max="8961" width="3.7109375" style="5" customWidth="1"/>
    <col min="8962" max="8962" width="26.7109375" style="5" customWidth="1"/>
    <col min="8963" max="8963" width="7.7109375" style="5" customWidth="1"/>
    <col min="8964" max="8964" width="5" style="5" customWidth="1"/>
    <col min="8965" max="8965" width="27.7109375" style="5" customWidth="1"/>
    <col min="8966" max="8966" width="14.42578125" style="5" customWidth="1"/>
    <col min="8967" max="9216" width="11.5703125" style="5"/>
    <col min="9217" max="9217" width="3.7109375" style="5" customWidth="1"/>
    <col min="9218" max="9218" width="26.7109375" style="5" customWidth="1"/>
    <col min="9219" max="9219" width="7.7109375" style="5" customWidth="1"/>
    <col min="9220" max="9220" width="5" style="5" customWidth="1"/>
    <col min="9221" max="9221" width="27.7109375" style="5" customWidth="1"/>
    <col min="9222" max="9222" width="14.42578125" style="5" customWidth="1"/>
    <col min="9223" max="9472" width="11.5703125" style="5"/>
    <col min="9473" max="9473" width="3.7109375" style="5" customWidth="1"/>
    <col min="9474" max="9474" width="26.7109375" style="5" customWidth="1"/>
    <col min="9475" max="9475" width="7.7109375" style="5" customWidth="1"/>
    <col min="9476" max="9476" width="5" style="5" customWidth="1"/>
    <col min="9477" max="9477" width="27.7109375" style="5" customWidth="1"/>
    <col min="9478" max="9478" width="14.42578125" style="5" customWidth="1"/>
    <col min="9479" max="9728" width="11.5703125" style="5"/>
    <col min="9729" max="9729" width="3.7109375" style="5" customWidth="1"/>
    <col min="9730" max="9730" width="26.7109375" style="5" customWidth="1"/>
    <col min="9731" max="9731" width="7.7109375" style="5" customWidth="1"/>
    <col min="9732" max="9732" width="5" style="5" customWidth="1"/>
    <col min="9733" max="9733" width="27.7109375" style="5" customWidth="1"/>
    <col min="9734" max="9734" width="14.42578125" style="5" customWidth="1"/>
    <col min="9735" max="9984" width="11.5703125" style="5"/>
    <col min="9985" max="9985" width="3.7109375" style="5" customWidth="1"/>
    <col min="9986" max="9986" width="26.7109375" style="5" customWidth="1"/>
    <col min="9987" max="9987" width="7.7109375" style="5" customWidth="1"/>
    <col min="9988" max="9988" width="5" style="5" customWidth="1"/>
    <col min="9989" max="9989" width="27.7109375" style="5" customWidth="1"/>
    <col min="9990" max="9990" width="14.42578125" style="5" customWidth="1"/>
    <col min="9991" max="10240" width="11.5703125" style="5"/>
    <col min="10241" max="10241" width="3.7109375" style="5" customWidth="1"/>
    <col min="10242" max="10242" width="26.7109375" style="5" customWidth="1"/>
    <col min="10243" max="10243" width="7.7109375" style="5" customWidth="1"/>
    <col min="10244" max="10244" width="5" style="5" customWidth="1"/>
    <col min="10245" max="10245" width="27.7109375" style="5" customWidth="1"/>
    <col min="10246" max="10246" width="14.42578125" style="5" customWidth="1"/>
    <col min="10247" max="10496" width="11.5703125" style="5"/>
    <col min="10497" max="10497" width="3.7109375" style="5" customWidth="1"/>
    <col min="10498" max="10498" width="26.7109375" style="5" customWidth="1"/>
    <col min="10499" max="10499" width="7.7109375" style="5" customWidth="1"/>
    <col min="10500" max="10500" width="5" style="5" customWidth="1"/>
    <col min="10501" max="10501" width="27.7109375" style="5" customWidth="1"/>
    <col min="10502" max="10502" width="14.42578125" style="5" customWidth="1"/>
    <col min="10503" max="10752" width="11.5703125" style="5"/>
    <col min="10753" max="10753" width="3.7109375" style="5" customWidth="1"/>
    <col min="10754" max="10754" width="26.7109375" style="5" customWidth="1"/>
    <col min="10755" max="10755" width="7.7109375" style="5" customWidth="1"/>
    <col min="10756" max="10756" width="5" style="5" customWidth="1"/>
    <col min="10757" max="10757" width="27.7109375" style="5" customWidth="1"/>
    <col min="10758" max="10758" width="14.42578125" style="5" customWidth="1"/>
    <col min="10759" max="11008" width="11.5703125" style="5"/>
    <col min="11009" max="11009" width="3.7109375" style="5" customWidth="1"/>
    <col min="11010" max="11010" width="26.7109375" style="5" customWidth="1"/>
    <col min="11011" max="11011" width="7.7109375" style="5" customWidth="1"/>
    <col min="11012" max="11012" width="5" style="5" customWidth="1"/>
    <col min="11013" max="11013" width="27.7109375" style="5" customWidth="1"/>
    <col min="11014" max="11014" width="14.42578125" style="5" customWidth="1"/>
    <col min="11015" max="11264" width="11.5703125" style="5"/>
    <col min="11265" max="11265" width="3.7109375" style="5" customWidth="1"/>
    <col min="11266" max="11266" width="26.7109375" style="5" customWidth="1"/>
    <col min="11267" max="11267" width="7.7109375" style="5" customWidth="1"/>
    <col min="11268" max="11268" width="5" style="5" customWidth="1"/>
    <col min="11269" max="11269" width="27.7109375" style="5" customWidth="1"/>
    <col min="11270" max="11270" width="14.42578125" style="5" customWidth="1"/>
    <col min="11271" max="11520" width="11.5703125" style="5"/>
    <col min="11521" max="11521" width="3.7109375" style="5" customWidth="1"/>
    <col min="11522" max="11522" width="26.7109375" style="5" customWidth="1"/>
    <col min="11523" max="11523" width="7.7109375" style="5" customWidth="1"/>
    <col min="11524" max="11524" width="5" style="5" customWidth="1"/>
    <col min="11525" max="11525" width="27.7109375" style="5" customWidth="1"/>
    <col min="11526" max="11526" width="14.42578125" style="5" customWidth="1"/>
    <col min="11527" max="11776" width="11.5703125" style="5"/>
    <col min="11777" max="11777" width="3.7109375" style="5" customWidth="1"/>
    <col min="11778" max="11778" width="26.7109375" style="5" customWidth="1"/>
    <col min="11779" max="11779" width="7.7109375" style="5" customWidth="1"/>
    <col min="11780" max="11780" width="5" style="5" customWidth="1"/>
    <col min="11781" max="11781" width="27.7109375" style="5" customWidth="1"/>
    <col min="11782" max="11782" width="14.42578125" style="5" customWidth="1"/>
    <col min="11783" max="12032" width="11.5703125" style="5"/>
    <col min="12033" max="12033" width="3.7109375" style="5" customWidth="1"/>
    <col min="12034" max="12034" width="26.7109375" style="5" customWidth="1"/>
    <col min="12035" max="12035" width="7.7109375" style="5" customWidth="1"/>
    <col min="12036" max="12036" width="5" style="5" customWidth="1"/>
    <col min="12037" max="12037" width="27.7109375" style="5" customWidth="1"/>
    <col min="12038" max="12038" width="14.42578125" style="5" customWidth="1"/>
    <col min="12039" max="12288" width="11.5703125" style="5"/>
    <col min="12289" max="12289" width="3.7109375" style="5" customWidth="1"/>
    <col min="12290" max="12290" width="26.7109375" style="5" customWidth="1"/>
    <col min="12291" max="12291" width="7.7109375" style="5" customWidth="1"/>
    <col min="12292" max="12292" width="5" style="5" customWidth="1"/>
    <col min="12293" max="12293" width="27.7109375" style="5" customWidth="1"/>
    <col min="12294" max="12294" width="14.42578125" style="5" customWidth="1"/>
    <col min="12295" max="12544" width="11.5703125" style="5"/>
    <col min="12545" max="12545" width="3.7109375" style="5" customWidth="1"/>
    <col min="12546" max="12546" width="26.7109375" style="5" customWidth="1"/>
    <col min="12547" max="12547" width="7.7109375" style="5" customWidth="1"/>
    <col min="12548" max="12548" width="5" style="5" customWidth="1"/>
    <col min="12549" max="12549" width="27.7109375" style="5" customWidth="1"/>
    <col min="12550" max="12550" width="14.42578125" style="5" customWidth="1"/>
    <col min="12551" max="12800" width="11.5703125" style="5"/>
    <col min="12801" max="12801" width="3.7109375" style="5" customWidth="1"/>
    <col min="12802" max="12802" width="26.7109375" style="5" customWidth="1"/>
    <col min="12803" max="12803" width="7.7109375" style="5" customWidth="1"/>
    <col min="12804" max="12804" width="5" style="5" customWidth="1"/>
    <col min="12805" max="12805" width="27.7109375" style="5" customWidth="1"/>
    <col min="12806" max="12806" width="14.42578125" style="5" customWidth="1"/>
    <col min="12807" max="13056" width="11.5703125" style="5"/>
    <col min="13057" max="13057" width="3.7109375" style="5" customWidth="1"/>
    <col min="13058" max="13058" width="26.7109375" style="5" customWidth="1"/>
    <col min="13059" max="13059" width="7.7109375" style="5" customWidth="1"/>
    <col min="13060" max="13060" width="5" style="5" customWidth="1"/>
    <col min="13061" max="13061" width="27.7109375" style="5" customWidth="1"/>
    <col min="13062" max="13062" width="14.42578125" style="5" customWidth="1"/>
    <col min="13063" max="13312" width="11.5703125" style="5"/>
    <col min="13313" max="13313" width="3.7109375" style="5" customWidth="1"/>
    <col min="13314" max="13314" width="26.7109375" style="5" customWidth="1"/>
    <col min="13315" max="13315" width="7.7109375" style="5" customWidth="1"/>
    <col min="13316" max="13316" width="5" style="5" customWidth="1"/>
    <col min="13317" max="13317" width="27.7109375" style="5" customWidth="1"/>
    <col min="13318" max="13318" width="14.42578125" style="5" customWidth="1"/>
    <col min="13319" max="13568" width="11.5703125" style="5"/>
    <col min="13569" max="13569" width="3.7109375" style="5" customWidth="1"/>
    <col min="13570" max="13570" width="26.7109375" style="5" customWidth="1"/>
    <col min="13571" max="13571" width="7.7109375" style="5" customWidth="1"/>
    <col min="13572" max="13572" width="5" style="5" customWidth="1"/>
    <col min="13573" max="13573" width="27.7109375" style="5" customWidth="1"/>
    <col min="13574" max="13574" width="14.42578125" style="5" customWidth="1"/>
    <col min="13575" max="13824" width="11.5703125" style="5"/>
    <col min="13825" max="13825" width="3.7109375" style="5" customWidth="1"/>
    <col min="13826" max="13826" width="26.7109375" style="5" customWidth="1"/>
    <col min="13827" max="13827" width="7.7109375" style="5" customWidth="1"/>
    <col min="13828" max="13828" width="5" style="5" customWidth="1"/>
    <col min="13829" max="13829" width="27.7109375" style="5" customWidth="1"/>
    <col min="13830" max="13830" width="14.42578125" style="5" customWidth="1"/>
    <col min="13831" max="14080" width="11.5703125" style="5"/>
    <col min="14081" max="14081" width="3.7109375" style="5" customWidth="1"/>
    <col min="14082" max="14082" width="26.7109375" style="5" customWidth="1"/>
    <col min="14083" max="14083" width="7.7109375" style="5" customWidth="1"/>
    <col min="14084" max="14084" width="5" style="5" customWidth="1"/>
    <col min="14085" max="14085" width="27.7109375" style="5" customWidth="1"/>
    <col min="14086" max="14086" width="14.42578125" style="5" customWidth="1"/>
    <col min="14087" max="14336" width="11.5703125" style="5"/>
    <col min="14337" max="14337" width="3.7109375" style="5" customWidth="1"/>
    <col min="14338" max="14338" width="26.7109375" style="5" customWidth="1"/>
    <col min="14339" max="14339" width="7.7109375" style="5" customWidth="1"/>
    <col min="14340" max="14340" width="5" style="5" customWidth="1"/>
    <col min="14341" max="14341" width="27.7109375" style="5" customWidth="1"/>
    <col min="14342" max="14342" width="14.42578125" style="5" customWidth="1"/>
    <col min="14343" max="14592" width="11.5703125" style="5"/>
    <col min="14593" max="14593" width="3.7109375" style="5" customWidth="1"/>
    <col min="14594" max="14594" width="26.7109375" style="5" customWidth="1"/>
    <col min="14595" max="14595" width="7.7109375" style="5" customWidth="1"/>
    <col min="14596" max="14596" width="5" style="5" customWidth="1"/>
    <col min="14597" max="14597" width="27.7109375" style="5" customWidth="1"/>
    <col min="14598" max="14598" width="14.42578125" style="5" customWidth="1"/>
    <col min="14599" max="14848" width="11.5703125" style="5"/>
    <col min="14849" max="14849" width="3.7109375" style="5" customWidth="1"/>
    <col min="14850" max="14850" width="26.7109375" style="5" customWidth="1"/>
    <col min="14851" max="14851" width="7.7109375" style="5" customWidth="1"/>
    <col min="14852" max="14852" width="5" style="5" customWidth="1"/>
    <col min="14853" max="14853" width="27.7109375" style="5" customWidth="1"/>
    <col min="14854" max="14854" width="14.42578125" style="5" customWidth="1"/>
    <col min="14855" max="15104" width="11.5703125" style="5"/>
    <col min="15105" max="15105" width="3.7109375" style="5" customWidth="1"/>
    <col min="15106" max="15106" width="26.7109375" style="5" customWidth="1"/>
    <col min="15107" max="15107" width="7.7109375" style="5" customWidth="1"/>
    <col min="15108" max="15108" width="5" style="5" customWidth="1"/>
    <col min="15109" max="15109" width="27.7109375" style="5" customWidth="1"/>
    <col min="15110" max="15110" width="14.42578125" style="5" customWidth="1"/>
    <col min="15111" max="15360" width="11.5703125" style="5"/>
    <col min="15361" max="15361" width="3.7109375" style="5" customWidth="1"/>
    <col min="15362" max="15362" width="26.7109375" style="5" customWidth="1"/>
    <col min="15363" max="15363" width="7.7109375" style="5" customWidth="1"/>
    <col min="15364" max="15364" width="5" style="5" customWidth="1"/>
    <col min="15365" max="15365" width="27.7109375" style="5" customWidth="1"/>
    <col min="15366" max="15366" width="14.42578125" style="5" customWidth="1"/>
    <col min="15367" max="15616" width="11.5703125" style="5"/>
    <col min="15617" max="15617" width="3.7109375" style="5" customWidth="1"/>
    <col min="15618" max="15618" width="26.7109375" style="5" customWidth="1"/>
    <col min="15619" max="15619" width="7.7109375" style="5" customWidth="1"/>
    <col min="15620" max="15620" width="5" style="5" customWidth="1"/>
    <col min="15621" max="15621" width="27.7109375" style="5" customWidth="1"/>
    <col min="15622" max="15622" width="14.42578125" style="5" customWidth="1"/>
    <col min="15623" max="15872" width="11.5703125" style="5"/>
    <col min="15873" max="15873" width="3.7109375" style="5" customWidth="1"/>
    <col min="15874" max="15874" width="26.7109375" style="5" customWidth="1"/>
    <col min="15875" max="15875" width="7.7109375" style="5" customWidth="1"/>
    <col min="15876" max="15876" width="5" style="5" customWidth="1"/>
    <col min="15877" max="15877" width="27.7109375" style="5" customWidth="1"/>
    <col min="15878" max="15878" width="14.42578125" style="5" customWidth="1"/>
    <col min="15879" max="16128" width="11.5703125" style="5"/>
    <col min="16129" max="16129" width="3.7109375" style="5" customWidth="1"/>
    <col min="16130" max="16130" width="26.7109375" style="5" customWidth="1"/>
    <col min="16131" max="16131" width="7.7109375" style="5" customWidth="1"/>
    <col min="16132" max="16132" width="5" style="5" customWidth="1"/>
    <col min="16133" max="16133" width="27.7109375" style="5" customWidth="1"/>
    <col min="16134" max="16134" width="14.42578125" style="5" customWidth="1"/>
    <col min="16135" max="16384" width="11.5703125" style="5"/>
  </cols>
  <sheetData>
    <row r="1" spans="1:7" ht="51.2" customHeight="1" x14ac:dyDescent="0.2">
      <c r="A1" s="380" t="s">
        <v>1161</v>
      </c>
      <c r="B1" s="380"/>
      <c r="C1" s="381" t="s">
        <v>1162</v>
      </c>
      <c r="D1" s="381"/>
      <c r="E1" s="381"/>
      <c r="F1" s="381"/>
      <c r="G1" s="381"/>
    </row>
    <row r="2" spans="1:7" x14ac:dyDescent="0.2">
      <c r="A2" s="34"/>
      <c r="B2" s="34"/>
      <c r="C2" s="33"/>
      <c r="D2" s="33"/>
      <c r="E2" s="33"/>
      <c r="F2" s="33"/>
      <c r="G2" s="33"/>
    </row>
    <row r="3" spans="1:7" x14ac:dyDescent="0.2">
      <c r="A3" s="34"/>
      <c r="B3" s="34"/>
      <c r="C3" s="33"/>
      <c r="D3" s="33"/>
      <c r="E3" s="33"/>
      <c r="F3" s="33"/>
      <c r="G3" s="33"/>
    </row>
    <row r="4" spans="1:7" x14ac:dyDescent="0.2">
      <c r="B4" s="382" t="s">
        <v>1197</v>
      </c>
      <c r="C4" s="382"/>
      <c r="D4" s="382"/>
      <c r="E4" s="382"/>
      <c r="F4" s="382"/>
    </row>
    <row r="5" spans="1:7" x14ac:dyDescent="0.2">
      <c r="B5" s="383" t="s">
        <v>1163</v>
      </c>
      <c r="C5" s="383"/>
      <c r="D5" s="383"/>
      <c r="E5" s="383"/>
      <c r="F5" s="383"/>
    </row>
    <row r="6" spans="1:7" x14ac:dyDescent="0.2">
      <c r="B6" s="37"/>
      <c r="C6" s="37"/>
      <c r="D6" s="37"/>
      <c r="E6" s="37"/>
      <c r="F6" s="37"/>
    </row>
    <row r="7" spans="1:7" ht="127.5" customHeight="1" x14ac:dyDescent="0.2">
      <c r="A7" s="384" t="s">
        <v>51</v>
      </c>
      <c r="B7" s="384"/>
      <c r="C7" s="384"/>
      <c r="D7" s="385" t="s">
        <v>1164</v>
      </c>
      <c r="E7" s="385"/>
      <c r="F7" s="385"/>
      <c r="G7" s="385"/>
    </row>
    <row r="8" spans="1:7" x14ac:dyDescent="0.2">
      <c r="C8" s="38"/>
      <c r="D8" s="38"/>
      <c r="E8" s="38"/>
    </row>
    <row r="9" spans="1:7" ht="12.75" customHeight="1" x14ac:dyDescent="0.2">
      <c r="A9" s="384" t="s">
        <v>273</v>
      </c>
      <c r="B9" s="384"/>
      <c r="C9" s="384"/>
      <c r="D9" s="388" t="s">
        <v>1165</v>
      </c>
      <c r="E9" s="388"/>
      <c r="F9" s="388"/>
      <c r="G9" s="388"/>
    </row>
    <row r="10" spans="1:7" x14ac:dyDescent="0.2">
      <c r="A10" s="39"/>
      <c r="B10" s="39"/>
      <c r="C10" s="29"/>
      <c r="D10" s="40"/>
      <c r="E10" s="40"/>
      <c r="F10" s="40"/>
      <c r="G10" s="40"/>
    </row>
    <row r="11" spans="1:7" x14ac:dyDescent="0.2">
      <c r="A11" s="384" t="s">
        <v>275</v>
      </c>
      <c r="B11" s="384"/>
      <c r="C11" s="384"/>
      <c r="D11" s="388"/>
      <c r="E11" s="388"/>
      <c r="F11" s="388"/>
      <c r="G11" s="388"/>
    </row>
    <row r="12" spans="1:7" x14ac:dyDescent="0.2">
      <c r="D12" s="388"/>
      <c r="E12" s="388"/>
      <c r="F12" s="388"/>
      <c r="G12" s="388"/>
    </row>
    <row r="13" spans="1:7" ht="13.5" customHeight="1" x14ac:dyDescent="0.2">
      <c r="A13" s="384" t="s">
        <v>276</v>
      </c>
      <c r="B13" s="384"/>
      <c r="C13" s="384"/>
      <c r="D13" s="388"/>
      <c r="E13" s="388"/>
      <c r="F13" s="388"/>
      <c r="G13" s="388"/>
    </row>
    <row r="14" spans="1:7" ht="12" customHeight="1" x14ac:dyDescent="0.2">
      <c r="A14" s="29"/>
      <c r="B14" s="29"/>
      <c r="D14" s="388"/>
      <c r="E14" s="388"/>
      <c r="F14" s="388"/>
      <c r="G14" s="388"/>
    </row>
    <row r="15" spans="1:7" ht="33" customHeight="1" x14ac:dyDescent="0.2">
      <c r="A15" s="384" t="s">
        <v>1166</v>
      </c>
      <c r="B15" s="386"/>
      <c r="C15" s="386"/>
      <c r="D15" s="386"/>
      <c r="E15" s="386"/>
      <c r="F15" s="386"/>
      <c r="G15" s="386"/>
    </row>
    <row r="16" spans="1:7" ht="12.75" customHeight="1" x14ac:dyDescent="0.2">
      <c r="A16" s="7"/>
      <c r="B16" s="8"/>
      <c r="C16" s="8"/>
      <c r="D16" s="8"/>
      <c r="E16" s="8"/>
      <c r="F16" s="8"/>
      <c r="G16" s="8"/>
    </row>
    <row r="17" spans="1:8" ht="12.75" customHeight="1" x14ac:dyDescent="0.2">
      <c r="A17" s="387" t="s">
        <v>1167</v>
      </c>
      <c r="B17" s="387"/>
      <c r="C17" s="387"/>
      <c r="D17" s="387"/>
      <c r="E17" s="387"/>
      <c r="F17" s="387"/>
      <c r="G17" s="387"/>
    </row>
    <row r="18" spans="1:8" ht="32.25" customHeight="1" x14ac:dyDescent="0.2">
      <c r="A18" s="41" t="s">
        <v>49</v>
      </c>
      <c r="B18" s="41" t="s">
        <v>278</v>
      </c>
      <c r="C18" s="41" t="s">
        <v>653</v>
      </c>
      <c r="D18" s="41" t="s">
        <v>654</v>
      </c>
      <c r="E18" s="41" t="s">
        <v>279</v>
      </c>
      <c r="F18" s="41" t="s">
        <v>46</v>
      </c>
      <c r="G18" s="41" t="s">
        <v>885</v>
      </c>
    </row>
    <row r="19" spans="1:8" x14ac:dyDescent="0.2">
      <c r="A19" s="26">
        <v>1</v>
      </c>
      <c r="B19" s="25">
        <v>2</v>
      </c>
      <c r="C19" s="25">
        <v>3</v>
      </c>
      <c r="D19" s="25">
        <v>4</v>
      </c>
      <c r="E19" s="25">
        <v>5</v>
      </c>
      <c r="F19" s="25">
        <v>6</v>
      </c>
      <c r="G19" s="25">
        <v>7</v>
      </c>
    </row>
    <row r="20" spans="1:8" ht="12.75" customHeight="1" x14ac:dyDescent="0.2">
      <c r="A20" s="11" t="s">
        <v>10</v>
      </c>
      <c r="B20" s="10" t="s">
        <v>78</v>
      </c>
      <c r="C20" s="10"/>
      <c r="D20" s="10"/>
      <c r="E20" s="10" t="s">
        <v>281</v>
      </c>
      <c r="F20" s="10"/>
      <c r="G20" s="35"/>
      <c r="H20" s="5" t="s">
        <v>1322</v>
      </c>
    </row>
    <row r="21" spans="1:8" ht="267.75" customHeight="1" x14ac:dyDescent="0.2">
      <c r="A21" s="24" t="s">
        <v>88</v>
      </c>
      <c r="B21" s="159" t="s">
        <v>1317</v>
      </c>
      <c r="C21" s="23" t="s">
        <v>1168</v>
      </c>
      <c r="D21" s="23">
        <v>106.75</v>
      </c>
      <c r="E21" s="23" t="s">
        <v>1319</v>
      </c>
      <c r="F21" s="23" t="s">
        <v>1318</v>
      </c>
      <c r="G21" s="160">
        <f>ROUND(1.109  * 106.75,3)</f>
        <v>118.386</v>
      </c>
    </row>
    <row r="22" spans="1:8" ht="15.75" customHeight="1" x14ac:dyDescent="0.2">
      <c r="A22" s="161" t="s">
        <v>39</v>
      </c>
      <c r="B22" s="162" t="s">
        <v>45</v>
      </c>
      <c r="C22" s="162"/>
      <c r="D22" s="162"/>
      <c r="E22" s="162"/>
      <c r="F22" s="162"/>
      <c r="G22" s="163"/>
    </row>
    <row r="23" spans="1:8" ht="12.75" customHeight="1" x14ac:dyDescent="0.2">
      <c r="A23" s="164" t="s">
        <v>39</v>
      </c>
      <c r="B23" s="165" t="s">
        <v>282</v>
      </c>
      <c r="C23" s="165"/>
      <c r="D23" s="165"/>
      <c r="E23" s="165"/>
      <c r="F23" s="165"/>
      <c r="G23" s="166"/>
    </row>
    <row r="24" spans="1:8" ht="15.75" customHeight="1" x14ac:dyDescent="0.2">
      <c r="A24" s="164" t="s">
        <v>39</v>
      </c>
      <c r="B24" s="167" t="s">
        <v>99</v>
      </c>
      <c r="C24" s="167"/>
      <c r="D24" s="167"/>
      <c r="E24" s="167"/>
      <c r="F24" s="167"/>
      <c r="G24" s="168"/>
    </row>
    <row r="25" spans="1:8" ht="12.75" customHeight="1" x14ac:dyDescent="0.2">
      <c r="A25" s="51" t="s">
        <v>39</v>
      </c>
      <c r="B25" s="52" t="s">
        <v>1169</v>
      </c>
      <c r="C25" s="52"/>
      <c r="D25" s="52"/>
      <c r="E25" s="169">
        <v>1</v>
      </c>
      <c r="F25" s="52"/>
      <c r="G25" s="53"/>
    </row>
    <row r="26" spans="1:8" ht="12.75" customHeight="1" x14ac:dyDescent="0.2">
      <c r="A26" s="51" t="s">
        <v>85</v>
      </c>
      <c r="B26" s="170" t="s">
        <v>285</v>
      </c>
      <c r="C26" s="170"/>
      <c r="D26" s="170"/>
      <c r="E26" s="170"/>
      <c r="F26" s="170"/>
      <c r="G26" s="171">
        <f>ROUND(($G$21),3)</f>
        <v>118.386</v>
      </c>
    </row>
    <row r="27" spans="1:8" ht="12.75" customHeight="1" x14ac:dyDescent="0.2">
      <c r="A27" s="11" t="s">
        <v>83</v>
      </c>
      <c r="B27" s="10" t="s">
        <v>286</v>
      </c>
      <c r="C27" s="10"/>
      <c r="D27" s="10"/>
      <c r="E27" s="10"/>
      <c r="F27" s="10"/>
      <c r="G27" s="172">
        <f>ROUND(($G$26),3)</f>
        <v>118.386</v>
      </c>
    </row>
    <row r="28" spans="1:8" ht="12.75" customHeight="1" x14ac:dyDescent="0.2">
      <c r="A28" s="11" t="s">
        <v>11</v>
      </c>
      <c r="B28" s="10" t="s">
        <v>78</v>
      </c>
      <c r="C28" s="10"/>
      <c r="D28" s="10"/>
      <c r="E28" s="10" t="s">
        <v>291</v>
      </c>
      <c r="F28" s="10"/>
      <c r="G28" s="35"/>
    </row>
    <row r="29" spans="1:8" ht="267.75" customHeight="1" x14ac:dyDescent="0.2">
      <c r="A29" s="24" t="s">
        <v>76</v>
      </c>
      <c r="B29" s="159" t="s">
        <v>1317</v>
      </c>
      <c r="C29" s="23" t="s">
        <v>1168</v>
      </c>
      <c r="D29" s="23">
        <v>106.75</v>
      </c>
      <c r="E29" s="23" t="s">
        <v>1320</v>
      </c>
      <c r="F29" s="23" t="s">
        <v>1321</v>
      </c>
      <c r="G29" s="160">
        <f>ROUND(0.406  * 106.75,3)</f>
        <v>43.341000000000001</v>
      </c>
    </row>
    <row r="30" spans="1:8" ht="15.75" customHeight="1" x14ac:dyDescent="0.2">
      <c r="A30" s="161" t="s">
        <v>39</v>
      </c>
      <c r="B30" s="162" t="s">
        <v>45</v>
      </c>
      <c r="C30" s="162"/>
      <c r="D30" s="162"/>
      <c r="E30" s="162"/>
      <c r="F30" s="162"/>
      <c r="G30" s="163"/>
    </row>
    <row r="31" spans="1:8" ht="12.75" customHeight="1" x14ac:dyDescent="0.2">
      <c r="A31" s="164" t="s">
        <v>39</v>
      </c>
      <c r="B31" s="165" t="s">
        <v>282</v>
      </c>
      <c r="C31" s="165"/>
      <c r="D31" s="165"/>
      <c r="E31" s="165"/>
      <c r="F31" s="165"/>
      <c r="G31" s="166"/>
    </row>
    <row r="32" spans="1:8" ht="15.75" customHeight="1" x14ac:dyDescent="0.2">
      <c r="A32" s="164" t="s">
        <v>39</v>
      </c>
      <c r="B32" s="167" t="s">
        <v>99</v>
      </c>
      <c r="C32" s="167"/>
      <c r="D32" s="167"/>
      <c r="E32" s="167"/>
      <c r="F32" s="167"/>
      <c r="G32" s="168"/>
    </row>
    <row r="33" spans="1:8" ht="12.75" customHeight="1" x14ac:dyDescent="0.2">
      <c r="A33" s="51" t="s">
        <v>39</v>
      </c>
      <c r="B33" s="52" t="s">
        <v>1169</v>
      </c>
      <c r="C33" s="52"/>
      <c r="D33" s="52"/>
      <c r="E33" s="169">
        <v>1</v>
      </c>
      <c r="F33" s="52"/>
      <c r="G33" s="53"/>
    </row>
    <row r="34" spans="1:8" ht="127.5" customHeight="1" x14ac:dyDescent="0.2">
      <c r="A34" s="19" t="s">
        <v>75</v>
      </c>
      <c r="B34" s="21" t="s">
        <v>1170</v>
      </c>
      <c r="C34" s="18" t="s">
        <v>830</v>
      </c>
      <c r="D34" s="18">
        <v>1</v>
      </c>
      <c r="E34" s="18" t="s">
        <v>1171</v>
      </c>
      <c r="F34" s="18" t="s">
        <v>1172</v>
      </c>
      <c r="G34" s="173">
        <f>ROUND(8.563  * 1,3)</f>
        <v>8.5630000000000006</v>
      </c>
    </row>
    <row r="35" spans="1:8" ht="15.75" customHeight="1" x14ac:dyDescent="0.2">
      <c r="A35" s="161" t="s">
        <v>39</v>
      </c>
      <c r="B35" s="162" t="s">
        <v>45</v>
      </c>
      <c r="C35" s="162"/>
      <c r="D35" s="162"/>
      <c r="E35" s="162"/>
      <c r="F35" s="162"/>
      <c r="G35" s="163"/>
    </row>
    <row r="36" spans="1:8" ht="12.75" customHeight="1" x14ac:dyDescent="0.2">
      <c r="A36" s="51" t="s">
        <v>39</v>
      </c>
      <c r="B36" s="52" t="s">
        <v>282</v>
      </c>
      <c r="C36" s="52"/>
      <c r="D36" s="52"/>
      <c r="E36" s="52"/>
      <c r="F36" s="52"/>
      <c r="G36" s="53"/>
    </row>
    <row r="37" spans="1:8" ht="25.5" customHeight="1" x14ac:dyDescent="0.2">
      <c r="A37" s="51" t="s">
        <v>73</v>
      </c>
      <c r="B37" s="170" t="s">
        <v>295</v>
      </c>
      <c r="C37" s="170"/>
      <c r="D37" s="170"/>
      <c r="E37" s="170"/>
      <c r="F37" s="170"/>
      <c r="G37" s="171">
        <f>ROUND((SUM($G$29:$G$34)),3)</f>
        <v>51.904000000000003</v>
      </c>
    </row>
    <row r="38" spans="1:8" ht="25.5" customHeight="1" x14ac:dyDescent="0.2">
      <c r="A38" s="11" t="s">
        <v>353</v>
      </c>
      <c r="B38" s="10" t="s">
        <v>297</v>
      </c>
      <c r="C38" s="10"/>
      <c r="D38" s="10"/>
      <c r="E38" s="10"/>
      <c r="F38" s="10"/>
      <c r="G38" s="172">
        <f>ROUND(($G$37),3)</f>
        <v>51.904000000000003</v>
      </c>
    </row>
    <row r="39" spans="1:8" ht="12.75" customHeight="1" x14ac:dyDescent="0.2">
      <c r="A39" s="11" t="s">
        <v>13</v>
      </c>
      <c r="B39" s="10" t="s">
        <v>78</v>
      </c>
      <c r="C39" s="10"/>
      <c r="D39" s="10"/>
      <c r="E39" s="10" t="s">
        <v>299</v>
      </c>
      <c r="F39" s="10"/>
      <c r="G39" s="35"/>
    </row>
    <row r="40" spans="1:8" ht="89.25" customHeight="1" x14ac:dyDescent="0.2">
      <c r="A40" s="11" t="s">
        <v>292</v>
      </c>
      <c r="B40" s="13" t="s">
        <v>1393</v>
      </c>
      <c r="C40" s="13"/>
      <c r="D40" s="13"/>
      <c r="E40" s="13" t="s">
        <v>1173</v>
      </c>
      <c r="F40" s="13" t="s">
        <v>1394</v>
      </c>
      <c r="G40" s="174">
        <f>ROUND(G27 * 7.5 / 100 * 1,3)</f>
        <v>8.8789999999999996</v>
      </c>
      <c r="H40" s="5" t="s">
        <v>1395</v>
      </c>
    </row>
    <row r="41" spans="1:8" ht="89.25" customHeight="1" x14ac:dyDescent="0.2">
      <c r="A41" s="11" t="s">
        <v>293</v>
      </c>
      <c r="B41" s="13" t="s">
        <v>1326</v>
      </c>
      <c r="C41" s="13"/>
      <c r="D41" s="13"/>
      <c r="E41" s="13" t="s">
        <v>1174</v>
      </c>
      <c r="F41" s="13" t="s">
        <v>1396</v>
      </c>
      <c r="G41" s="174">
        <f>ROUND((G27+G40) *19.6 / 100 * 1,3)</f>
        <v>24.943999999999999</v>
      </c>
      <c r="H41" s="5" t="s">
        <v>1323</v>
      </c>
    </row>
    <row r="42" spans="1:8" ht="76.5" customHeight="1" x14ac:dyDescent="0.2">
      <c r="A42" s="11" t="s">
        <v>294</v>
      </c>
      <c r="B42" s="13" t="s">
        <v>1175</v>
      </c>
      <c r="C42" s="13"/>
      <c r="D42" s="13"/>
      <c r="E42" s="13" t="s">
        <v>1176</v>
      </c>
      <c r="F42" s="13" t="s">
        <v>1397</v>
      </c>
      <c r="G42" s="174">
        <f>ROUND((G27+G40) * 1.5 * 1 * 6 / 100 * 1,3)</f>
        <v>11.454000000000001</v>
      </c>
    </row>
    <row r="43" spans="1:8" ht="12.75" customHeight="1" x14ac:dyDescent="0.2">
      <c r="A43" s="11" t="s">
        <v>296</v>
      </c>
      <c r="B43" s="10" t="s">
        <v>312</v>
      </c>
      <c r="C43" s="10"/>
      <c r="D43" s="10"/>
      <c r="E43" s="10"/>
      <c r="F43" s="10"/>
      <c r="G43" s="172">
        <f>ROUND((SUM($G$40:$G$42)),3)</f>
        <v>45.277000000000001</v>
      </c>
    </row>
    <row r="44" spans="1:8" ht="12.75" customHeight="1" x14ac:dyDescent="0.2">
      <c r="A44" s="11" t="s">
        <v>15</v>
      </c>
      <c r="B44" s="10" t="s">
        <v>43</v>
      </c>
      <c r="C44" s="10"/>
      <c r="D44" s="10"/>
      <c r="E44" s="10"/>
      <c r="F44" s="10"/>
      <c r="G44" s="172">
        <f>ROUND(($G$27 + $G$38 + $G$43),3)</f>
        <v>215.56700000000001</v>
      </c>
    </row>
    <row r="45" spans="1:8" ht="51" customHeight="1" x14ac:dyDescent="0.2">
      <c r="A45" s="11" t="s">
        <v>17</v>
      </c>
      <c r="B45" s="13" t="s">
        <v>1177</v>
      </c>
      <c r="C45" s="13"/>
      <c r="D45" s="13"/>
      <c r="E45" s="13" t="s">
        <v>1064</v>
      </c>
      <c r="F45" s="13" t="s">
        <v>1067</v>
      </c>
      <c r="G45" s="174">
        <f>ROUND(($G$44) * 5.96 * 1,3)</f>
        <v>1284.779</v>
      </c>
    </row>
    <row r="46" spans="1:8" ht="12.75" customHeight="1" x14ac:dyDescent="0.2">
      <c r="A46" s="11" t="s">
        <v>19</v>
      </c>
      <c r="B46" s="10" t="s">
        <v>42</v>
      </c>
      <c r="C46" s="10"/>
      <c r="D46" s="10"/>
      <c r="E46" s="10"/>
      <c r="F46" s="10"/>
      <c r="G46" s="172">
        <f>ROUND(($G$45),3)</f>
        <v>1284.779</v>
      </c>
    </row>
    <row r="47" spans="1:8" ht="12.75" customHeight="1" x14ac:dyDescent="0.2"/>
    <row r="50" spans="1:7" s="8" customFormat="1" ht="24.95" customHeight="1" x14ac:dyDescent="0.2">
      <c r="A50" s="384" t="s">
        <v>725</v>
      </c>
      <c r="B50" s="384"/>
      <c r="C50" s="384"/>
      <c r="D50" s="384"/>
      <c r="E50" s="384"/>
      <c r="F50" s="384"/>
      <c r="G50" s="384"/>
    </row>
  </sheetData>
  <mergeCells count="16">
    <mergeCell ref="A15:G15"/>
    <mergeCell ref="A17:G17"/>
    <mergeCell ref="A50:B50"/>
    <mergeCell ref="C50:G50"/>
    <mergeCell ref="A9:C9"/>
    <mergeCell ref="D9:G9"/>
    <mergeCell ref="A11:C11"/>
    <mergeCell ref="D11:G12"/>
    <mergeCell ref="A13:C13"/>
    <mergeCell ref="D13:G14"/>
    <mergeCell ref="A1:B1"/>
    <mergeCell ref="C1:G1"/>
    <mergeCell ref="B4:F4"/>
    <mergeCell ref="B5:F5"/>
    <mergeCell ref="A7:C7"/>
    <mergeCell ref="D7:G7"/>
  </mergeCells>
  <pageMargins left="0.39374999999999999" right="0.39374999999999999" top="0.59027777777777779" bottom="0.82777777777777783" header="0.51180555555555562" footer="0.59027777777777779"/>
  <pageSetup paperSize="9" scale="97" orientation="portrait" useFirstPageNumber="1" horizontalDpi="300" verticalDpi="300" r:id="rId1"/>
  <headerFooter alignWithMargins="0">
    <oddFooter>&amp;CСтраница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/>
  <dimension ref="A1:J39"/>
  <sheetViews>
    <sheetView view="pageBreakPreview" zoomScale="60" zoomScaleNormal="100" workbookViewId="0">
      <selection activeCell="L30" sqref="L30"/>
    </sheetView>
  </sheetViews>
  <sheetFormatPr defaultColWidth="11.5703125" defaultRowHeight="12.75" x14ac:dyDescent="0.2"/>
  <cols>
    <col min="1" max="1" width="3.7109375" style="6" customWidth="1"/>
    <col min="2" max="2" width="10.7109375" style="6" customWidth="1"/>
    <col min="3" max="3" width="15.5703125" style="6" customWidth="1"/>
    <col min="4" max="4" width="4.42578125" style="6" customWidth="1"/>
    <col min="5" max="7" width="9.28515625" style="6" customWidth="1"/>
    <col min="8" max="8" width="19.7109375" style="6" customWidth="1"/>
    <col min="9" max="9" width="14.7109375" style="6" customWidth="1"/>
    <col min="10" max="10" width="19.7109375" style="5" customWidth="1"/>
    <col min="11" max="256" width="11.5703125" style="5"/>
    <col min="257" max="257" width="3.7109375" style="5" customWidth="1"/>
    <col min="258" max="258" width="10.7109375" style="5" customWidth="1"/>
    <col min="259" max="259" width="15.5703125" style="5" customWidth="1"/>
    <col min="260" max="260" width="4.42578125" style="5" customWidth="1"/>
    <col min="261" max="263" width="9.28515625" style="5" customWidth="1"/>
    <col min="264" max="264" width="19.7109375" style="5" customWidth="1"/>
    <col min="265" max="265" width="14.7109375" style="5" customWidth="1"/>
    <col min="266" max="266" width="19.7109375" style="5" customWidth="1"/>
    <col min="267" max="512" width="11.5703125" style="5"/>
    <col min="513" max="513" width="3.7109375" style="5" customWidth="1"/>
    <col min="514" max="514" width="10.7109375" style="5" customWidth="1"/>
    <col min="515" max="515" width="15.5703125" style="5" customWidth="1"/>
    <col min="516" max="516" width="4.42578125" style="5" customWidth="1"/>
    <col min="517" max="519" width="9.28515625" style="5" customWidth="1"/>
    <col min="520" max="520" width="19.7109375" style="5" customWidth="1"/>
    <col min="521" max="521" width="14.7109375" style="5" customWidth="1"/>
    <col min="522" max="522" width="19.7109375" style="5" customWidth="1"/>
    <col min="523" max="768" width="11.5703125" style="5"/>
    <col min="769" max="769" width="3.7109375" style="5" customWidth="1"/>
    <col min="770" max="770" width="10.7109375" style="5" customWidth="1"/>
    <col min="771" max="771" width="15.5703125" style="5" customWidth="1"/>
    <col min="772" max="772" width="4.42578125" style="5" customWidth="1"/>
    <col min="773" max="775" width="9.28515625" style="5" customWidth="1"/>
    <col min="776" max="776" width="19.7109375" style="5" customWidth="1"/>
    <col min="777" max="777" width="14.7109375" style="5" customWidth="1"/>
    <col min="778" max="778" width="19.7109375" style="5" customWidth="1"/>
    <col min="779" max="1024" width="11.5703125" style="5"/>
    <col min="1025" max="1025" width="3.7109375" style="5" customWidth="1"/>
    <col min="1026" max="1026" width="10.7109375" style="5" customWidth="1"/>
    <col min="1027" max="1027" width="15.5703125" style="5" customWidth="1"/>
    <col min="1028" max="1028" width="4.42578125" style="5" customWidth="1"/>
    <col min="1029" max="1031" width="9.28515625" style="5" customWidth="1"/>
    <col min="1032" max="1032" width="19.7109375" style="5" customWidth="1"/>
    <col min="1033" max="1033" width="14.7109375" style="5" customWidth="1"/>
    <col min="1034" max="1034" width="19.7109375" style="5" customWidth="1"/>
    <col min="1035" max="1280" width="11.5703125" style="5"/>
    <col min="1281" max="1281" width="3.7109375" style="5" customWidth="1"/>
    <col min="1282" max="1282" width="10.7109375" style="5" customWidth="1"/>
    <col min="1283" max="1283" width="15.5703125" style="5" customWidth="1"/>
    <col min="1284" max="1284" width="4.42578125" style="5" customWidth="1"/>
    <col min="1285" max="1287" width="9.28515625" style="5" customWidth="1"/>
    <col min="1288" max="1288" width="19.7109375" style="5" customWidth="1"/>
    <col min="1289" max="1289" width="14.7109375" style="5" customWidth="1"/>
    <col min="1290" max="1290" width="19.7109375" style="5" customWidth="1"/>
    <col min="1291" max="1536" width="11.5703125" style="5"/>
    <col min="1537" max="1537" width="3.7109375" style="5" customWidth="1"/>
    <col min="1538" max="1538" width="10.7109375" style="5" customWidth="1"/>
    <col min="1539" max="1539" width="15.5703125" style="5" customWidth="1"/>
    <col min="1540" max="1540" width="4.42578125" style="5" customWidth="1"/>
    <col min="1541" max="1543" width="9.28515625" style="5" customWidth="1"/>
    <col min="1544" max="1544" width="19.7109375" style="5" customWidth="1"/>
    <col min="1545" max="1545" width="14.7109375" style="5" customWidth="1"/>
    <col min="1546" max="1546" width="19.7109375" style="5" customWidth="1"/>
    <col min="1547" max="1792" width="11.5703125" style="5"/>
    <col min="1793" max="1793" width="3.7109375" style="5" customWidth="1"/>
    <col min="1794" max="1794" width="10.7109375" style="5" customWidth="1"/>
    <col min="1795" max="1795" width="15.5703125" style="5" customWidth="1"/>
    <col min="1796" max="1796" width="4.42578125" style="5" customWidth="1"/>
    <col min="1797" max="1799" width="9.28515625" style="5" customWidth="1"/>
    <col min="1800" max="1800" width="19.7109375" style="5" customWidth="1"/>
    <col min="1801" max="1801" width="14.7109375" style="5" customWidth="1"/>
    <col min="1802" max="1802" width="19.7109375" style="5" customWidth="1"/>
    <col min="1803" max="2048" width="11.5703125" style="5"/>
    <col min="2049" max="2049" width="3.7109375" style="5" customWidth="1"/>
    <col min="2050" max="2050" width="10.7109375" style="5" customWidth="1"/>
    <col min="2051" max="2051" width="15.5703125" style="5" customWidth="1"/>
    <col min="2052" max="2052" width="4.42578125" style="5" customWidth="1"/>
    <col min="2053" max="2055" width="9.28515625" style="5" customWidth="1"/>
    <col min="2056" max="2056" width="19.7109375" style="5" customWidth="1"/>
    <col min="2057" max="2057" width="14.7109375" style="5" customWidth="1"/>
    <col min="2058" max="2058" width="19.7109375" style="5" customWidth="1"/>
    <col min="2059" max="2304" width="11.5703125" style="5"/>
    <col min="2305" max="2305" width="3.7109375" style="5" customWidth="1"/>
    <col min="2306" max="2306" width="10.7109375" style="5" customWidth="1"/>
    <col min="2307" max="2307" width="15.5703125" style="5" customWidth="1"/>
    <col min="2308" max="2308" width="4.42578125" style="5" customWidth="1"/>
    <col min="2309" max="2311" width="9.28515625" style="5" customWidth="1"/>
    <col min="2312" max="2312" width="19.7109375" style="5" customWidth="1"/>
    <col min="2313" max="2313" width="14.7109375" style="5" customWidth="1"/>
    <col min="2314" max="2314" width="19.7109375" style="5" customWidth="1"/>
    <col min="2315" max="2560" width="11.5703125" style="5"/>
    <col min="2561" max="2561" width="3.7109375" style="5" customWidth="1"/>
    <col min="2562" max="2562" width="10.7109375" style="5" customWidth="1"/>
    <col min="2563" max="2563" width="15.5703125" style="5" customWidth="1"/>
    <col min="2564" max="2564" width="4.42578125" style="5" customWidth="1"/>
    <col min="2565" max="2567" width="9.28515625" style="5" customWidth="1"/>
    <col min="2568" max="2568" width="19.7109375" style="5" customWidth="1"/>
    <col min="2569" max="2569" width="14.7109375" style="5" customWidth="1"/>
    <col min="2570" max="2570" width="19.7109375" style="5" customWidth="1"/>
    <col min="2571" max="2816" width="11.5703125" style="5"/>
    <col min="2817" max="2817" width="3.7109375" style="5" customWidth="1"/>
    <col min="2818" max="2818" width="10.7109375" style="5" customWidth="1"/>
    <col min="2819" max="2819" width="15.5703125" style="5" customWidth="1"/>
    <col min="2820" max="2820" width="4.42578125" style="5" customWidth="1"/>
    <col min="2821" max="2823" width="9.28515625" style="5" customWidth="1"/>
    <col min="2824" max="2824" width="19.7109375" style="5" customWidth="1"/>
    <col min="2825" max="2825" width="14.7109375" style="5" customWidth="1"/>
    <col min="2826" max="2826" width="19.7109375" style="5" customWidth="1"/>
    <col min="2827" max="3072" width="11.5703125" style="5"/>
    <col min="3073" max="3073" width="3.7109375" style="5" customWidth="1"/>
    <col min="3074" max="3074" width="10.7109375" style="5" customWidth="1"/>
    <col min="3075" max="3075" width="15.5703125" style="5" customWidth="1"/>
    <col min="3076" max="3076" width="4.42578125" style="5" customWidth="1"/>
    <col min="3077" max="3079" width="9.28515625" style="5" customWidth="1"/>
    <col min="3080" max="3080" width="19.7109375" style="5" customWidth="1"/>
    <col min="3081" max="3081" width="14.7109375" style="5" customWidth="1"/>
    <col min="3082" max="3082" width="19.7109375" style="5" customWidth="1"/>
    <col min="3083" max="3328" width="11.5703125" style="5"/>
    <col min="3329" max="3329" width="3.7109375" style="5" customWidth="1"/>
    <col min="3330" max="3330" width="10.7109375" style="5" customWidth="1"/>
    <col min="3331" max="3331" width="15.5703125" style="5" customWidth="1"/>
    <col min="3332" max="3332" width="4.42578125" style="5" customWidth="1"/>
    <col min="3333" max="3335" width="9.28515625" style="5" customWidth="1"/>
    <col min="3336" max="3336" width="19.7109375" style="5" customWidth="1"/>
    <col min="3337" max="3337" width="14.7109375" style="5" customWidth="1"/>
    <col min="3338" max="3338" width="19.7109375" style="5" customWidth="1"/>
    <col min="3339" max="3584" width="11.5703125" style="5"/>
    <col min="3585" max="3585" width="3.7109375" style="5" customWidth="1"/>
    <col min="3586" max="3586" width="10.7109375" style="5" customWidth="1"/>
    <col min="3587" max="3587" width="15.5703125" style="5" customWidth="1"/>
    <col min="3588" max="3588" width="4.42578125" style="5" customWidth="1"/>
    <col min="3589" max="3591" width="9.28515625" style="5" customWidth="1"/>
    <col min="3592" max="3592" width="19.7109375" style="5" customWidth="1"/>
    <col min="3593" max="3593" width="14.7109375" style="5" customWidth="1"/>
    <col min="3594" max="3594" width="19.7109375" style="5" customWidth="1"/>
    <col min="3595" max="3840" width="11.5703125" style="5"/>
    <col min="3841" max="3841" width="3.7109375" style="5" customWidth="1"/>
    <col min="3842" max="3842" width="10.7109375" style="5" customWidth="1"/>
    <col min="3843" max="3843" width="15.5703125" style="5" customWidth="1"/>
    <col min="3844" max="3844" width="4.42578125" style="5" customWidth="1"/>
    <col min="3845" max="3847" width="9.28515625" style="5" customWidth="1"/>
    <col min="3848" max="3848" width="19.7109375" style="5" customWidth="1"/>
    <col min="3849" max="3849" width="14.7109375" style="5" customWidth="1"/>
    <col min="3850" max="3850" width="19.7109375" style="5" customWidth="1"/>
    <col min="3851" max="4096" width="11.5703125" style="5"/>
    <col min="4097" max="4097" width="3.7109375" style="5" customWidth="1"/>
    <col min="4098" max="4098" width="10.7109375" style="5" customWidth="1"/>
    <col min="4099" max="4099" width="15.5703125" style="5" customWidth="1"/>
    <col min="4100" max="4100" width="4.42578125" style="5" customWidth="1"/>
    <col min="4101" max="4103" width="9.28515625" style="5" customWidth="1"/>
    <col min="4104" max="4104" width="19.7109375" style="5" customWidth="1"/>
    <col min="4105" max="4105" width="14.7109375" style="5" customWidth="1"/>
    <col min="4106" max="4106" width="19.7109375" style="5" customWidth="1"/>
    <col min="4107" max="4352" width="11.5703125" style="5"/>
    <col min="4353" max="4353" width="3.7109375" style="5" customWidth="1"/>
    <col min="4354" max="4354" width="10.7109375" style="5" customWidth="1"/>
    <col min="4355" max="4355" width="15.5703125" style="5" customWidth="1"/>
    <col min="4356" max="4356" width="4.42578125" style="5" customWidth="1"/>
    <col min="4357" max="4359" width="9.28515625" style="5" customWidth="1"/>
    <col min="4360" max="4360" width="19.7109375" style="5" customWidth="1"/>
    <col min="4361" max="4361" width="14.7109375" style="5" customWidth="1"/>
    <col min="4362" max="4362" width="19.7109375" style="5" customWidth="1"/>
    <col min="4363" max="4608" width="11.5703125" style="5"/>
    <col min="4609" max="4609" width="3.7109375" style="5" customWidth="1"/>
    <col min="4610" max="4610" width="10.7109375" style="5" customWidth="1"/>
    <col min="4611" max="4611" width="15.5703125" style="5" customWidth="1"/>
    <col min="4612" max="4612" width="4.42578125" style="5" customWidth="1"/>
    <col min="4613" max="4615" width="9.28515625" style="5" customWidth="1"/>
    <col min="4616" max="4616" width="19.7109375" style="5" customWidth="1"/>
    <col min="4617" max="4617" width="14.7109375" style="5" customWidth="1"/>
    <col min="4618" max="4618" width="19.7109375" style="5" customWidth="1"/>
    <col min="4619" max="4864" width="11.5703125" style="5"/>
    <col min="4865" max="4865" width="3.7109375" style="5" customWidth="1"/>
    <col min="4866" max="4866" width="10.7109375" style="5" customWidth="1"/>
    <col min="4867" max="4867" width="15.5703125" style="5" customWidth="1"/>
    <col min="4868" max="4868" width="4.42578125" style="5" customWidth="1"/>
    <col min="4869" max="4871" width="9.28515625" style="5" customWidth="1"/>
    <col min="4872" max="4872" width="19.7109375" style="5" customWidth="1"/>
    <col min="4873" max="4873" width="14.7109375" style="5" customWidth="1"/>
    <col min="4874" max="4874" width="19.7109375" style="5" customWidth="1"/>
    <col min="4875" max="5120" width="11.5703125" style="5"/>
    <col min="5121" max="5121" width="3.7109375" style="5" customWidth="1"/>
    <col min="5122" max="5122" width="10.7109375" style="5" customWidth="1"/>
    <col min="5123" max="5123" width="15.5703125" style="5" customWidth="1"/>
    <col min="5124" max="5124" width="4.42578125" style="5" customWidth="1"/>
    <col min="5125" max="5127" width="9.28515625" style="5" customWidth="1"/>
    <col min="5128" max="5128" width="19.7109375" style="5" customWidth="1"/>
    <col min="5129" max="5129" width="14.7109375" style="5" customWidth="1"/>
    <col min="5130" max="5130" width="19.7109375" style="5" customWidth="1"/>
    <col min="5131" max="5376" width="11.5703125" style="5"/>
    <col min="5377" max="5377" width="3.7109375" style="5" customWidth="1"/>
    <col min="5378" max="5378" width="10.7109375" style="5" customWidth="1"/>
    <col min="5379" max="5379" width="15.5703125" style="5" customWidth="1"/>
    <col min="5380" max="5380" width="4.42578125" style="5" customWidth="1"/>
    <col min="5381" max="5383" width="9.28515625" style="5" customWidth="1"/>
    <col min="5384" max="5384" width="19.7109375" style="5" customWidth="1"/>
    <col min="5385" max="5385" width="14.7109375" style="5" customWidth="1"/>
    <col min="5386" max="5386" width="19.7109375" style="5" customWidth="1"/>
    <col min="5387" max="5632" width="11.5703125" style="5"/>
    <col min="5633" max="5633" width="3.7109375" style="5" customWidth="1"/>
    <col min="5634" max="5634" width="10.7109375" style="5" customWidth="1"/>
    <col min="5635" max="5635" width="15.5703125" style="5" customWidth="1"/>
    <col min="5636" max="5636" width="4.42578125" style="5" customWidth="1"/>
    <col min="5637" max="5639" width="9.28515625" style="5" customWidth="1"/>
    <col min="5640" max="5640" width="19.7109375" style="5" customWidth="1"/>
    <col min="5641" max="5641" width="14.7109375" style="5" customWidth="1"/>
    <col min="5642" max="5642" width="19.7109375" style="5" customWidth="1"/>
    <col min="5643" max="5888" width="11.5703125" style="5"/>
    <col min="5889" max="5889" width="3.7109375" style="5" customWidth="1"/>
    <col min="5890" max="5890" width="10.7109375" style="5" customWidth="1"/>
    <col min="5891" max="5891" width="15.5703125" style="5" customWidth="1"/>
    <col min="5892" max="5892" width="4.42578125" style="5" customWidth="1"/>
    <col min="5893" max="5895" width="9.28515625" style="5" customWidth="1"/>
    <col min="5896" max="5896" width="19.7109375" style="5" customWidth="1"/>
    <col min="5897" max="5897" width="14.7109375" style="5" customWidth="1"/>
    <col min="5898" max="5898" width="19.7109375" style="5" customWidth="1"/>
    <col min="5899" max="6144" width="11.5703125" style="5"/>
    <col min="6145" max="6145" width="3.7109375" style="5" customWidth="1"/>
    <col min="6146" max="6146" width="10.7109375" style="5" customWidth="1"/>
    <col min="6147" max="6147" width="15.5703125" style="5" customWidth="1"/>
    <col min="6148" max="6148" width="4.42578125" style="5" customWidth="1"/>
    <col min="6149" max="6151" width="9.28515625" style="5" customWidth="1"/>
    <col min="6152" max="6152" width="19.7109375" style="5" customWidth="1"/>
    <col min="6153" max="6153" width="14.7109375" style="5" customWidth="1"/>
    <col min="6154" max="6154" width="19.7109375" style="5" customWidth="1"/>
    <col min="6155" max="6400" width="11.5703125" style="5"/>
    <col min="6401" max="6401" width="3.7109375" style="5" customWidth="1"/>
    <col min="6402" max="6402" width="10.7109375" style="5" customWidth="1"/>
    <col min="6403" max="6403" width="15.5703125" style="5" customWidth="1"/>
    <col min="6404" max="6404" width="4.42578125" style="5" customWidth="1"/>
    <col min="6405" max="6407" width="9.28515625" style="5" customWidth="1"/>
    <col min="6408" max="6408" width="19.7109375" style="5" customWidth="1"/>
    <col min="6409" max="6409" width="14.7109375" style="5" customWidth="1"/>
    <col min="6410" max="6410" width="19.7109375" style="5" customWidth="1"/>
    <col min="6411" max="6656" width="11.5703125" style="5"/>
    <col min="6657" max="6657" width="3.7109375" style="5" customWidth="1"/>
    <col min="6658" max="6658" width="10.7109375" style="5" customWidth="1"/>
    <col min="6659" max="6659" width="15.5703125" style="5" customWidth="1"/>
    <col min="6660" max="6660" width="4.42578125" style="5" customWidth="1"/>
    <col min="6661" max="6663" width="9.28515625" style="5" customWidth="1"/>
    <col min="6664" max="6664" width="19.7109375" style="5" customWidth="1"/>
    <col min="6665" max="6665" width="14.7109375" style="5" customWidth="1"/>
    <col min="6666" max="6666" width="19.7109375" style="5" customWidth="1"/>
    <col min="6667" max="6912" width="11.5703125" style="5"/>
    <col min="6913" max="6913" width="3.7109375" style="5" customWidth="1"/>
    <col min="6914" max="6914" width="10.7109375" style="5" customWidth="1"/>
    <col min="6915" max="6915" width="15.5703125" style="5" customWidth="1"/>
    <col min="6916" max="6916" width="4.42578125" style="5" customWidth="1"/>
    <col min="6917" max="6919" width="9.28515625" style="5" customWidth="1"/>
    <col min="6920" max="6920" width="19.7109375" style="5" customWidth="1"/>
    <col min="6921" max="6921" width="14.7109375" style="5" customWidth="1"/>
    <col min="6922" max="6922" width="19.7109375" style="5" customWidth="1"/>
    <col min="6923" max="7168" width="11.5703125" style="5"/>
    <col min="7169" max="7169" width="3.7109375" style="5" customWidth="1"/>
    <col min="7170" max="7170" width="10.7109375" style="5" customWidth="1"/>
    <col min="7171" max="7171" width="15.5703125" style="5" customWidth="1"/>
    <col min="7172" max="7172" width="4.42578125" style="5" customWidth="1"/>
    <col min="7173" max="7175" width="9.28515625" style="5" customWidth="1"/>
    <col min="7176" max="7176" width="19.7109375" style="5" customWidth="1"/>
    <col min="7177" max="7177" width="14.7109375" style="5" customWidth="1"/>
    <col min="7178" max="7178" width="19.7109375" style="5" customWidth="1"/>
    <col min="7179" max="7424" width="11.5703125" style="5"/>
    <col min="7425" max="7425" width="3.7109375" style="5" customWidth="1"/>
    <col min="7426" max="7426" width="10.7109375" style="5" customWidth="1"/>
    <col min="7427" max="7427" width="15.5703125" style="5" customWidth="1"/>
    <col min="7428" max="7428" width="4.42578125" style="5" customWidth="1"/>
    <col min="7429" max="7431" width="9.28515625" style="5" customWidth="1"/>
    <col min="7432" max="7432" width="19.7109375" style="5" customWidth="1"/>
    <col min="7433" max="7433" width="14.7109375" style="5" customWidth="1"/>
    <col min="7434" max="7434" width="19.7109375" style="5" customWidth="1"/>
    <col min="7435" max="7680" width="11.5703125" style="5"/>
    <col min="7681" max="7681" width="3.7109375" style="5" customWidth="1"/>
    <col min="7682" max="7682" width="10.7109375" style="5" customWidth="1"/>
    <col min="7683" max="7683" width="15.5703125" style="5" customWidth="1"/>
    <col min="7684" max="7684" width="4.42578125" style="5" customWidth="1"/>
    <col min="7685" max="7687" width="9.28515625" style="5" customWidth="1"/>
    <col min="7688" max="7688" width="19.7109375" style="5" customWidth="1"/>
    <col min="7689" max="7689" width="14.7109375" style="5" customWidth="1"/>
    <col min="7690" max="7690" width="19.7109375" style="5" customWidth="1"/>
    <col min="7691" max="7936" width="11.5703125" style="5"/>
    <col min="7937" max="7937" width="3.7109375" style="5" customWidth="1"/>
    <col min="7938" max="7938" width="10.7109375" style="5" customWidth="1"/>
    <col min="7939" max="7939" width="15.5703125" style="5" customWidth="1"/>
    <col min="7940" max="7940" width="4.42578125" style="5" customWidth="1"/>
    <col min="7941" max="7943" width="9.28515625" style="5" customWidth="1"/>
    <col min="7944" max="7944" width="19.7109375" style="5" customWidth="1"/>
    <col min="7945" max="7945" width="14.7109375" style="5" customWidth="1"/>
    <col min="7946" max="7946" width="19.7109375" style="5" customWidth="1"/>
    <col min="7947" max="8192" width="11.5703125" style="5"/>
    <col min="8193" max="8193" width="3.7109375" style="5" customWidth="1"/>
    <col min="8194" max="8194" width="10.7109375" style="5" customWidth="1"/>
    <col min="8195" max="8195" width="15.5703125" style="5" customWidth="1"/>
    <col min="8196" max="8196" width="4.42578125" style="5" customWidth="1"/>
    <col min="8197" max="8199" width="9.28515625" style="5" customWidth="1"/>
    <col min="8200" max="8200" width="19.7109375" style="5" customWidth="1"/>
    <col min="8201" max="8201" width="14.7109375" style="5" customWidth="1"/>
    <col min="8202" max="8202" width="19.7109375" style="5" customWidth="1"/>
    <col min="8203" max="8448" width="11.5703125" style="5"/>
    <col min="8449" max="8449" width="3.7109375" style="5" customWidth="1"/>
    <col min="8450" max="8450" width="10.7109375" style="5" customWidth="1"/>
    <col min="8451" max="8451" width="15.5703125" style="5" customWidth="1"/>
    <col min="8452" max="8452" width="4.42578125" style="5" customWidth="1"/>
    <col min="8453" max="8455" width="9.28515625" style="5" customWidth="1"/>
    <col min="8456" max="8456" width="19.7109375" style="5" customWidth="1"/>
    <col min="8457" max="8457" width="14.7109375" style="5" customWidth="1"/>
    <col min="8458" max="8458" width="19.7109375" style="5" customWidth="1"/>
    <col min="8459" max="8704" width="11.5703125" style="5"/>
    <col min="8705" max="8705" width="3.7109375" style="5" customWidth="1"/>
    <col min="8706" max="8706" width="10.7109375" style="5" customWidth="1"/>
    <col min="8707" max="8707" width="15.5703125" style="5" customWidth="1"/>
    <col min="8708" max="8708" width="4.42578125" style="5" customWidth="1"/>
    <col min="8709" max="8711" width="9.28515625" style="5" customWidth="1"/>
    <col min="8712" max="8712" width="19.7109375" style="5" customWidth="1"/>
    <col min="8713" max="8713" width="14.7109375" style="5" customWidth="1"/>
    <col min="8714" max="8714" width="19.7109375" style="5" customWidth="1"/>
    <col min="8715" max="8960" width="11.5703125" style="5"/>
    <col min="8961" max="8961" width="3.7109375" style="5" customWidth="1"/>
    <col min="8962" max="8962" width="10.7109375" style="5" customWidth="1"/>
    <col min="8963" max="8963" width="15.5703125" style="5" customWidth="1"/>
    <col min="8964" max="8964" width="4.42578125" style="5" customWidth="1"/>
    <col min="8965" max="8967" width="9.28515625" style="5" customWidth="1"/>
    <col min="8968" max="8968" width="19.7109375" style="5" customWidth="1"/>
    <col min="8969" max="8969" width="14.7109375" style="5" customWidth="1"/>
    <col min="8970" max="8970" width="19.7109375" style="5" customWidth="1"/>
    <col min="8971" max="9216" width="11.5703125" style="5"/>
    <col min="9217" max="9217" width="3.7109375" style="5" customWidth="1"/>
    <col min="9218" max="9218" width="10.7109375" style="5" customWidth="1"/>
    <col min="9219" max="9219" width="15.5703125" style="5" customWidth="1"/>
    <col min="9220" max="9220" width="4.42578125" style="5" customWidth="1"/>
    <col min="9221" max="9223" width="9.28515625" style="5" customWidth="1"/>
    <col min="9224" max="9224" width="19.7109375" style="5" customWidth="1"/>
    <col min="9225" max="9225" width="14.7109375" style="5" customWidth="1"/>
    <col min="9226" max="9226" width="19.7109375" style="5" customWidth="1"/>
    <col min="9227" max="9472" width="11.5703125" style="5"/>
    <col min="9473" max="9473" width="3.7109375" style="5" customWidth="1"/>
    <col min="9474" max="9474" width="10.7109375" style="5" customWidth="1"/>
    <col min="9475" max="9475" width="15.5703125" style="5" customWidth="1"/>
    <col min="9476" max="9476" width="4.42578125" style="5" customWidth="1"/>
    <col min="9477" max="9479" width="9.28515625" style="5" customWidth="1"/>
    <col min="9480" max="9480" width="19.7109375" style="5" customWidth="1"/>
    <col min="9481" max="9481" width="14.7109375" style="5" customWidth="1"/>
    <col min="9482" max="9482" width="19.7109375" style="5" customWidth="1"/>
    <col min="9483" max="9728" width="11.5703125" style="5"/>
    <col min="9729" max="9729" width="3.7109375" style="5" customWidth="1"/>
    <col min="9730" max="9730" width="10.7109375" style="5" customWidth="1"/>
    <col min="9731" max="9731" width="15.5703125" style="5" customWidth="1"/>
    <col min="9732" max="9732" width="4.42578125" style="5" customWidth="1"/>
    <col min="9733" max="9735" width="9.28515625" style="5" customWidth="1"/>
    <col min="9736" max="9736" width="19.7109375" style="5" customWidth="1"/>
    <col min="9737" max="9737" width="14.7109375" style="5" customWidth="1"/>
    <col min="9738" max="9738" width="19.7109375" style="5" customWidth="1"/>
    <col min="9739" max="9984" width="11.5703125" style="5"/>
    <col min="9985" max="9985" width="3.7109375" style="5" customWidth="1"/>
    <col min="9986" max="9986" width="10.7109375" style="5" customWidth="1"/>
    <col min="9987" max="9987" width="15.5703125" style="5" customWidth="1"/>
    <col min="9988" max="9988" width="4.42578125" style="5" customWidth="1"/>
    <col min="9989" max="9991" width="9.28515625" style="5" customWidth="1"/>
    <col min="9992" max="9992" width="19.7109375" style="5" customWidth="1"/>
    <col min="9993" max="9993" width="14.7109375" style="5" customWidth="1"/>
    <col min="9994" max="9994" width="19.7109375" style="5" customWidth="1"/>
    <col min="9995" max="10240" width="11.5703125" style="5"/>
    <col min="10241" max="10241" width="3.7109375" style="5" customWidth="1"/>
    <col min="10242" max="10242" width="10.7109375" style="5" customWidth="1"/>
    <col min="10243" max="10243" width="15.5703125" style="5" customWidth="1"/>
    <col min="10244" max="10244" width="4.42578125" style="5" customWidth="1"/>
    <col min="10245" max="10247" width="9.28515625" style="5" customWidth="1"/>
    <col min="10248" max="10248" width="19.7109375" style="5" customWidth="1"/>
    <col min="10249" max="10249" width="14.7109375" style="5" customWidth="1"/>
    <col min="10250" max="10250" width="19.7109375" style="5" customWidth="1"/>
    <col min="10251" max="10496" width="11.5703125" style="5"/>
    <col min="10497" max="10497" width="3.7109375" style="5" customWidth="1"/>
    <col min="10498" max="10498" width="10.7109375" style="5" customWidth="1"/>
    <col min="10499" max="10499" width="15.5703125" style="5" customWidth="1"/>
    <col min="10500" max="10500" width="4.42578125" style="5" customWidth="1"/>
    <col min="10501" max="10503" width="9.28515625" style="5" customWidth="1"/>
    <col min="10504" max="10504" width="19.7109375" style="5" customWidth="1"/>
    <col min="10505" max="10505" width="14.7109375" style="5" customWidth="1"/>
    <col min="10506" max="10506" width="19.7109375" style="5" customWidth="1"/>
    <col min="10507" max="10752" width="11.5703125" style="5"/>
    <col min="10753" max="10753" width="3.7109375" style="5" customWidth="1"/>
    <col min="10754" max="10754" width="10.7109375" style="5" customWidth="1"/>
    <col min="10755" max="10755" width="15.5703125" style="5" customWidth="1"/>
    <col min="10756" max="10756" width="4.42578125" style="5" customWidth="1"/>
    <col min="10757" max="10759" width="9.28515625" style="5" customWidth="1"/>
    <col min="10760" max="10760" width="19.7109375" style="5" customWidth="1"/>
    <col min="10761" max="10761" width="14.7109375" style="5" customWidth="1"/>
    <col min="10762" max="10762" width="19.7109375" style="5" customWidth="1"/>
    <col min="10763" max="11008" width="11.5703125" style="5"/>
    <col min="11009" max="11009" width="3.7109375" style="5" customWidth="1"/>
    <col min="11010" max="11010" width="10.7109375" style="5" customWidth="1"/>
    <col min="11011" max="11011" width="15.5703125" style="5" customWidth="1"/>
    <col min="11012" max="11012" width="4.42578125" style="5" customWidth="1"/>
    <col min="11013" max="11015" width="9.28515625" style="5" customWidth="1"/>
    <col min="11016" max="11016" width="19.7109375" style="5" customWidth="1"/>
    <col min="11017" max="11017" width="14.7109375" style="5" customWidth="1"/>
    <col min="11018" max="11018" width="19.7109375" style="5" customWidth="1"/>
    <col min="11019" max="11264" width="11.5703125" style="5"/>
    <col min="11265" max="11265" width="3.7109375" style="5" customWidth="1"/>
    <col min="11266" max="11266" width="10.7109375" style="5" customWidth="1"/>
    <col min="11267" max="11267" width="15.5703125" style="5" customWidth="1"/>
    <col min="11268" max="11268" width="4.42578125" style="5" customWidth="1"/>
    <col min="11269" max="11271" width="9.28515625" style="5" customWidth="1"/>
    <col min="11272" max="11272" width="19.7109375" style="5" customWidth="1"/>
    <col min="11273" max="11273" width="14.7109375" style="5" customWidth="1"/>
    <col min="11274" max="11274" width="19.7109375" style="5" customWidth="1"/>
    <col min="11275" max="11520" width="11.5703125" style="5"/>
    <col min="11521" max="11521" width="3.7109375" style="5" customWidth="1"/>
    <col min="11522" max="11522" width="10.7109375" style="5" customWidth="1"/>
    <col min="11523" max="11523" width="15.5703125" style="5" customWidth="1"/>
    <col min="11524" max="11524" width="4.42578125" style="5" customWidth="1"/>
    <col min="11525" max="11527" width="9.28515625" style="5" customWidth="1"/>
    <col min="11528" max="11528" width="19.7109375" style="5" customWidth="1"/>
    <col min="11529" max="11529" width="14.7109375" style="5" customWidth="1"/>
    <col min="11530" max="11530" width="19.7109375" style="5" customWidth="1"/>
    <col min="11531" max="11776" width="11.5703125" style="5"/>
    <col min="11777" max="11777" width="3.7109375" style="5" customWidth="1"/>
    <col min="11778" max="11778" width="10.7109375" style="5" customWidth="1"/>
    <col min="11779" max="11779" width="15.5703125" style="5" customWidth="1"/>
    <col min="11780" max="11780" width="4.42578125" style="5" customWidth="1"/>
    <col min="11781" max="11783" width="9.28515625" style="5" customWidth="1"/>
    <col min="11784" max="11784" width="19.7109375" style="5" customWidth="1"/>
    <col min="11785" max="11785" width="14.7109375" style="5" customWidth="1"/>
    <col min="11786" max="11786" width="19.7109375" style="5" customWidth="1"/>
    <col min="11787" max="12032" width="11.5703125" style="5"/>
    <col min="12033" max="12033" width="3.7109375" style="5" customWidth="1"/>
    <col min="12034" max="12034" width="10.7109375" style="5" customWidth="1"/>
    <col min="12035" max="12035" width="15.5703125" style="5" customWidth="1"/>
    <col min="12036" max="12036" width="4.42578125" style="5" customWidth="1"/>
    <col min="12037" max="12039" width="9.28515625" style="5" customWidth="1"/>
    <col min="12040" max="12040" width="19.7109375" style="5" customWidth="1"/>
    <col min="12041" max="12041" width="14.7109375" style="5" customWidth="1"/>
    <col min="12042" max="12042" width="19.7109375" style="5" customWidth="1"/>
    <col min="12043" max="12288" width="11.5703125" style="5"/>
    <col min="12289" max="12289" width="3.7109375" style="5" customWidth="1"/>
    <col min="12290" max="12290" width="10.7109375" style="5" customWidth="1"/>
    <col min="12291" max="12291" width="15.5703125" style="5" customWidth="1"/>
    <col min="12292" max="12292" width="4.42578125" style="5" customWidth="1"/>
    <col min="12293" max="12295" width="9.28515625" style="5" customWidth="1"/>
    <col min="12296" max="12296" width="19.7109375" style="5" customWidth="1"/>
    <col min="12297" max="12297" width="14.7109375" style="5" customWidth="1"/>
    <col min="12298" max="12298" width="19.7109375" style="5" customWidth="1"/>
    <col min="12299" max="12544" width="11.5703125" style="5"/>
    <col min="12545" max="12545" width="3.7109375" style="5" customWidth="1"/>
    <col min="12546" max="12546" width="10.7109375" style="5" customWidth="1"/>
    <col min="12547" max="12547" width="15.5703125" style="5" customWidth="1"/>
    <col min="12548" max="12548" width="4.42578125" style="5" customWidth="1"/>
    <col min="12549" max="12551" width="9.28515625" style="5" customWidth="1"/>
    <col min="12552" max="12552" width="19.7109375" style="5" customWidth="1"/>
    <col min="12553" max="12553" width="14.7109375" style="5" customWidth="1"/>
    <col min="12554" max="12554" width="19.7109375" style="5" customWidth="1"/>
    <col min="12555" max="12800" width="11.5703125" style="5"/>
    <col min="12801" max="12801" width="3.7109375" style="5" customWidth="1"/>
    <col min="12802" max="12802" width="10.7109375" style="5" customWidth="1"/>
    <col min="12803" max="12803" width="15.5703125" style="5" customWidth="1"/>
    <col min="12804" max="12804" width="4.42578125" style="5" customWidth="1"/>
    <col min="12805" max="12807" width="9.28515625" style="5" customWidth="1"/>
    <col min="12808" max="12808" width="19.7109375" style="5" customWidth="1"/>
    <col min="12809" max="12809" width="14.7109375" style="5" customWidth="1"/>
    <col min="12810" max="12810" width="19.7109375" style="5" customWidth="1"/>
    <col min="12811" max="13056" width="11.5703125" style="5"/>
    <col min="13057" max="13057" width="3.7109375" style="5" customWidth="1"/>
    <col min="13058" max="13058" width="10.7109375" style="5" customWidth="1"/>
    <col min="13059" max="13059" width="15.5703125" style="5" customWidth="1"/>
    <col min="13060" max="13060" width="4.42578125" style="5" customWidth="1"/>
    <col min="13061" max="13063" width="9.28515625" style="5" customWidth="1"/>
    <col min="13064" max="13064" width="19.7109375" style="5" customWidth="1"/>
    <col min="13065" max="13065" width="14.7109375" style="5" customWidth="1"/>
    <col min="13066" max="13066" width="19.7109375" style="5" customWidth="1"/>
    <col min="13067" max="13312" width="11.5703125" style="5"/>
    <col min="13313" max="13313" width="3.7109375" style="5" customWidth="1"/>
    <col min="13314" max="13314" width="10.7109375" style="5" customWidth="1"/>
    <col min="13315" max="13315" width="15.5703125" style="5" customWidth="1"/>
    <col min="13316" max="13316" width="4.42578125" style="5" customWidth="1"/>
    <col min="13317" max="13319" width="9.28515625" style="5" customWidth="1"/>
    <col min="13320" max="13320" width="19.7109375" style="5" customWidth="1"/>
    <col min="13321" max="13321" width="14.7109375" style="5" customWidth="1"/>
    <col min="13322" max="13322" width="19.7109375" style="5" customWidth="1"/>
    <col min="13323" max="13568" width="11.5703125" style="5"/>
    <col min="13569" max="13569" width="3.7109375" style="5" customWidth="1"/>
    <col min="13570" max="13570" width="10.7109375" style="5" customWidth="1"/>
    <col min="13571" max="13571" width="15.5703125" style="5" customWidth="1"/>
    <col min="13572" max="13572" width="4.42578125" style="5" customWidth="1"/>
    <col min="13573" max="13575" width="9.28515625" style="5" customWidth="1"/>
    <col min="13576" max="13576" width="19.7109375" style="5" customWidth="1"/>
    <col min="13577" max="13577" width="14.7109375" style="5" customWidth="1"/>
    <col min="13578" max="13578" width="19.7109375" style="5" customWidth="1"/>
    <col min="13579" max="13824" width="11.5703125" style="5"/>
    <col min="13825" max="13825" width="3.7109375" style="5" customWidth="1"/>
    <col min="13826" max="13826" width="10.7109375" style="5" customWidth="1"/>
    <col min="13827" max="13827" width="15.5703125" style="5" customWidth="1"/>
    <col min="13828" max="13828" width="4.42578125" style="5" customWidth="1"/>
    <col min="13829" max="13831" width="9.28515625" style="5" customWidth="1"/>
    <col min="13832" max="13832" width="19.7109375" style="5" customWidth="1"/>
    <col min="13833" max="13833" width="14.7109375" style="5" customWidth="1"/>
    <col min="13834" max="13834" width="19.7109375" style="5" customWidth="1"/>
    <col min="13835" max="14080" width="11.5703125" style="5"/>
    <col min="14081" max="14081" width="3.7109375" style="5" customWidth="1"/>
    <col min="14082" max="14082" width="10.7109375" style="5" customWidth="1"/>
    <col min="14083" max="14083" width="15.5703125" style="5" customWidth="1"/>
    <col min="14084" max="14084" width="4.42578125" style="5" customWidth="1"/>
    <col min="14085" max="14087" width="9.28515625" style="5" customWidth="1"/>
    <col min="14088" max="14088" width="19.7109375" style="5" customWidth="1"/>
    <col min="14089" max="14089" width="14.7109375" style="5" customWidth="1"/>
    <col min="14090" max="14090" width="19.7109375" style="5" customWidth="1"/>
    <col min="14091" max="14336" width="11.5703125" style="5"/>
    <col min="14337" max="14337" width="3.7109375" style="5" customWidth="1"/>
    <col min="14338" max="14338" width="10.7109375" style="5" customWidth="1"/>
    <col min="14339" max="14339" width="15.5703125" style="5" customWidth="1"/>
    <col min="14340" max="14340" width="4.42578125" style="5" customWidth="1"/>
    <col min="14341" max="14343" width="9.28515625" style="5" customWidth="1"/>
    <col min="14344" max="14344" width="19.7109375" style="5" customWidth="1"/>
    <col min="14345" max="14345" width="14.7109375" style="5" customWidth="1"/>
    <col min="14346" max="14346" width="19.7109375" style="5" customWidth="1"/>
    <col min="14347" max="14592" width="11.5703125" style="5"/>
    <col min="14593" max="14593" width="3.7109375" style="5" customWidth="1"/>
    <col min="14594" max="14594" width="10.7109375" style="5" customWidth="1"/>
    <col min="14595" max="14595" width="15.5703125" style="5" customWidth="1"/>
    <col min="14596" max="14596" width="4.42578125" style="5" customWidth="1"/>
    <col min="14597" max="14599" width="9.28515625" style="5" customWidth="1"/>
    <col min="14600" max="14600" width="19.7109375" style="5" customWidth="1"/>
    <col min="14601" max="14601" width="14.7109375" style="5" customWidth="1"/>
    <col min="14602" max="14602" width="19.7109375" style="5" customWidth="1"/>
    <col min="14603" max="14848" width="11.5703125" style="5"/>
    <col min="14849" max="14849" width="3.7109375" style="5" customWidth="1"/>
    <col min="14850" max="14850" width="10.7109375" style="5" customWidth="1"/>
    <col min="14851" max="14851" width="15.5703125" style="5" customWidth="1"/>
    <col min="14852" max="14852" width="4.42578125" style="5" customWidth="1"/>
    <col min="14853" max="14855" width="9.28515625" style="5" customWidth="1"/>
    <col min="14856" max="14856" width="19.7109375" style="5" customWidth="1"/>
    <col min="14857" max="14857" width="14.7109375" style="5" customWidth="1"/>
    <col min="14858" max="14858" width="19.7109375" style="5" customWidth="1"/>
    <col min="14859" max="15104" width="11.5703125" style="5"/>
    <col min="15105" max="15105" width="3.7109375" style="5" customWidth="1"/>
    <col min="15106" max="15106" width="10.7109375" style="5" customWidth="1"/>
    <col min="15107" max="15107" width="15.5703125" style="5" customWidth="1"/>
    <col min="15108" max="15108" width="4.42578125" style="5" customWidth="1"/>
    <col min="15109" max="15111" width="9.28515625" style="5" customWidth="1"/>
    <col min="15112" max="15112" width="19.7109375" style="5" customWidth="1"/>
    <col min="15113" max="15113" width="14.7109375" style="5" customWidth="1"/>
    <col min="15114" max="15114" width="19.7109375" style="5" customWidth="1"/>
    <col min="15115" max="15360" width="11.5703125" style="5"/>
    <col min="15361" max="15361" width="3.7109375" style="5" customWidth="1"/>
    <col min="15362" max="15362" width="10.7109375" style="5" customWidth="1"/>
    <col min="15363" max="15363" width="15.5703125" style="5" customWidth="1"/>
    <col min="15364" max="15364" width="4.42578125" style="5" customWidth="1"/>
    <col min="15365" max="15367" width="9.28515625" style="5" customWidth="1"/>
    <col min="15368" max="15368" width="19.7109375" style="5" customWidth="1"/>
    <col min="15369" max="15369" width="14.7109375" style="5" customWidth="1"/>
    <col min="15370" max="15370" width="19.7109375" style="5" customWidth="1"/>
    <col min="15371" max="15616" width="11.5703125" style="5"/>
    <col min="15617" max="15617" width="3.7109375" style="5" customWidth="1"/>
    <col min="15618" max="15618" width="10.7109375" style="5" customWidth="1"/>
    <col min="15619" max="15619" width="15.5703125" style="5" customWidth="1"/>
    <col min="15620" max="15620" width="4.42578125" style="5" customWidth="1"/>
    <col min="15621" max="15623" width="9.28515625" style="5" customWidth="1"/>
    <col min="15624" max="15624" width="19.7109375" style="5" customWidth="1"/>
    <col min="15625" max="15625" width="14.7109375" style="5" customWidth="1"/>
    <col min="15626" max="15626" width="19.7109375" style="5" customWidth="1"/>
    <col min="15627" max="15872" width="11.5703125" style="5"/>
    <col min="15873" max="15873" width="3.7109375" style="5" customWidth="1"/>
    <col min="15874" max="15874" width="10.7109375" style="5" customWidth="1"/>
    <col min="15875" max="15875" width="15.5703125" style="5" customWidth="1"/>
    <col min="15876" max="15876" width="4.42578125" style="5" customWidth="1"/>
    <col min="15877" max="15879" width="9.28515625" style="5" customWidth="1"/>
    <col min="15880" max="15880" width="19.7109375" style="5" customWidth="1"/>
    <col min="15881" max="15881" width="14.7109375" style="5" customWidth="1"/>
    <col min="15882" max="15882" width="19.7109375" style="5" customWidth="1"/>
    <col min="15883" max="16128" width="11.5703125" style="5"/>
    <col min="16129" max="16129" width="3.7109375" style="5" customWidth="1"/>
    <col min="16130" max="16130" width="10.7109375" style="5" customWidth="1"/>
    <col min="16131" max="16131" width="15.5703125" style="5" customWidth="1"/>
    <col min="16132" max="16132" width="4.42578125" style="5" customWidth="1"/>
    <col min="16133" max="16135" width="9.28515625" style="5" customWidth="1"/>
    <col min="16136" max="16136" width="19.7109375" style="5" customWidth="1"/>
    <col min="16137" max="16137" width="14.7109375" style="5" customWidth="1"/>
    <col min="16138" max="16138" width="19.7109375" style="5" customWidth="1"/>
    <col min="16139" max="16384" width="11.5703125" style="5"/>
  </cols>
  <sheetData>
    <row r="1" spans="1:10" ht="25.5" customHeight="1" x14ac:dyDescent="0.2">
      <c r="A1" s="419" t="s">
        <v>1161</v>
      </c>
      <c r="B1" s="419"/>
      <c r="C1" s="419"/>
      <c r="D1" s="381" t="s">
        <v>1181</v>
      </c>
      <c r="E1" s="381"/>
      <c r="F1" s="381"/>
      <c r="G1" s="381"/>
      <c r="H1" s="381"/>
      <c r="I1" s="381"/>
    </row>
    <row r="2" spans="1:10" x14ac:dyDescent="0.2">
      <c r="A2" s="34"/>
      <c r="B2" s="34"/>
      <c r="C2" s="34"/>
      <c r="D2" s="33"/>
      <c r="E2" s="33"/>
      <c r="F2" s="33"/>
      <c r="G2" s="33"/>
      <c r="H2" s="33"/>
      <c r="I2" s="33"/>
    </row>
    <row r="3" spans="1:10" x14ac:dyDescent="0.2">
      <c r="A3" s="382" t="s">
        <v>1433</v>
      </c>
      <c r="B3" s="382"/>
      <c r="C3" s="382"/>
      <c r="D3" s="382"/>
      <c r="E3" s="382"/>
      <c r="F3" s="382"/>
      <c r="G3" s="382"/>
      <c r="H3" s="382"/>
      <c r="I3" s="382"/>
    </row>
    <row r="4" spans="1:10" x14ac:dyDescent="0.2">
      <c r="A4" s="420" t="s">
        <v>52</v>
      </c>
      <c r="B4" s="420"/>
      <c r="C4" s="420"/>
      <c r="D4" s="420"/>
      <c r="E4" s="420"/>
      <c r="F4" s="420"/>
      <c r="G4" s="420"/>
      <c r="H4" s="420"/>
      <c r="I4" s="420"/>
    </row>
    <row r="5" spans="1:10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0" ht="84.75" customHeight="1" x14ac:dyDescent="0.2">
      <c r="A6" s="386" t="s">
        <v>51</v>
      </c>
      <c r="B6" s="386"/>
      <c r="C6" s="384" t="s">
        <v>1164</v>
      </c>
      <c r="D6" s="384"/>
      <c r="E6" s="384"/>
      <c r="F6" s="384"/>
      <c r="G6" s="384"/>
      <c r="H6" s="384"/>
      <c r="I6" s="384"/>
    </row>
    <row r="7" spans="1:10" ht="12.75" customHeight="1" x14ac:dyDescent="0.2">
      <c r="C7" s="31"/>
      <c r="J7" s="6"/>
    </row>
    <row r="8" spans="1:10" ht="12.75" customHeight="1" x14ac:dyDescent="0.2">
      <c r="A8" s="384" t="s">
        <v>1182</v>
      </c>
      <c r="B8" s="384"/>
      <c r="C8" s="384"/>
      <c r="D8" s="384"/>
      <c r="E8" s="384"/>
      <c r="F8" s="384"/>
      <c r="G8" s="384"/>
      <c r="H8" s="384"/>
      <c r="I8" s="384"/>
      <c r="J8" s="29"/>
    </row>
    <row r="9" spans="1:10" ht="12.75" customHeight="1" x14ac:dyDescent="0.2">
      <c r="J9" s="6"/>
    </row>
    <row r="10" spans="1:10" ht="12.75" customHeight="1" x14ac:dyDescent="0.2">
      <c r="A10" s="418" t="s">
        <v>3</v>
      </c>
      <c r="B10" s="418"/>
      <c r="C10" s="418"/>
      <c r="D10" s="384"/>
      <c r="E10" s="384"/>
      <c r="F10" s="384"/>
      <c r="G10" s="384"/>
      <c r="H10" s="384"/>
      <c r="I10" s="384"/>
      <c r="J10" s="29"/>
    </row>
    <row r="11" spans="1:10" ht="12.75" customHeight="1" x14ac:dyDescent="0.2">
      <c r="J11" s="6"/>
    </row>
    <row r="12" spans="1:10" ht="12.75" customHeight="1" x14ac:dyDescent="0.2">
      <c r="A12" s="418" t="s">
        <v>4</v>
      </c>
      <c r="B12" s="418"/>
      <c r="C12" s="418"/>
      <c r="D12" s="384"/>
      <c r="E12" s="384"/>
      <c r="F12" s="384"/>
      <c r="G12" s="384"/>
      <c r="H12" s="384"/>
      <c r="I12" s="384"/>
      <c r="J12" s="29"/>
    </row>
    <row r="13" spans="1:10" ht="12.75" customHeight="1" x14ac:dyDescent="0.2">
      <c r="A13" s="29"/>
      <c r="B13" s="29"/>
      <c r="C13" s="29"/>
      <c r="D13" s="29"/>
      <c r="E13" s="29"/>
      <c r="J13" s="6"/>
    </row>
    <row r="14" spans="1:10" ht="12.75" customHeight="1" x14ac:dyDescent="0.2">
      <c r="A14" s="418" t="s">
        <v>1183</v>
      </c>
      <c r="B14" s="418"/>
      <c r="C14" s="418"/>
      <c r="D14" s="418"/>
      <c r="E14" s="418"/>
      <c r="F14" s="418"/>
      <c r="G14" s="418"/>
      <c r="H14" s="418"/>
      <c r="I14" s="418"/>
      <c r="J14" s="30"/>
    </row>
    <row r="15" spans="1:10" ht="12.75" customHeight="1" x14ac:dyDescent="0.2">
      <c r="A15" s="29"/>
      <c r="B15" s="28"/>
      <c r="C15" s="28"/>
      <c r="D15" s="28"/>
      <c r="E15" s="28"/>
      <c r="J15" s="6"/>
    </row>
    <row r="16" spans="1:10" ht="100.5" customHeight="1" x14ac:dyDescent="0.2">
      <c r="A16" s="27" t="s">
        <v>49</v>
      </c>
      <c r="B16" s="407" t="s">
        <v>48</v>
      </c>
      <c r="C16" s="408"/>
      <c r="D16" s="407" t="s">
        <v>1184</v>
      </c>
      <c r="E16" s="409"/>
      <c r="F16" s="409"/>
      <c r="G16" s="408"/>
      <c r="H16" s="27" t="s">
        <v>46</v>
      </c>
      <c r="I16" s="27" t="s">
        <v>1185</v>
      </c>
    </row>
    <row r="17" spans="1:10" x14ac:dyDescent="0.2">
      <c r="A17" s="26" t="s">
        <v>10</v>
      </c>
      <c r="B17" s="410">
        <v>2</v>
      </c>
      <c r="C17" s="411"/>
      <c r="D17" s="410">
        <v>3</v>
      </c>
      <c r="E17" s="412"/>
      <c r="F17" s="412"/>
      <c r="G17" s="411"/>
      <c r="H17" s="25">
        <v>4</v>
      </c>
      <c r="I17" s="25">
        <v>5</v>
      </c>
      <c r="J17" s="5" t="s">
        <v>1325</v>
      </c>
    </row>
    <row r="18" spans="1:10" ht="145.35" customHeight="1" x14ac:dyDescent="0.2">
      <c r="A18" s="24" t="s">
        <v>10</v>
      </c>
      <c r="B18" s="413" t="s">
        <v>1420</v>
      </c>
      <c r="C18" s="414"/>
      <c r="D18" s="415" t="s">
        <v>1398</v>
      </c>
      <c r="E18" s="416"/>
      <c r="F18" s="416"/>
      <c r="G18" s="417"/>
      <c r="H18" s="23" t="s">
        <v>1399</v>
      </c>
      <c r="I18" s="160">
        <f>ROUND((0  + 0.3838  * 0.225) * 5 * 4.3,3)</f>
        <v>1.857</v>
      </c>
    </row>
    <row r="19" spans="1:10" ht="15.75" customHeight="1" x14ac:dyDescent="0.2">
      <c r="A19" s="161" t="s">
        <v>39</v>
      </c>
      <c r="B19" s="398" t="s">
        <v>45</v>
      </c>
      <c r="C19" s="399"/>
      <c r="D19" s="398"/>
      <c r="E19" s="400"/>
      <c r="F19" s="400"/>
      <c r="G19" s="399"/>
      <c r="H19" s="162"/>
      <c r="I19" s="163"/>
    </row>
    <row r="20" spans="1:10" ht="51" customHeight="1" x14ac:dyDescent="0.2">
      <c r="A20" s="175" t="s">
        <v>39</v>
      </c>
      <c r="B20" s="401" t="s">
        <v>1186</v>
      </c>
      <c r="C20" s="402"/>
      <c r="D20" s="401" t="s">
        <v>1187</v>
      </c>
      <c r="E20" s="403"/>
      <c r="F20" s="403"/>
      <c r="G20" s="402"/>
      <c r="H20" s="176"/>
      <c r="I20" s="177"/>
    </row>
    <row r="21" spans="1:10" ht="12.75" customHeight="1" x14ac:dyDescent="0.2">
      <c r="A21" s="51" t="s">
        <v>11</v>
      </c>
      <c r="B21" s="404" t="s">
        <v>43</v>
      </c>
      <c r="C21" s="405"/>
      <c r="D21" s="404"/>
      <c r="E21" s="406"/>
      <c r="F21" s="406"/>
      <c r="G21" s="405"/>
      <c r="H21" s="170"/>
      <c r="I21" s="171">
        <f>ROUND(($I$18),3)</f>
        <v>1.857</v>
      </c>
    </row>
    <row r="22" spans="1:10" ht="51" customHeight="1" x14ac:dyDescent="0.2">
      <c r="A22" s="11" t="s">
        <v>13</v>
      </c>
      <c r="B22" s="392" t="s">
        <v>1177</v>
      </c>
      <c r="C22" s="393"/>
      <c r="D22" s="392" t="s">
        <v>1064</v>
      </c>
      <c r="E22" s="394"/>
      <c r="F22" s="394"/>
      <c r="G22" s="393"/>
      <c r="H22" s="13" t="s">
        <v>1188</v>
      </c>
      <c r="I22" s="174">
        <f>ROUND(($I$21) * 5.96 * 1,3)</f>
        <v>11.068</v>
      </c>
    </row>
    <row r="23" spans="1:10" ht="12.75" customHeight="1" x14ac:dyDescent="0.2">
      <c r="A23" s="11" t="s">
        <v>15</v>
      </c>
      <c r="B23" s="395" t="s">
        <v>42</v>
      </c>
      <c r="C23" s="396"/>
      <c r="D23" s="395"/>
      <c r="E23" s="397"/>
      <c r="F23" s="397"/>
      <c r="G23" s="396"/>
      <c r="H23" s="10"/>
      <c r="I23" s="172">
        <f>ROUND(($I$22),3)</f>
        <v>11.068</v>
      </c>
    </row>
    <row r="24" spans="1:10" ht="12.75" customHeight="1" x14ac:dyDescent="0.2"/>
    <row r="25" spans="1:10" s="8" customFormat="1" ht="24.95" customHeight="1" x14ac:dyDescent="0.2">
      <c r="A25" s="384" t="s">
        <v>725</v>
      </c>
      <c r="B25" s="384"/>
      <c r="C25" s="384"/>
      <c r="D25" s="384"/>
      <c r="E25" s="384"/>
      <c r="F25" s="384"/>
      <c r="G25" s="384"/>
      <c r="H25" s="384"/>
      <c r="I25" s="384"/>
    </row>
    <row r="26" spans="1:10" ht="12.75" customHeight="1" x14ac:dyDescent="0.2">
      <c r="D26" s="7"/>
    </row>
    <row r="27" spans="1:10" x14ac:dyDescent="0.2">
      <c r="A27" s="391" t="s">
        <v>0</v>
      </c>
      <c r="B27" s="391"/>
      <c r="C27" s="391"/>
      <c r="D27" s="391"/>
      <c r="E27" s="391"/>
      <c r="F27" s="391"/>
      <c r="G27" s="391"/>
      <c r="H27" s="391"/>
      <c r="I27" s="391"/>
    </row>
    <row r="28" spans="1:10" x14ac:dyDescent="0.2">
      <c r="A28" s="391"/>
      <c r="B28" s="391"/>
      <c r="C28" s="391"/>
      <c r="D28" s="391"/>
      <c r="E28" s="391"/>
      <c r="F28" s="391"/>
      <c r="G28" s="391"/>
      <c r="H28" s="391"/>
      <c r="I28" s="391"/>
    </row>
    <row r="29" spans="1:10" x14ac:dyDescent="0.2">
      <c r="D29" s="389" t="s">
        <v>2</v>
      </c>
      <c r="E29" s="390"/>
      <c r="F29" s="390"/>
      <c r="G29" s="390"/>
      <c r="H29" s="390"/>
      <c r="I29" s="390"/>
    </row>
    <row r="31" spans="1:10" x14ac:dyDescent="0.2">
      <c r="A31" s="391" t="s">
        <v>1</v>
      </c>
      <c r="B31" s="391"/>
      <c r="C31" s="391"/>
      <c r="D31" s="391"/>
      <c r="E31" s="391"/>
      <c r="F31" s="391"/>
      <c r="G31" s="391"/>
      <c r="H31" s="391"/>
      <c r="I31" s="391"/>
    </row>
    <row r="32" spans="1:10" x14ac:dyDescent="0.2">
      <c r="A32" s="391"/>
      <c r="B32" s="391"/>
      <c r="C32" s="391"/>
      <c r="D32" s="391"/>
      <c r="E32" s="391"/>
      <c r="F32" s="391"/>
      <c r="G32" s="391"/>
      <c r="H32" s="391"/>
      <c r="I32" s="391"/>
    </row>
    <row r="33" spans="1:9" x14ac:dyDescent="0.2">
      <c r="D33" s="389" t="s">
        <v>2</v>
      </c>
      <c r="E33" s="390"/>
      <c r="F33" s="390"/>
      <c r="G33" s="390"/>
      <c r="H33" s="390"/>
      <c r="I33" s="390"/>
    </row>
    <row r="35" spans="1:9" x14ac:dyDescent="0.2">
      <c r="A35" s="391" t="s">
        <v>5</v>
      </c>
      <c r="B35" s="391"/>
      <c r="C35" s="391"/>
      <c r="D35" s="391"/>
      <c r="E35" s="391"/>
      <c r="F35" s="391"/>
      <c r="G35" s="6" t="s">
        <v>7</v>
      </c>
      <c r="H35" s="391"/>
      <c r="I35" s="391"/>
    </row>
    <row r="36" spans="1:9" x14ac:dyDescent="0.2">
      <c r="D36" s="389" t="s">
        <v>40</v>
      </c>
      <c r="E36" s="390"/>
      <c r="F36" s="390"/>
      <c r="H36" s="389" t="s">
        <v>2</v>
      </c>
      <c r="I36" s="390"/>
    </row>
    <row r="38" spans="1:9" x14ac:dyDescent="0.2">
      <c r="A38" s="391" t="s">
        <v>3</v>
      </c>
      <c r="B38" s="391"/>
      <c r="C38" s="391"/>
      <c r="D38" s="391"/>
      <c r="E38" s="391"/>
      <c r="F38" s="391"/>
      <c r="G38" s="391"/>
      <c r="H38" s="391"/>
      <c r="I38" s="391"/>
    </row>
    <row r="39" spans="1:9" x14ac:dyDescent="0.2">
      <c r="D39" s="389" t="s">
        <v>6</v>
      </c>
      <c r="E39" s="390"/>
      <c r="F39" s="390"/>
      <c r="G39" s="390"/>
      <c r="H39" s="390"/>
      <c r="I39" s="390"/>
    </row>
  </sheetData>
  <mergeCells count="44">
    <mergeCell ref="A14:I14"/>
    <mergeCell ref="A1:C1"/>
    <mergeCell ref="D1:I1"/>
    <mergeCell ref="A3:I3"/>
    <mergeCell ref="A4:I4"/>
    <mergeCell ref="A6:B6"/>
    <mergeCell ref="C6:I6"/>
    <mergeCell ref="A8:I8"/>
    <mergeCell ref="A10:C10"/>
    <mergeCell ref="D10:I10"/>
    <mergeCell ref="A12:C12"/>
    <mergeCell ref="D12:I12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D33:I33"/>
    <mergeCell ref="B22:C22"/>
    <mergeCell ref="D22:G22"/>
    <mergeCell ref="B23:C23"/>
    <mergeCell ref="D23:G23"/>
    <mergeCell ref="A25:C25"/>
    <mergeCell ref="D25:I25"/>
    <mergeCell ref="A27:C28"/>
    <mergeCell ref="D27:I28"/>
    <mergeCell ref="D29:I29"/>
    <mergeCell ref="A31:C32"/>
    <mergeCell ref="D31:I32"/>
    <mergeCell ref="D39:I39"/>
    <mergeCell ref="A35:C35"/>
    <mergeCell ref="D35:F35"/>
    <mergeCell ref="H35:I35"/>
    <mergeCell ref="D36:F36"/>
    <mergeCell ref="H36:I36"/>
    <mergeCell ref="A38:C38"/>
    <mergeCell ref="D38:I38"/>
  </mergeCells>
  <pageMargins left="0.39370078740157477" right="0.39370078740157477" top="0.74803149606299213" bottom="0.74803149606299213" header="0.31496062992125984" footer="0.31496062992125984"/>
  <pageSetup paperSize="9" orientation="portrait" useFirstPageNumber="1" horizontalDpi="300" verticalDpi="300" r:id="rId1"/>
  <headerFooter alignWithMargins="0"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43</vt:i4>
      </vt:variant>
    </vt:vector>
  </HeadingPairs>
  <TitlesOfParts>
    <vt:vector size="83" baseType="lpstr">
      <vt:lpstr>Сводная смета</vt:lpstr>
      <vt:lpstr>№1 ИГДИ (2)</vt:lpstr>
      <vt:lpstr>№2 ИГДИ_доп (2)</vt:lpstr>
      <vt:lpstr>№3_ИГИ (2)</vt:lpstr>
      <vt:lpstr>№4 ИГМИ (2)</vt:lpstr>
      <vt:lpstr>№5_ИЭИ</vt:lpstr>
      <vt:lpstr>Разъяснение ГГЭ</vt:lpstr>
      <vt:lpstr>№6_Обс</vt:lpstr>
      <vt:lpstr>№7_Обс ост</vt:lpstr>
      <vt:lpstr>№8_Обс КС</vt:lpstr>
      <vt:lpstr>№1П_Участок_тра</vt:lpstr>
      <vt:lpstr>№2П_Контактная_</vt:lpstr>
      <vt:lpstr>№3П_Электроснаб</vt:lpstr>
      <vt:lpstr>№4П_Наружное_ос</vt:lpstr>
      <vt:lpstr>№5П_Водоотведен</vt:lpstr>
      <vt:lpstr>№6П_Защитные_ме</vt:lpstr>
      <vt:lpstr>№7П_Система_упр</vt:lpstr>
      <vt:lpstr>№8П_Внешние_кан</vt:lpstr>
      <vt:lpstr>№9П_Автоматизац</vt:lpstr>
      <vt:lpstr>№_10П_Остановоч</vt:lpstr>
      <vt:lpstr>№11П_Проектная_ (2)</vt:lpstr>
      <vt:lpstr>№12П_Проектная_ (3)</vt:lpstr>
      <vt:lpstr>№13П_Временное_</vt:lpstr>
      <vt:lpstr>№14П_Демонтаж</vt:lpstr>
      <vt:lpstr>№1Р_Участок_тра </vt:lpstr>
      <vt:lpstr>№2Р_Контактная_ </vt:lpstr>
      <vt:lpstr>№3Р_Электроснаб </vt:lpstr>
      <vt:lpstr>№4Р_Наружное_ос </vt:lpstr>
      <vt:lpstr>№5Р_Водоотведен</vt:lpstr>
      <vt:lpstr>№6Р_Защитные_ме </vt:lpstr>
      <vt:lpstr>№7Р_Система_упр </vt:lpstr>
      <vt:lpstr>№8Р_Внешние_кан </vt:lpstr>
      <vt:lpstr>№9Р_Автоматизац </vt:lpstr>
      <vt:lpstr>№_10Р_Остановоч </vt:lpstr>
      <vt:lpstr>№11Р_Рабочая_до</vt:lpstr>
      <vt:lpstr>№12Р</vt:lpstr>
      <vt:lpstr>№13Р_Временное_</vt:lpstr>
      <vt:lpstr>№14П_Демонтаж (2)</vt:lpstr>
      <vt:lpstr>№2И__Инженерно-</vt:lpstr>
      <vt:lpstr>№4И_Инженерно-э</vt:lpstr>
      <vt:lpstr>'№11П_Проектная_ (2)'!Заголовки_для_печати</vt:lpstr>
      <vt:lpstr>№11Р_Рабочая_до!Заголовки_для_печати</vt:lpstr>
      <vt:lpstr>'№12П_Проектная_ (3)'!Заголовки_для_печати</vt:lpstr>
      <vt:lpstr>№12Р!Заголовки_для_печати</vt:lpstr>
      <vt:lpstr>'№2И__Инженерно-'!Заголовки_для_печати</vt:lpstr>
      <vt:lpstr>'№3_ИГИ (2)'!Заголовки_для_печати</vt:lpstr>
      <vt:lpstr>'№4 ИГМИ (2)'!Заголовки_для_печати</vt:lpstr>
      <vt:lpstr>'№4И_Инженерно-э'!Заголовки_для_печати</vt:lpstr>
      <vt:lpstr>№6_Обс!Заголовки_для_печати</vt:lpstr>
      <vt:lpstr>№_10П_Остановоч!Область_печати</vt:lpstr>
      <vt:lpstr>'№_10Р_Остановоч '!Область_печати</vt:lpstr>
      <vt:lpstr>'№1 ИГДИ (2)'!Область_печати</vt:lpstr>
      <vt:lpstr>№11Р_Рабочая_до!Область_печати</vt:lpstr>
      <vt:lpstr>№12Р!Область_печати</vt:lpstr>
      <vt:lpstr>№13П_Временное_!Область_печати</vt:lpstr>
      <vt:lpstr>№13Р_Временное_!Область_печати</vt:lpstr>
      <vt:lpstr>№14П_Демонтаж!Область_печати</vt:lpstr>
      <vt:lpstr>'№14П_Демонтаж (2)'!Область_печати</vt:lpstr>
      <vt:lpstr>№1П_Участок_тра!Область_печати</vt:lpstr>
      <vt:lpstr>'№1Р_Участок_тра '!Область_печати</vt:lpstr>
      <vt:lpstr>'№2 ИГДИ_доп (2)'!Область_печати</vt:lpstr>
      <vt:lpstr>№2П_Контактная_!Область_печати</vt:lpstr>
      <vt:lpstr>'№2Р_Контактная_ '!Область_печати</vt:lpstr>
      <vt:lpstr>№3П_Электроснаб!Область_печати</vt:lpstr>
      <vt:lpstr>'№3Р_Электроснаб '!Область_печати</vt:lpstr>
      <vt:lpstr>'№4 ИГМИ (2)'!Область_печати</vt:lpstr>
      <vt:lpstr>№4П_Наружное_ос!Область_печати</vt:lpstr>
      <vt:lpstr>'№4Р_Наружное_ос '!Область_печати</vt:lpstr>
      <vt:lpstr>№5_ИЭИ!Область_печати</vt:lpstr>
      <vt:lpstr>№5П_Водоотведен!Область_печати</vt:lpstr>
      <vt:lpstr>№5Р_Водоотведен!Область_печати</vt:lpstr>
      <vt:lpstr>№6_Обс!Область_печати</vt:lpstr>
      <vt:lpstr>№6П_Защитные_ме!Область_печати</vt:lpstr>
      <vt:lpstr>'№6Р_Защитные_ме '!Область_печати</vt:lpstr>
      <vt:lpstr>'№7_Обс ост'!Область_печати</vt:lpstr>
      <vt:lpstr>№7П_Система_упр!Область_печати</vt:lpstr>
      <vt:lpstr>'№7Р_Система_упр '!Область_печати</vt:lpstr>
      <vt:lpstr>'№8_Обс КС'!Область_печати</vt:lpstr>
      <vt:lpstr>№8П_Внешние_кан!Область_печати</vt:lpstr>
      <vt:lpstr>'№8Р_Внешние_кан '!Область_печати</vt:lpstr>
      <vt:lpstr>№9П_Автоматизац!Область_печати</vt:lpstr>
      <vt:lpstr>'№9Р_Автоматизац '!Область_печати</vt:lpstr>
      <vt:lpstr>'Сводная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2024-09-06T08:26:41Z</cp:lastPrinted>
  <dcterms:created xsi:type="dcterms:W3CDTF">2009-11-09T11:09:42Z</dcterms:created>
  <dcterms:modified xsi:type="dcterms:W3CDTF">2024-09-06T09:52:47Z</dcterms:modified>
</cp:coreProperties>
</file>