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ЭтаКнига"/>
  <mc:AlternateContent xmlns:mc="http://schemas.openxmlformats.org/markup-compatibility/2006">
    <mc:Choice Requires="x15">
      <x15ac:absPath xmlns:x15ac="http://schemas.microsoft.com/office/spreadsheetml/2010/11/ac" url="\\edso-fs\redirect$\e.makeyeva\Desktop\Ярославль\6 этап\МГЭ\"/>
    </mc:Choice>
  </mc:AlternateContent>
  <xr:revisionPtr revIDLastSave="0" documentId="13_ncr:1_{FC7D6AEC-196B-40A1-A0B0-8A2F9FF08103}" xr6:coauthVersionLast="47" xr6:coauthVersionMax="47" xr10:uidLastSave="{00000000-0000-0000-0000-000000000000}"/>
  <bookViews>
    <workbookView xWindow="-120" yWindow="-120" windowWidth="29040" windowHeight="15840" tabRatio="904" xr2:uid="{00000000-000D-0000-FFFF-FFFF00000000}"/>
  </bookViews>
  <sheets>
    <sheet name="Сводная смета" sheetId="1" r:id="rId1"/>
    <sheet name="1.1 ИГДИ" sheetId="2" r:id="rId2"/>
    <sheet name="1.2 ИГДИ" sheetId="24" r:id="rId3"/>
    <sheet name="2. ИГИ" sheetId="15" r:id="rId4"/>
    <sheet name="3. ИЭИ" sheetId="5" r:id="rId5"/>
    <sheet name="4. ИГМИ" sheetId="6" r:id="rId6"/>
    <sheet name="5" sheetId="37" r:id="rId7"/>
    <sheet name="Индексы-дефляторы" sheetId="3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mm1" localSheetId="7">[1]ПРОГНОЗ_1!#REF!</definedName>
    <definedName name="__mm1">[1]ПРОГНОЗ_1!#REF!</definedName>
    <definedName name="__xlfn.BAHTTEXT" hidden="1">#NAME?</definedName>
    <definedName name="_def1999" localSheetId="7">[2]vec!#REF!</definedName>
    <definedName name="_def1999">[2]vec!#REF!</definedName>
    <definedName name="_def2000г" localSheetId="7">#REF!</definedName>
    <definedName name="_def2000г">#REF!</definedName>
    <definedName name="_def2001г" localSheetId="7">#REF!</definedName>
    <definedName name="_def2001г">#REF!</definedName>
    <definedName name="_def2002г" localSheetId="7">#REF!</definedName>
    <definedName name="_def2002г">#REF!</definedName>
    <definedName name="_inf1" localSheetId="7">#REF!</definedName>
    <definedName name="_inf1">#REF!</definedName>
    <definedName name="_inf2000" localSheetId="7">#REF!</definedName>
    <definedName name="_inf2000">#REF!</definedName>
    <definedName name="_inf2001" localSheetId="7">#REF!</definedName>
    <definedName name="_inf2001">#REF!</definedName>
    <definedName name="_inf2002" localSheetId="7">#REF!</definedName>
    <definedName name="_inf2002">#REF!</definedName>
    <definedName name="_inf2003" localSheetId="7">#REF!</definedName>
    <definedName name="_inf2003">#REF!</definedName>
    <definedName name="_inf2004" localSheetId="7">#REF!</definedName>
    <definedName name="_inf2004">#REF!</definedName>
    <definedName name="_inf2005" localSheetId="7">#REF!</definedName>
    <definedName name="_inf2005">#REF!</definedName>
    <definedName name="_inf2006" localSheetId="7">#REF!</definedName>
    <definedName name="_inf2006">#REF!</definedName>
    <definedName name="_inf2007" localSheetId="7">#REF!</definedName>
    <definedName name="_inf2007">#REF!</definedName>
    <definedName name="_inf2008" localSheetId="7">#REF!</definedName>
    <definedName name="_inf2008">#REF!</definedName>
    <definedName name="_inf2009" localSheetId="7">#REF!</definedName>
    <definedName name="_inf2009">#REF!</definedName>
    <definedName name="_inf2010" localSheetId="7">#REF!</definedName>
    <definedName name="_inf2010">#REF!</definedName>
    <definedName name="_inf2011" localSheetId="7">#REF!</definedName>
    <definedName name="_inf2011">#REF!</definedName>
    <definedName name="_inf2012" localSheetId="7">#REF!</definedName>
    <definedName name="_inf2012">#REF!</definedName>
    <definedName name="_inf2013" localSheetId="7">#REF!</definedName>
    <definedName name="_inf2013">#REF!</definedName>
    <definedName name="_inf2014" localSheetId="7">#REF!</definedName>
    <definedName name="_inf2014">#REF!</definedName>
    <definedName name="_inf2015" localSheetId="7">#REF!</definedName>
    <definedName name="_inf2015">#REF!</definedName>
    <definedName name="_infl.99" localSheetId="7">[2]vec!#REF!</definedName>
    <definedName name="_infl.99">[2]vec!#REF!</definedName>
    <definedName name="_mm1" localSheetId="7">[1]ПРОГНОЗ_1!#REF!</definedName>
    <definedName name="_mm1">[1]ПРОГНОЗ_1!#REF!</definedName>
    <definedName name="_xlnm._FilterDatabase" localSheetId="7" hidden="1">'Индексы-дефляторы'!$A$3:$A$161</definedName>
    <definedName name="a04t" localSheetId="7">#REF!</definedName>
    <definedName name="a04t">#REF!</definedName>
    <definedName name="AxisNameforSA">[3]Final_m!$I$1919</definedName>
    <definedName name="btn">[1]ПРОГНОЗ_1!#REF!</definedName>
    <definedName name="cghksrydtylkfyi">[4]!cghksrydtylkfyi</definedName>
    <definedName name="Chapter1Q">#REF!</definedName>
    <definedName name="Chapter1Y">#REF!</definedName>
    <definedName name="Chapter2Q">#REF!</definedName>
    <definedName name="Chapter2Y">#REF!</definedName>
    <definedName name="Chapter3Q">#REF!</definedName>
    <definedName name="Chapter3Y">#REF!</definedName>
    <definedName name="Chapter4Q">#REF!</definedName>
    <definedName name="Chapter4Y">#REF!</definedName>
    <definedName name="Chaptre2">#REF!</definedName>
    <definedName name="ClearTableDiagQ">#REF!</definedName>
    <definedName name="ClearTableDiagY">#REF!</definedName>
    <definedName name="ColLastYearFB">[5]ФедД!$AH$17</definedName>
    <definedName name="ColLastYearFB1">[6]Управление!$AF$17</definedName>
    <definedName name="ColThisYearFB">[5]ФедД!$AG$17</definedName>
    <definedName name="ControlTable">#REF!</definedName>
    <definedName name="ddd" localSheetId="7">[1]ПРОГНОЗ_1!#REF!</definedName>
    <definedName name="ddd">[1]ПРОГНОЗ_1!#REF!</definedName>
    <definedName name="ddda">[4]!ddda</definedName>
    <definedName name="Denotes">#REF!</definedName>
    <definedName name="DOLL" localSheetId="7">#REF!</definedName>
    <definedName name="DOLL">#REF!</definedName>
    <definedName name="dsdfsdf">[7]Переменные!$B$1</definedName>
    <definedName name="dsfsdfsd">'[8]Текущие цены'!#REF!</definedName>
    <definedName name="ewefwefewf">'[9]Гр5(о)'!#REF!</definedName>
    <definedName name="ewyreayaeyearyaeu">[4]!ewyreayaeyearyaeu</definedName>
    <definedName name="Excel_BuiltIn_Print_Area_1" localSheetId="7">#REF!</definedName>
    <definedName name="Excel_BuiltIn_Print_Area_1">"$#ССЫЛ!.$A$1:$K$64"</definedName>
    <definedName name="Excel_BuiltIn_Print_Area_1_1">"$#ССЫЛ!.$A$5:$K$52"</definedName>
    <definedName name="Excel_BuiltIn_Print_Area_4" localSheetId="7">#REF!</definedName>
    <definedName name="Excel_BuiltIn_Print_Area_4">#REF!</definedName>
    <definedName name="Excel_BuiltIn_Print_Area_5" localSheetId="7">#REF!</definedName>
    <definedName name="Excel_BuiltIn_Print_Area_5">#REF!</definedName>
    <definedName name="fdffdfsd">#REF!</definedName>
    <definedName name="ff" localSheetId="7">#REF!</definedName>
    <definedName name="ff">#REF!</definedName>
    <definedName name="fffff" localSheetId="7">'[9]Гр5(о)'!#REF!</definedName>
    <definedName name="fffff">'[9]Гр5(о)'!#REF!</definedName>
    <definedName name="FFpoint">#REF!</definedName>
    <definedName name="FileName">#REF!</definedName>
    <definedName name="fldAxisNameforSA">#REF!</definedName>
    <definedName name="fldChartDate">[3]Charts!$P$17</definedName>
    <definedName name="fldComplexYoY">#REF!</definedName>
    <definedName name="fldElectricity">#REF!</definedName>
    <definedName name="fldLabelMonth">[10]Переменные!$B$1</definedName>
    <definedName name="fldLabelQuarter">[10]Переменные!$B$2</definedName>
    <definedName name="fldLabelQuarter2">[11]Переменные!$B$12</definedName>
    <definedName name="fldLabelYear">[10]Переменные!$B$3</definedName>
    <definedName name="fldВидыДЕятельностиYoY">#REF!</definedName>
    <definedName name="fldВкладыВКомплексы">#REF!</definedName>
    <definedName name="fldГГЗаПоследниеЭнМесяцев">#REF!</definedName>
    <definedName name="fldГГЗаПоследниеЭнМесяцевУКомплексов">#REF!</definedName>
    <definedName name="fldГрафикиБазовыеСаКомпонентКомплексов">#REF!</definedName>
    <definedName name="fldГрафикиГГиБазовыйСаКомплексов">#REF!</definedName>
    <definedName name="fldГрафикиКомплексовБэйзСА">#REF!</definedName>
    <definedName name="fldГрафикиКомплексовГГ">#REF!</definedName>
    <definedName name="fldРангВкладаКомплексаВОбработку">#REF!</definedName>
    <definedName name="fwewf">#REF!</definedName>
    <definedName name="gggg" localSheetId="7">#REF!</definedName>
    <definedName name="gggg">#REF!</definedName>
    <definedName name="gtgtt">'[8]Текущие цены'!#REF!</definedName>
    <definedName name="gtrh">[3]Переменные!$B$13</definedName>
    <definedName name="Horizon">#REF!</definedName>
    <definedName name="hrthr">'[8]Текущие цены'!#REF!</definedName>
    <definedName name="hrthrtr">#REF!</definedName>
    <definedName name="htrhtrt">#REF!</definedName>
    <definedName name="hul">[4]!hul</definedName>
    <definedName name="IndClearTableDiagQ">#REF!</definedName>
    <definedName name="IndClearTableDiagY">#REF!</definedName>
    <definedName name="IndCumDataDiag1Q">#REF!</definedName>
    <definedName name="IndCumDataDiag1Y">#REF!</definedName>
    <definedName name="IndCumDataDiag2Q">#REF!</definedName>
    <definedName name="IndCumDataDiag2Y">#REF!</definedName>
    <definedName name="IndCumDataDiag3Q">#REF!</definedName>
    <definedName name="IndCumDataDiag3Y">#REF!</definedName>
    <definedName name="IndCumDataDiag4Q">#REF!</definedName>
    <definedName name="IndCumDataDiag4Y">#REF!</definedName>
    <definedName name="IndDataArray1Q">#REF!</definedName>
    <definedName name="IndDataArray1Y">#REF!</definedName>
    <definedName name="IndDataArray2Q">#REF!</definedName>
    <definedName name="IndDataArray2Y">#REF!</definedName>
    <definedName name="IndDataArray3Q">#REF!</definedName>
    <definedName name="IndDataArray3Y">#REF!</definedName>
    <definedName name="IndDataArray4Q">#REF!</definedName>
    <definedName name="IndDataArray4Y">#REF!</definedName>
    <definedName name="IndDiag">#REF!</definedName>
    <definedName name="IndExitSub">#REF!</definedName>
    <definedName name="IndexNumber1Q">#REF!</definedName>
    <definedName name="IndexNumber1Y">#REF!</definedName>
    <definedName name="IndexNumber2Q">#REF!</definedName>
    <definedName name="IndexNumber2Y">#REF!</definedName>
    <definedName name="IndexNumber3Q">#REF!</definedName>
    <definedName name="IndexNumber3Y">#REF!</definedName>
    <definedName name="IndexNumber4Q">#REF!</definedName>
    <definedName name="IndexNumber4Y">#REF!</definedName>
    <definedName name="IndFFpoint">#REF!</definedName>
    <definedName name="IndicesInitQ">#REF!</definedName>
    <definedName name="IndicesInitQc">#REF!</definedName>
    <definedName name="IndicesInitY">#REF!</definedName>
    <definedName name="IndicesInitYc">#REF!</definedName>
    <definedName name="IndicesPredQ">#REF!</definedName>
    <definedName name="IndicesPredQc">#REF!</definedName>
    <definedName name="IndicesPredY">#REF!</definedName>
    <definedName name="IndicesPredYc">#REF!</definedName>
    <definedName name="IndicesRepoQ">#REF!</definedName>
    <definedName name="IndicesRepoQc">#REF!</definedName>
    <definedName name="IndicesRepoY">#REF!</definedName>
    <definedName name="IndicesRepoYc">#REF!</definedName>
    <definedName name="IndRenewalDiagQ">#REF!</definedName>
    <definedName name="IndRenewalDiagY">#REF!</definedName>
    <definedName name="IndTableInit">#REF!</definedName>
    <definedName name="IndTableInitCum">#REF!</definedName>
    <definedName name="IndTablePred">#REF!</definedName>
    <definedName name="IndTablePredCum">#REF!</definedName>
    <definedName name="IndTableRepo">#REF!</definedName>
    <definedName name="IndTableRepoCum">#REF!</definedName>
    <definedName name="infl">[4]!infl</definedName>
    <definedName name="intthr">[4]!intthr</definedName>
    <definedName name="jjjj" localSheetId="7">'[9]Гр5(о)'!#REF!</definedName>
    <definedName name="jjjj">'[9]Гр5(о)'!#REF!</definedName>
    <definedName name="longer">[4]!longer</definedName>
    <definedName name="neneenen">#REF!</definedName>
    <definedName name="NTB">[4]!NTB</definedName>
    <definedName name="PeriodFig1Q">#REF!</definedName>
    <definedName name="PeriodFig1Y">#REF!</definedName>
    <definedName name="PeriodFig2Q">#REF!</definedName>
    <definedName name="PeriodFig2Y">#REF!</definedName>
    <definedName name="PeriodLastYearName">[5]ФедД!$AH$20</definedName>
    <definedName name="PeriodQ">#REF!</definedName>
    <definedName name="PeriodThisYearName">[5]ФедД!$AG$20</definedName>
    <definedName name="PeriodY">#REF!</definedName>
    <definedName name="qqqwdq">'[8]Текущие цены'!#REF!</definedName>
    <definedName name="qwqw">[7]Переменные!$B$2</definedName>
    <definedName name="RenewalDiagQ">#REF!</definedName>
    <definedName name="RenewalDiagY">#REF!</definedName>
    <definedName name="rgrgrg">#REF!</definedName>
    <definedName name="rngArea11">[12]проверялка!#REF!</definedName>
    <definedName name="rngArea14">[12]проверялка!#REF!</definedName>
    <definedName name="rngArea15">[12]проверялка!#REF!</definedName>
    <definedName name="rngArea16">[12]проверялка!#REF!</definedName>
    <definedName name="rngArea17">[12]проверялка!#REF!</definedName>
    <definedName name="rngArea18">[12]проверялка!#REF!</definedName>
    <definedName name="rngArea2">[12]проверялка!#REF!</definedName>
    <definedName name="rngArea20">[12]проверялка!#REF!</definedName>
    <definedName name="rngArea21">[12]проверялка!#REF!</definedName>
    <definedName name="rngArea22">[12]проверялка!#REF!</definedName>
    <definedName name="rngArea3">[12]проверялка!#REF!</definedName>
    <definedName name="rngArea30">[12]проверялка!#REF!</definedName>
    <definedName name="rngArea32">[12]проверялка!#REF!</definedName>
    <definedName name="rngArea33">[12]проверялка!#REF!</definedName>
    <definedName name="rngArea34">[12]проверялка!#REF!</definedName>
    <definedName name="rngArea35">[12]проверялка!#REF!</definedName>
    <definedName name="rngArea36">[12]проверялка!#REF!</definedName>
    <definedName name="rngArea37">[12]проверялка!#REF!</definedName>
    <definedName name="rngArea38">[12]проверялка!#REF!</definedName>
    <definedName name="rngArea4">[12]проверялка!#REF!</definedName>
    <definedName name="rngArea5">[12]проверялка!#REF!</definedName>
    <definedName name="rngArea6">[12]проверялка!#REF!</definedName>
    <definedName name="rngArea8">[12]проверялка!#REF!</definedName>
    <definedName name="rngArea9">[12]проверялка!#REF!</definedName>
    <definedName name="rrrr">#REF!</definedName>
    <definedName name="rsstdrykdty">[4]!rsstdrykdty</definedName>
    <definedName name="same">[4]!same</definedName>
    <definedName name="sdfgrt">#REF!</definedName>
    <definedName name="sdfsdfsd">#REF!</definedName>
    <definedName name="sfdfsdfsd">#REF!</definedName>
    <definedName name="short">[13]!short</definedName>
    <definedName name="Summa">#REF!</definedName>
    <definedName name="Summa0">#REF!</definedName>
    <definedName name="szd" localSheetId="7">#REF!</definedName>
    <definedName name="szd">#REF!</definedName>
    <definedName name="TableDiag1Q">#REF!</definedName>
    <definedName name="TableDiag1Y">#REF!</definedName>
    <definedName name="TableDiag2Q">#REF!</definedName>
    <definedName name="TableDiag2Y">#REF!</definedName>
    <definedName name="TableDiag3Q">#REF!</definedName>
    <definedName name="TableDiag3Y">#REF!</definedName>
    <definedName name="TableDiag4Q">#REF!</definedName>
    <definedName name="TableDiag4Y">#REF!</definedName>
    <definedName name="TableInitQ">#REF!</definedName>
    <definedName name="TableInitQc">#REF!</definedName>
    <definedName name="TableInitY">#REF!</definedName>
    <definedName name="TableInitYc">#REF!</definedName>
    <definedName name="TablePredQ">#REF!</definedName>
    <definedName name="TablePredQc">#REF!</definedName>
    <definedName name="TablePredY">#REF!</definedName>
    <definedName name="TablePredYc">#REF!</definedName>
    <definedName name="TableRepoQ">#REF!</definedName>
    <definedName name="TableRepoQc">#REF!</definedName>
    <definedName name="TableRepoY">#REF!</definedName>
    <definedName name="TableRepoYc">#REF!</definedName>
    <definedName name="Thr">[4]!Thr</definedName>
    <definedName name="thrthtr">'[8]Текущие цены'!#REF!</definedName>
    <definedName name="time" localSheetId="7">#REF!</definedName>
    <definedName name="time">#REF!</definedName>
    <definedName name="title">'[14]Огл. Графиков'!$B$2:$B$31</definedName>
    <definedName name="tte">#REF!</definedName>
    <definedName name="tthghtg">'[9]Гр5(о)'!#REF!</definedName>
    <definedName name="uklcgktxdyk">[4]!uklcgktxdyk</definedName>
    <definedName name="wbrate">[15]multilats!#REF!</definedName>
    <definedName name="wCG">#REF!</definedName>
    <definedName name="wCH">#REF!</definedName>
    <definedName name="wCN">#REF!</definedName>
    <definedName name="wefwefwe">'[9]Гр5(о)'!#REF!</definedName>
    <definedName name="wEX">#REF!</definedName>
    <definedName name="wfefwefwe">[1]ПРОГНОЗ_1!#REF!</definedName>
    <definedName name="wFF">#REF!</definedName>
    <definedName name="wqwqwqwwqq">#REF!</definedName>
    <definedName name="ytewwhwn">#REF!</definedName>
    <definedName name="Z_01CA8EBB_0C4C_4010_811F_073E57232CD7_.wvu.FilterData" localSheetId="7" hidden="1">'Индексы-дефляторы'!$A$4:$A$106</definedName>
    <definedName name="Z_0ED5301B_3B9B_4028_A009_D402EF13F98D_.wvu.FilterData" localSheetId="7" hidden="1">'Индексы-дефляторы'!$A$4:$A$99</definedName>
    <definedName name="Z_13B89219_28C6_4883_87AC_E0D1795AD51D_.wvu.FilterData" localSheetId="7" hidden="1">'Индексы-дефляторы'!$A$4:$A$99</definedName>
    <definedName name="Z_268023C0_9BC0_40EB_A535_38BF110897FA_.wvu.FilterData" localSheetId="7" hidden="1">'Индексы-дефляторы'!$A$4:$A$99</definedName>
    <definedName name="Z_3DEEBB3D_1270_47DE_834F_86032DB959D9_.wvu.FilterData" localSheetId="7" hidden="1">'Индексы-дефляторы'!$A$4:$A$99</definedName>
    <definedName name="Z_4E2D07F0_76DB_4630_BC1D_F4D5A502B378_.wvu.FilterData" localSheetId="7" hidden="1">'Индексы-дефляторы'!$A$4:$A$99</definedName>
    <definedName name="Z_572ABAB9_340C_418A_A9AD_B19F14213DA2_.wvu.FilterData" localSheetId="7" hidden="1">'Индексы-дефляторы'!$A$4:$A$99</definedName>
    <definedName name="Z_ABD7BA35_04E1_43E0_AC75_033C3CA6FF3C_.wvu.Cols" localSheetId="7" hidden="1">'Индексы-дефляторы'!#REF!,'Индексы-дефляторы'!#REF!</definedName>
    <definedName name="Z_ABD7BA35_04E1_43E0_AC75_033C3CA6FF3C_.wvu.FilterData" localSheetId="7" hidden="1">'Индексы-дефляторы'!$A$4:$A$99</definedName>
    <definedName name="Z_ABD7BA35_04E1_43E0_AC75_033C3CA6FF3C_.wvu.PrintArea" localSheetId="7" hidden="1">'Индексы-дефляторы'!$A$4:$F$99</definedName>
    <definedName name="Z_C73CA27E_77B2_422A_A773_B235904BACA3_.wvu.Cols" localSheetId="7" hidden="1">'Индексы-дефляторы'!#REF!,'Индексы-дефляторы'!#REF!</definedName>
    <definedName name="Z_C73CA27E_77B2_422A_A773_B235904BACA3_.wvu.FilterData" localSheetId="7" hidden="1">'Индексы-дефляторы'!$A$4:$A$99</definedName>
    <definedName name="Z_C73CA27E_77B2_422A_A773_B235904BACA3_.wvu.PrintArea" localSheetId="7" hidden="1">'Индексы-дефляторы'!$A$4:$F$99</definedName>
    <definedName name="Z_D49940EF_113F_4789_B6E7_8353B816853A_.wvu.Cols" localSheetId="7" hidden="1">'Индексы-дефляторы'!#REF!,'Индексы-дефляторы'!#REF!</definedName>
    <definedName name="Z_D49940EF_113F_4789_B6E7_8353B816853A_.wvu.FilterData" localSheetId="7" hidden="1">'Индексы-дефляторы'!$A$4:$A$99</definedName>
    <definedName name="Z_D49940EF_113F_4789_B6E7_8353B816853A_.wvu.PrintArea" localSheetId="7" hidden="1">'Индексы-дефляторы'!$A$4:$F$99</definedName>
    <definedName name="Z_DCC68DFC_E4AF_484C_822A_D560C6D52926_.wvu.FilterData" localSheetId="7" hidden="1">'Индексы-дефляторы'!$A$4:$A$99</definedName>
    <definedName name="Z_E55F6B6A_DBD3_4117_B149_A082390B8D13_.wvu.Cols" localSheetId="7" hidden="1">'Индексы-дефляторы'!#REF!,'Индексы-дефляторы'!#REF!</definedName>
    <definedName name="Z_E55F6B6A_DBD3_4117_B149_A082390B8D13_.wvu.FilterData" localSheetId="7" hidden="1">'Индексы-дефляторы'!$A$4:$A$99</definedName>
    <definedName name="Z_E55F6B6A_DBD3_4117_B149_A082390B8D13_.wvu.PrintArea" localSheetId="7" hidden="1">'Индексы-дефляторы'!$A$4:$F$99</definedName>
    <definedName name="Z_E9547856_3045_49CA_B3C7_618D2DA21087_.wvu.FilterData" localSheetId="7" hidden="1">'Индексы-дефляторы'!$A$4:$A$99</definedName>
    <definedName name="Z_E9D4ABE5_580B_4EA1_8057_CB16EE65A5F9_.wvu.FilterData" localSheetId="7" hidden="1">'Индексы-дефляторы'!$A$4:$A$99</definedName>
    <definedName name="Z_F49A5623_9435_4BAA_98DE_EAAB0061DE16_.wvu.FilterData" localSheetId="7" hidden="1">'Индексы-дефляторы'!$A$4:$A$99</definedName>
    <definedName name="а" localSheetId="7">#REF!</definedName>
    <definedName name="а">#REF!</definedName>
    <definedName name="ааа" localSheetId="7">#REF!</definedName>
    <definedName name="ааа">#REF!</definedName>
    <definedName name="анлвегбюв6унув6">[4]!анлвегбюв6унув6</definedName>
    <definedName name="АнМ" localSheetId="7">'[9]Гр5(о)'!#REF!</definedName>
    <definedName name="АнМ">'[9]Гр5(о)'!#REF!</definedName>
    <definedName name="АФС">"$#ССЫЛ!.$#ССЫЛ!$#ССЫЛ!"</definedName>
    <definedName name="ва">#N/A</definedName>
    <definedName name="вв" localSheetId="7">[1]ПРОГНОЗ_1!#REF!</definedName>
    <definedName name="вв">[1]ПРОГНОЗ_1!#REF!</definedName>
    <definedName name="Вып_н_2003" localSheetId="7">'[8]Текущие цены'!#REF!</definedName>
    <definedName name="Вып_н_2003">'[8]Текущие цены'!#REF!</definedName>
    <definedName name="вып_н_2004" localSheetId="7">'[8]Текущие цены'!#REF!</definedName>
    <definedName name="вып_н_2004">'[8]Текущие цены'!#REF!</definedName>
    <definedName name="Вып_ОФ_с_пц">[14]рабочий!$Y$202:$AP$224</definedName>
    <definedName name="Вып_оф_с_цпг" localSheetId="7">'[8]Текущие цены'!#REF!</definedName>
    <definedName name="Вып_оф_с_цпг">'[8]Текущие цены'!#REF!</definedName>
    <definedName name="Вып_с_новых_ОФ">[14]рабочий!$Y$277:$AP$299</definedName>
    <definedName name="Выход" localSheetId="7">[6]Управление!$AF$20</definedName>
    <definedName name="Выход">[16]Управление!$AF$20</definedName>
    <definedName name="геол1">"$#ССЫЛ!.$B$25"</definedName>
    <definedName name="гннг">[3]Переменные!$B$12</definedName>
    <definedName name="год1" localSheetId="7">#REF!</definedName>
    <definedName name="год1">#REF!</definedName>
    <definedName name="График">"Диагр. 4"</definedName>
    <definedName name="гшшг">NA()</definedName>
    <definedName name="дд" localSheetId="7">#REF!</definedName>
    <definedName name="дд">#REF!</definedName>
    <definedName name="дефл" localSheetId="7">#REF!</definedName>
    <definedName name="дефл">#REF!</definedName>
    <definedName name="Дефл_ц_пред_год">'[14]Текущие цены'!$AT$36:$BK$58</definedName>
    <definedName name="Дефлятор_годовой">'[14]Текущие цены'!$Y$4:$AP$27</definedName>
    <definedName name="Дефлятор_цепной">'[14]Текущие цены'!$Y$36:$AP$58</definedName>
    <definedName name="ДС" localSheetId="7">#REF!</definedName>
    <definedName name="ДС">#REF!</definedName>
    <definedName name="ее">[4]!ее</definedName>
    <definedName name="_xlnm.Print_Titles" localSheetId="3">'2. ИГИ'!$17:$17</definedName>
    <definedName name="_xlnm.Print_Titles" localSheetId="4">'3. ИЭИ'!$22:$22</definedName>
    <definedName name="_xlnm.Print_Titles" localSheetId="5">#N/A</definedName>
    <definedName name="_xlnm.Print_Titles" localSheetId="6">'5'!#REF!</definedName>
    <definedName name="_xlnm.Print_Titles" localSheetId="7">'Индексы-дефляторы'!$4:$5</definedName>
    <definedName name="зазаза">[4]!зазаза</definedName>
    <definedName name="зз" localSheetId="7">#REF!</definedName>
    <definedName name="зз">#REF!</definedName>
    <definedName name="иии" localSheetId="7">#REF!</definedName>
    <definedName name="иии">#REF!</definedName>
    <definedName name="йцйц">NA()</definedName>
    <definedName name="кк" localSheetId="7">#REF!</definedName>
    <definedName name="кк">#REF!</definedName>
    <definedName name="кнкери">[4]!кнкери</definedName>
    <definedName name="ллл" localSheetId="7">#REF!</definedName>
    <definedName name="ллл">#REF!</definedName>
    <definedName name="лораловра">[1]ПРОГНОЗ_1!#REF!</definedName>
    <definedName name="лрлрлр">[4]!лрлрлр</definedName>
    <definedName name="М1" localSheetId="7">[1]ПРОГНОЗ_1!#REF!</definedName>
    <definedName name="М1">[1]ПРОГНОЗ_1!#REF!</definedName>
    <definedName name="Модель2" localSheetId="7">#REF!</definedName>
    <definedName name="Модель2">#REF!</definedName>
    <definedName name="Мониторинг1" localSheetId="7">'[9]Гр5(о)'!#REF!</definedName>
    <definedName name="Мониторинг1">'[9]Гр5(о)'!#REF!</definedName>
    <definedName name="НалогооблагаемыйОбъемИмпортаИзСтранДальнегоЗарубежья_ОформляемыйВ_республикаАрмения.млрддолл">'[12]Внеш.торг превью и счёт'!#REF!</definedName>
    <definedName name="НалогооблагаемыйОбъемИмпортаИзСтранДальнегоЗарубежья_ОформляемыйВ_республикаБеларусь.млрддолл">'[12]Внеш.торг превью и счёт'!#REF!</definedName>
    <definedName name="НалогооблагаемыйОбъемИмпортаИзСтранДальнегоЗарубежья_ОформляемыйВ_республикаКазахстан.млрддолл">'[12]Внеш.торг превью и счёт'!#REF!</definedName>
    <definedName name="НалогооблагаемыйОбъемИмпортаИзСтранДальнегоЗарубежья_ОформляемыйВ_республикаКыргызстан.млрддолл">'[12]Внеш.торг превью и счёт'!#REF!</definedName>
    <definedName name="НесырьевойЭкспорт1_Ненефтегазовый_вкл.Нефтепродукты_несырьевойНенефтегазовый.МлрдДолл">'[12]8.Ст-ра (эк.им.)'!#REF!</definedName>
    <definedName name="НесырьевойЭкспорт1_Ненефтегазовый_вкл.Нефтепродукты_несырьевойНенефтегазовый.ТемпРоста">'[12]8.Ст-ра (эк.им.)'!#REF!</definedName>
    <definedName name="НесырьевойЭкспорт1_Ненефтегазовый_вкл.Нефтепродукты_прочийСырьевойНетопливный.МлрдДолл">'[12]8.Ст-ра (эк.им.)'!#REF!</definedName>
    <definedName name="НесырьевойЭкспорт1_Ненефтегазовый_вкл.Нефтепродукты_прочийСырьевойНетопливный.ТемпРоста">'[12]8.Ст-ра (эк.им.)'!#REF!</definedName>
    <definedName name="НесырьевойЭкспортНесырьевойЭкспорт_безУчетаСпгИУгля_.МлрдДолл">'[12]8.Ст-ра (эк.им.)'!#REF!</definedName>
    <definedName name="НесырьевойЭкспортнесырьевойЭкспорт_безУчетаСпгИУгля_.ТемпРоста">'[12]8.Ст-ра (эк.им.)'!#REF!</definedName>
    <definedName name="нн" localSheetId="7">#REF!</definedName>
    <definedName name="нн">#REF!</definedName>
    <definedName name="новые_ОФ_2003">[14]рабочий!$F$305:$W$327</definedName>
    <definedName name="новые_ОФ_2004">[14]рабочий!$F$335:$W$357</definedName>
    <definedName name="новые_ОФ_а_всего">[14]рабочий!$F$767:$V$789</definedName>
    <definedName name="новые_ОФ_всего">[14]рабочий!$F$1331:$V$1353</definedName>
    <definedName name="новые_ОФ_п_всего">[14]рабочий!$F$1293:$V$1315</definedName>
    <definedName name="нпнврпр">'[9]Гр5(о)'!#REF!</definedName>
    <definedName name="НТБ2">[4]!НТБ2</definedName>
    <definedName name="_xlnm.Print_Area" localSheetId="5">#N/A</definedName>
    <definedName name="_xlnm.Print_Area" localSheetId="7">'Индексы-дефляторы'!$A$1:$F$105</definedName>
    <definedName name="_xlnm.Print_Area" localSheetId="0">'Сводная смета'!$A$1:$I$41</definedName>
    <definedName name="объем">NA()</definedName>
    <definedName name="объем___0___9">"$#ССЫЛ!.$M$1:$M$32000"</definedName>
    <definedName name="объем___10___0">NA()</definedName>
    <definedName name="объем___10___0___1">NA()</definedName>
    <definedName name="объем___10___0___5">NA()</definedName>
    <definedName name="объем___10___0_1">NA()</definedName>
    <definedName name="объем___10___0_3">NA()</definedName>
    <definedName name="объем___10___0_5">NA()</definedName>
    <definedName name="объем___10___2">NA()</definedName>
    <definedName name="объем___10___4">NA()</definedName>
    <definedName name="объем___10___6">NA()</definedName>
    <definedName name="объем___10___6___0">NA()</definedName>
    <definedName name="объем___10___8">NA()</definedName>
    <definedName name="объем___10___8___0">NA()</definedName>
    <definedName name="объем___10___9">"$#ССЫЛ!.$M$1:$M$32000"</definedName>
    <definedName name="объем___10_1">NA()</definedName>
    <definedName name="объем___11___0">NA()</definedName>
    <definedName name="объем___12">NA()</definedName>
    <definedName name="объем___2___9">"$#ССЫЛ!.$M$1:$M$32000"</definedName>
    <definedName name="объем___3___0___0">NA()</definedName>
    <definedName name="объем___3___0___0___0">NA()</definedName>
    <definedName name="объем___3___0___1">NA()</definedName>
    <definedName name="объем___3___0___3">NA()</definedName>
    <definedName name="объем___3___0_1">NA()</definedName>
    <definedName name="объем___3_3">NA()</definedName>
    <definedName name="объем___4___0">NA()</definedName>
    <definedName name="объем___4___0___5">NA()</definedName>
    <definedName name="объем___4___0___6">NA()</definedName>
    <definedName name="объем___4___0___7">NA()</definedName>
    <definedName name="объем___4___0___8">NA()</definedName>
    <definedName name="объем___4___0___9">NA()</definedName>
    <definedName name="объем___4___0_5">NA()</definedName>
    <definedName name="объем___4___9">"$#ССЫЛ!.$M$1:$M$32000"</definedName>
    <definedName name="объем___5">NA()</definedName>
    <definedName name="объем___5___3">NA()</definedName>
    <definedName name="объем___5___5">NA()</definedName>
    <definedName name="объем___5_3">NA()</definedName>
    <definedName name="объем___5_5">NA()</definedName>
    <definedName name="объем___6">NA()</definedName>
    <definedName name="объем___6___5">NA()</definedName>
    <definedName name="объем___6___7">NA()</definedName>
    <definedName name="объем___6___9">"$#ССЫЛ!.$M$1:$M$32000"</definedName>
    <definedName name="объем___6_5">NA()</definedName>
    <definedName name="объем___8___9">"$#ССЫЛ!.$M$1:$M$32000"</definedName>
    <definedName name="объем_1">NA()</definedName>
    <definedName name="объем_3">NA()</definedName>
    <definedName name="объем_4">NA()</definedName>
    <definedName name="объем_5">NA()</definedName>
    <definedName name="окраска_05">[14]окраска!$C$7:$Z$30</definedName>
    <definedName name="окраска_06">[14]окраска!$C$35:$Z$58</definedName>
    <definedName name="окраска_07">[14]окраска!$C$63:$Z$86</definedName>
    <definedName name="окраска_08">[14]окраска!$C$91:$Z$114</definedName>
    <definedName name="окраска_09">[14]окраска!$C$119:$Z$142</definedName>
    <definedName name="окраска_10">[14]окраска!$C$147:$Z$170</definedName>
    <definedName name="окраска_11">[14]окраска!$C$175:$Z$198</definedName>
    <definedName name="окраска_12">[14]окраска!$C$203:$Z$226</definedName>
    <definedName name="окраска_13">[14]окраска!$C$231:$Z$254</definedName>
    <definedName name="окраска_14">[14]окраска!$C$259:$Z$282</definedName>
    <definedName name="окраска_15">[14]окраска!$C$287:$Z$310</definedName>
    <definedName name="ооо" localSheetId="7">#REF!</definedName>
    <definedName name="ооо">#REF!</definedName>
    <definedName name="ОФ_а_с_пц">[14]рабочий!$CI$121:$CY$143</definedName>
    <definedName name="оф_н_а_2003_пц" localSheetId="7">'[8]Текущие цены'!#REF!</definedName>
    <definedName name="оф_н_а_2003_пц">'[8]Текущие цены'!#REF!</definedName>
    <definedName name="оф_н_а_2004" localSheetId="7">'[8]Текущие цены'!#REF!</definedName>
    <definedName name="оф_н_а_2004">'[8]Текущие цены'!#REF!</definedName>
    <definedName name="ПОКАЗАТЕЛИ_ДОЛГОСР.ПРОГНОЗА" localSheetId="7">'[17]2002(v2)'!#REF!</definedName>
    <definedName name="ПОКАЗАТЕЛИ_ДОЛГОСР.ПРОГНОЗА">'[17]2002(v2)'!#REF!</definedName>
    <definedName name="Поправочные_коэффициенты_по_письму_Госстроя_от_25.12.90">NA()</definedName>
    <definedName name="Поправочные_коэффициенты_по_письму_Госстроя_от_25.12.90___0___9">"$#ССЫЛ!.$AC$21:$AN$30"</definedName>
    <definedName name="Поправочные_коэффициенты_по_письму_Госстроя_от_25.12.90___10___0">NA()</definedName>
    <definedName name="Поправочные_коэффициенты_по_письму_Госстроя_от_25.12.90___10___0___1">NA()</definedName>
    <definedName name="Поправочные_коэффициенты_по_письму_Госстроя_от_25.12.90___10___0___5">NA()</definedName>
    <definedName name="Поправочные_коэффициенты_по_письму_Госстроя_от_25.12.90___10___0_1">NA()</definedName>
    <definedName name="Поправочные_коэффициенты_по_письму_Госстроя_от_25.12.90___10___0_3">NA()</definedName>
    <definedName name="Поправочные_коэффициенты_по_письму_Госстроя_от_25.12.90___10___0_5">NA()</definedName>
    <definedName name="Поправочные_коэффициенты_по_письму_Госстроя_от_25.12.90___10___2">NA()</definedName>
    <definedName name="Поправочные_коэффициенты_по_письму_Госстроя_от_25.12.90___10___4">NA()</definedName>
    <definedName name="Поправочные_коэффициенты_по_письму_Госстроя_от_25.12.90___10___6">NA()</definedName>
    <definedName name="Поправочные_коэффициенты_по_письму_Госстроя_от_25.12.90___10___6___0">NA()</definedName>
    <definedName name="Поправочные_коэффициенты_по_письму_Госстроя_от_25.12.90___10___8">NA()</definedName>
    <definedName name="Поправочные_коэффициенты_по_письму_Госстроя_от_25.12.90___10___8___0">NA()</definedName>
    <definedName name="Поправочные_коэффициенты_по_письму_Госстроя_от_25.12.90___10___9">"$#ССЫЛ!.$AC$21:$AN$30"</definedName>
    <definedName name="Поправочные_коэффициенты_по_письму_Госстроя_от_25.12.90___10_1">NA()</definedName>
    <definedName name="Поправочные_коэффициенты_по_письму_Госстроя_от_25.12.90___11___0">NA()</definedName>
    <definedName name="Поправочные_коэффициенты_по_письму_Госстроя_от_25.12.90___11___0___0">NA()</definedName>
    <definedName name="Поправочные_коэффициенты_по_письму_Госстроя_от_25.12.90___12">NA()</definedName>
    <definedName name="Поправочные_коэффициенты_по_письму_Госстроя_от_25.12.90___2___9">"$#ССЫЛ!.$AC$21:$AN$30"</definedName>
    <definedName name="Поправочные_коэффициенты_по_письму_Госстроя_от_25.12.90___3___0___0">NA()</definedName>
    <definedName name="Поправочные_коэффициенты_по_письму_Госстроя_от_25.12.90___3___0___0___5">NA()</definedName>
    <definedName name="Поправочные_коэффициенты_по_письму_Госстроя_от_25.12.90___3___0___0_5">NA()</definedName>
    <definedName name="Поправочные_коэффициенты_по_письму_Госстроя_от_25.12.90___3___0___3">NA()</definedName>
    <definedName name="Поправочные_коэффициенты_по_письму_Госстроя_от_25.12.90___3___0___3___0">NA()</definedName>
    <definedName name="Поправочные_коэффициенты_по_письму_Госстроя_от_25.12.90___3_3">NA()</definedName>
    <definedName name="Поправочные_коэффициенты_по_письму_Госстроя_от_25.12.90___4___0">NA()</definedName>
    <definedName name="Поправочные_коэффициенты_по_письму_Госстроя_от_25.12.90___4___0___5">NA()</definedName>
    <definedName name="Поправочные_коэффициенты_по_письму_Госстроя_от_25.12.90___4___0___6">NA()</definedName>
    <definedName name="Поправочные_коэффициенты_по_письму_Госстроя_от_25.12.90___4___0___7">NA()</definedName>
    <definedName name="Поправочные_коэффициенты_по_письму_Госстроя_от_25.12.90___4___0___8">NA()</definedName>
    <definedName name="Поправочные_коэффициенты_по_письму_Госстроя_от_25.12.90___4___0___9">NA()</definedName>
    <definedName name="Поправочные_коэффициенты_по_письму_Госстроя_от_25.12.90___4___0_3">NA()</definedName>
    <definedName name="Поправочные_коэффициенты_по_письму_Госстроя_от_25.12.90___4___0_5">NA()</definedName>
    <definedName name="Поправочные_коэффициенты_по_письму_Госстроя_от_25.12.90___4___1">NA()</definedName>
    <definedName name="Поправочные_коэффициенты_по_письму_Госстроя_от_25.12.90___4___9">"$#ССЫЛ!.$AC$21:$AN$30"</definedName>
    <definedName name="Поправочные_коэффициенты_по_письму_Госстроя_от_25.12.90___4_1">NA()</definedName>
    <definedName name="Поправочные_коэффициенты_по_письму_Госстроя_от_25.12.90___5">NA()</definedName>
    <definedName name="Поправочные_коэффициенты_по_письму_Госстроя_от_25.12.90___5___3">NA()</definedName>
    <definedName name="Поправочные_коэффициенты_по_письму_Госстроя_от_25.12.90___5___5">NA()</definedName>
    <definedName name="Поправочные_коэффициенты_по_письму_Госстроя_от_25.12.90___5_3">NA()</definedName>
    <definedName name="Поправочные_коэффициенты_по_письму_Госстроя_от_25.12.90___5_5">NA()</definedName>
    <definedName name="Поправочные_коэффициенты_по_письму_Госстроя_от_25.12.90___6">NA()</definedName>
    <definedName name="Поправочные_коэффициенты_по_письму_Госстроя_от_25.12.90___6___5">NA()</definedName>
    <definedName name="Поправочные_коэффициенты_по_письму_Госстроя_от_25.12.90___6___7">NA()</definedName>
    <definedName name="Поправочные_коэффициенты_по_письму_Госстроя_от_25.12.90___6___9">"$#ССЫЛ!.$AC$21:$AN$30"</definedName>
    <definedName name="Поправочные_коэффициенты_по_письму_Госстроя_от_25.12.90___6_5">NA()</definedName>
    <definedName name="Поправочные_коэффициенты_по_письму_Госстроя_от_25.12.90___8___9">"$#ССЫЛ!.$AC$21:$AN$30"</definedName>
    <definedName name="Поправочные_коэффициенты_по_письму_Госстроя_от_25.12.90_3">NA()</definedName>
    <definedName name="Поправочные_коэффициенты_по_письму_Госстроя_от_25.12.90_4">NA()</definedName>
    <definedName name="Поправочные_коэффициенты_по_письму_Госстроя_от_25.12.90_5">NA()</definedName>
    <definedName name="потр" localSheetId="7">#REF!</definedName>
    <definedName name="потр">#REF!</definedName>
    <definedName name="ПОТР._РЫНОКДП" localSheetId="7">[2]vec!#REF!</definedName>
    <definedName name="ПОТР._РЫНОКДП">[2]vec!#REF!</definedName>
    <definedName name="потрбезпищ" localSheetId="7">'[9]Гр5(о)'!#REF!</definedName>
    <definedName name="потрбезпищ">'[9]Гр5(о)'!#REF!</definedName>
    <definedName name="Потреб_вып_всего" localSheetId="7">'[8]Текущие цены'!#REF!</definedName>
    <definedName name="Потреб_вып_всего">'[8]Текущие цены'!#REF!</definedName>
    <definedName name="Потреб_вып_оф_н_цпг" localSheetId="7">'[8]Текущие цены'!#REF!</definedName>
    <definedName name="Потреб_вып_оф_н_цпг">'[8]Текущие цены'!#REF!</definedName>
    <definedName name="пп" localSheetId="7">#REF!</definedName>
    <definedName name="пп">#REF!</definedName>
    <definedName name="ппп" localSheetId="7">#REF!</definedName>
    <definedName name="ппп">#REF!</definedName>
    <definedName name="пппп" localSheetId="7">'[18]2002(v1)'!#REF!</definedName>
    <definedName name="пппп">'[18]2002(v1)'!#REF!</definedName>
    <definedName name="ппрорл">[1]ПРОГНОЗ_1!#REF!</definedName>
    <definedName name="приб" localSheetId="7">[6]Управление!$AE$20</definedName>
    <definedName name="приб">[19]Управление!$AE$20</definedName>
    <definedName name="прибвб2" localSheetId="7">[6]Управление!$AF$20</definedName>
    <definedName name="прибвб2">[19]Управление!$AF$20</definedName>
    <definedName name="прнорено">'[8]Текущие цены'!#REF!</definedName>
    <definedName name="прогноз">'[9]Гр5(о)'!#REF!</definedName>
    <definedName name="Прогноз_Вып_пц">[14]рабочий!$Y$240:$AP$262</definedName>
    <definedName name="Прогноз_вып_цпг" localSheetId="7">'[8]Текущие цены'!#REF!</definedName>
    <definedName name="Прогноз_вып_цпг">'[8]Текущие цены'!#REF!</definedName>
    <definedName name="Прогноз97" localSheetId="7">[1]ПРОГНОЗ_1!#REF!</definedName>
    <definedName name="Прогноз97">[1]ПРОГНОЗ_1!#REF!</definedName>
    <definedName name="рпорлол">'[9]Гр5(о)'!#REF!</definedName>
    <definedName name="спрл">[4]!спрл</definedName>
    <definedName name="суда">[13]!суда</definedName>
    <definedName name="Сургут">NA()</definedName>
    <definedName name="СырьевойЭкспорт2.1_СырьевойСНефтепродуктами.МлрдДолл">'[12]8.Ст-ра (эк.им.)'!#REF!</definedName>
    <definedName name="СырьевойЭкспорт2.1_СырьевойСНефтепродуктами.ТемпРоста">'[12]8.Ст-ра (эк.им.)'!#REF!</definedName>
    <definedName name="СырьевойЭкспорт2.1_СырьевойСНефтепродуктамиНефтепродукты.МлрдДолл">'[12]8.Ст-ра (эк.им.)'!#REF!</definedName>
    <definedName name="СырьевойЭкспорт2.1_СырьевойСНефтепродуктаминефтепродукты.ТемпРоста">'[12]8.Ст-ра (эк.им.)'!#REF!</definedName>
    <definedName name="СырьевойЭкспорт2.1_СырьевойСНефтепродуктамиСырьевой.МлрдДолл">'[12]8.Ст-ра (эк.им.)'!#REF!</definedName>
    <definedName name="СырьевойЭкспорт2.1_СырьевойСНефтепродуктамисырьевой.ТемпРоста">'[12]8.Ст-ра (эк.им.)'!#REF!</definedName>
    <definedName name="СырьевойЭкспорт2.2_СырьевойСНефтепродуктами.МлрдДолл">'[12]8.Ст-ра (эк.им.)'!#REF!</definedName>
    <definedName name="СырьевойЭкспорт2.2_СырьевойСНефтепродуктами.ТемпРоста">'[12]8.Ст-ра (эк.им.)'!#REF!</definedName>
    <definedName name="СырьевойЭкспорт2.2_СырьевойСНефтепродуктамиПрочийСырьевойНетопливный.МлрдДолл">'[12]8.Ст-ра (эк.им.)'!#REF!</definedName>
    <definedName name="СырьевойЭкспорт2.2_СырьевойСНефтепродуктамипрочийСырьевойНетопливный.ТемпРоста">'[12]8.Ст-ра (эк.им.)'!#REF!</definedName>
    <definedName name="СырьевойЭкспорт2.2_СырьевойСНефтепродуктамиТЭК.МлрдДолл">'[12]8.Ст-ра (эк.им.)'!#REF!</definedName>
    <definedName name="СырьевойЭкспорт2.2_СырьевойСНефтепродуктамитэк.ТемпРоста">'[12]8.Ст-ра (эк.им.)'!#REF!</definedName>
    <definedName name="СырьевойЭкспортЭкспортКромеТэк_ненефтегазовый_.МлрдДолл">'[12]8.Ст-ра (эк.им.)'!#REF!</definedName>
    <definedName name="СырьевойЭкспортэкспортКромеТэк_ненефтегазовый_.ТемпРоста">'[12]8.Ст-ра (эк.им.)'!#REF!</definedName>
    <definedName name="таб11" localSheetId="4">'3. ИЭИ'!$T$36</definedName>
    <definedName name="таб60" localSheetId="4">'3. ИЭИ'!#REF!</definedName>
    <definedName name="таб86" localSheetId="4">'3. ИЭИ'!$T$73</definedName>
    <definedName name="таб99" localSheetId="4">'3. ИЭИ'!$T$27</definedName>
    <definedName name="топ1">"$#ССЫЛ!.$B$25"</definedName>
    <definedName name="ттт" localSheetId="7">#REF!</definedName>
    <definedName name="ттт">#REF!</definedName>
    <definedName name="уцуцуу">#REF!</definedName>
    <definedName name="фо_а_н_пц">[14]рабочий!$AR$240:$BI$263</definedName>
    <definedName name="фо_а_с_пц">[14]рабочий!$AS$202:$BI$224</definedName>
    <definedName name="фо_н_03">[14]рабочий!$X$305:$X$327</definedName>
    <definedName name="фо_н_04">[14]рабочий!$X$335:$X$357</definedName>
    <definedName name="фф" localSheetId="7">'[9]Гр5(о)'!#REF!</definedName>
    <definedName name="фф">'[9]Гр5(о)'!#REF!</definedName>
    <definedName name="ффф" localSheetId="7">#REF!</definedName>
    <definedName name="ффф">#REF!</definedName>
    <definedName name="фываыввпр">[4]!фываыввпр</definedName>
    <definedName name="хх" localSheetId="7">#REF!</definedName>
    <definedName name="хх">#REF!</definedName>
    <definedName name="цена">NA()</definedName>
    <definedName name="цена___0___9">"$#ССЫЛ!.$L$1:$L$32000"</definedName>
    <definedName name="цена___10___0">NA()</definedName>
    <definedName name="цена___10___0___1">NA()</definedName>
    <definedName name="цена___10___0___5">NA()</definedName>
    <definedName name="цена___10___0_1">NA()</definedName>
    <definedName name="цена___10___0_3">NA()</definedName>
    <definedName name="цена___10___0_5">NA()</definedName>
    <definedName name="цена___10___2">NA()</definedName>
    <definedName name="цена___10___4">NA()</definedName>
    <definedName name="цена___10___6">NA()</definedName>
    <definedName name="цена___10___6___0">NA()</definedName>
    <definedName name="цена___10___8">NA()</definedName>
    <definedName name="цена___10___8___0">NA()</definedName>
    <definedName name="цена___10___9">"$#ССЫЛ!.$L$1:$L$32000"</definedName>
    <definedName name="цена___10_1">NA()</definedName>
    <definedName name="цена___11___0">NA()</definedName>
    <definedName name="цена___12">NA()</definedName>
    <definedName name="цена___2___9">"$#ССЫЛ!.$L$1:$L$32000"</definedName>
    <definedName name="цена___3___0___0">NA()</definedName>
    <definedName name="цена___3___0___0___0">NA()</definedName>
    <definedName name="цена___3___0___1">NA()</definedName>
    <definedName name="цена___3___0___3">NA()</definedName>
    <definedName name="цена___3___0_1">NA()</definedName>
    <definedName name="цена___3_3">NA()</definedName>
    <definedName name="цена___4___0">NA()</definedName>
    <definedName name="цена___4___0___5">NA()</definedName>
    <definedName name="цена___4___0___6">NA()</definedName>
    <definedName name="цена___4___0___7">NA()</definedName>
    <definedName name="цена___4___0___8">NA()</definedName>
    <definedName name="цена___4___0___9">NA()</definedName>
    <definedName name="цена___4___0_5">NA()</definedName>
    <definedName name="цена___4___9">"$#ССЫЛ!.$L$1:$L$32000"</definedName>
    <definedName name="цена___5">NA()</definedName>
    <definedName name="цена___5___3">NA()</definedName>
    <definedName name="цена___5___5">NA()</definedName>
    <definedName name="цена___5_3">NA()</definedName>
    <definedName name="цена___5_5">NA()</definedName>
    <definedName name="цена___6">NA()</definedName>
    <definedName name="цена___6___5">NA()</definedName>
    <definedName name="цена___6___7">NA()</definedName>
    <definedName name="цена___6___9">"$#ССЫЛ!.$L$1:$L$32000"</definedName>
    <definedName name="цена___6_5">NA()</definedName>
    <definedName name="цена___8___9">"$#ССЫЛ!.$L$1:$L$32000"</definedName>
    <definedName name="цена_1">NA()</definedName>
    <definedName name="цена_3">NA()</definedName>
    <definedName name="цена_4">NA()</definedName>
    <definedName name="цена_5">NA()</definedName>
    <definedName name="цуацпй">#REF!</definedName>
    <definedName name="цц" localSheetId="7">#REF!</definedName>
    <definedName name="цц">#REF!</definedName>
    <definedName name="шш" localSheetId="7">#REF!</definedName>
    <definedName name="шш">#REF!</definedName>
    <definedName name="щщ" localSheetId="7">#REF!</definedName>
    <definedName name="щщ">#REF!</definedName>
    <definedName name="ыяпр">[13]!ыяпр</definedName>
    <definedName name="ььь" localSheetId="7">#REF!</definedName>
    <definedName name="ььь">#REF!</definedName>
    <definedName name="э" localSheetId="7">#REF!</definedName>
    <definedName name="э">#REF!</definedName>
    <definedName name="экол1">"$#ССЫЛ!.$#ССЫЛ!$#ССЫЛ!"</definedName>
    <definedName name="экол2">"$#ССЫЛ!.$#ССЫЛ!$#ССЫЛ!"</definedName>
    <definedName name="экология">NA()</definedName>
    <definedName name="юююю" localSheetId="7">#REF!</definedName>
    <definedName name="юююю">#REF!</definedName>
    <definedName name="ЯЯЯЯ">#N/A</definedName>
  </definedNames>
  <calcPr calcId="191029"/>
</workbook>
</file>

<file path=xl/calcChain.xml><?xml version="1.0" encoding="utf-8"?>
<calcChain xmlns="http://schemas.openxmlformats.org/spreadsheetml/2006/main">
  <c r="I24" i="37" l="1"/>
  <c r="H30" i="1"/>
  <c r="I16" i="37" l="1"/>
  <c r="I22" i="37" s="1"/>
  <c r="I23" i="37" s="1"/>
  <c r="I26" i="37" l="1"/>
  <c r="I25" i="37"/>
  <c r="G29" i="1" s="1"/>
  <c r="G30" i="1" s="1"/>
  <c r="L82" i="5"/>
  <c r="L81" i="5"/>
  <c r="H31" i="1" l="1"/>
  <c r="G31" i="1"/>
  <c r="G32" i="1"/>
  <c r="I29" i="1"/>
  <c r="B31" i="2" l="1"/>
  <c r="G32" i="6"/>
  <c r="G28" i="6"/>
  <c r="B63" i="5"/>
  <c r="L79" i="5" l="1"/>
  <c r="B70" i="5"/>
  <c r="J69" i="5"/>
  <c r="B69" i="5"/>
  <c r="B68" i="5"/>
  <c r="B67" i="5"/>
  <c r="B66" i="5"/>
  <c r="B65" i="5"/>
  <c r="K66" i="5"/>
  <c r="H66" i="5"/>
  <c r="E66" i="5"/>
  <c r="K34" i="5"/>
  <c r="J34" i="5"/>
  <c r="L34" i="5" l="1"/>
  <c r="J66" i="5"/>
  <c r="L66" i="5" s="1"/>
  <c r="J37" i="5"/>
  <c r="J38" i="5"/>
  <c r="K38" i="5"/>
  <c r="G55" i="15"/>
  <c r="G54" i="15"/>
  <c r="G53" i="15"/>
  <c r="G52" i="15"/>
  <c r="G49" i="15"/>
  <c r="G56" i="15" s="1"/>
  <c r="G45" i="15"/>
  <c r="G60" i="15" s="1"/>
  <c r="G44" i="15"/>
  <c r="G43" i="15"/>
  <c r="G42" i="15"/>
  <c r="G41" i="15"/>
  <c r="G40" i="15"/>
  <c r="G39" i="15"/>
  <c r="G37" i="15"/>
  <c r="G61" i="15" s="1"/>
  <c r="G36" i="15"/>
  <c r="G58" i="15" s="1"/>
  <c r="G35" i="15"/>
  <c r="G34" i="15"/>
  <c r="G30" i="15"/>
  <c r="G29" i="15"/>
  <c r="G27" i="15"/>
  <c r="G26" i="15"/>
  <c r="G23" i="15"/>
  <c r="G22" i="15"/>
  <c r="G21" i="15"/>
  <c r="G20" i="15"/>
  <c r="G19" i="15"/>
  <c r="G31" i="15" s="1"/>
  <c r="G32" i="15" s="1"/>
  <c r="G42" i="24"/>
  <c r="G30" i="24"/>
  <c r="G28" i="24"/>
  <c r="G29" i="24"/>
  <c r="G25" i="24"/>
  <c r="G21" i="24"/>
  <c r="G31" i="24" s="1"/>
  <c r="G46" i="24" l="1"/>
  <c r="G43" i="24"/>
  <c r="G59" i="15"/>
  <c r="G65" i="15"/>
  <c r="G53" i="24"/>
  <c r="G32" i="24"/>
  <c r="H53" i="24" s="1"/>
  <c r="G42" i="2"/>
  <c r="G34" i="2"/>
  <c r="G31" i="2"/>
  <c r="G23" i="2"/>
  <c r="G21" i="2"/>
  <c r="G19" i="2"/>
  <c r="G46" i="2" l="1"/>
  <c r="G43" i="2"/>
  <c r="G66" i="15"/>
  <c r="G67" i="15"/>
  <c r="G55" i="24"/>
  <c r="G54" i="24"/>
  <c r="G56" i="24" s="1"/>
  <c r="D55" i="15"/>
  <c r="E41" i="24"/>
  <c r="B39" i="24"/>
  <c r="D39" i="24"/>
  <c r="G39" i="24" s="1"/>
  <c r="D34" i="24"/>
  <c r="G34" i="24" s="1"/>
  <c r="G49" i="24" s="1"/>
  <c r="G50" i="24" s="1"/>
  <c r="G51" i="24" s="1"/>
  <c r="D37" i="2"/>
  <c r="G37" i="2" s="1"/>
  <c r="G49" i="2" s="1"/>
  <c r="G50" i="2" s="1"/>
  <c r="E71" i="5"/>
  <c r="E46" i="5"/>
  <c r="G57" i="24" l="1"/>
  <c r="G58" i="24" s="1"/>
  <c r="G59" i="24" s="1"/>
  <c r="G68" i="15"/>
  <c r="B64" i="5"/>
  <c r="E58" i="5"/>
  <c r="E32" i="5"/>
  <c r="J32" i="5" s="1"/>
  <c r="K32" i="5"/>
  <c r="K64" i="5"/>
  <c r="E64" i="5"/>
  <c r="J64" i="5" s="1"/>
  <c r="M47" i="5"/>
  <c r="M48" i="5" s="1"/>
  <c r="E68" i="5"/>
  <c r="J68" i="5" s="1"/>
  <c r="E63" i="5"/>
  <c r="K71" i="5"/>
  <c r="J71" i="5"/>
  <c r="K72" i="5"/>
  <c r="J72" i="5"/>
  <c r="K73" i="5"/>
  <c r="K37" i="5"/>
  <c r="L64" i="5" l="1"/>
  <c r="H65" i="15"/>
  <c r="L32" i="5"/>
  <c r="L72" i="5"/>
  <c r="L71" i="5"/>
  <c r="L37" i="5"/>
  <c r="H67" i="15" l="1"/>
  <c r="H55" i="24"/>
  <c r="G27" i="2"/>
  <c r="G38" i="15"/>
  <c r="G46" i="15" l="1"/>
  <c r="G47" i="15" s="1"/>
  <c r="G57" i="15"/>
  <c r="E25" i="1"/>
  <c r="I25" i="1" s="1"/>
  <c r="G28" i="2"/>
  <c r="G29" i="2" s="1"/>
  <c r="G23" i="6"/>
  <c r="G20" i="6"/>
  <c r="G21" i="6" s="1"/>
  <c r="G37" i="6" l="1"/>
  <c r="G62" i="15"/>
  <c r="G63" i="15" s="1"/>
  <c r="G69" i="15" s="1"/>
  <c r="G53" i="2"/>
  <c r="G51" i="2"/>
  <c r="H53" i="2"/>
  <c r="G55" i="2" l="1"/>
  <c r="G54" i="2"/>
  <c r="H54" i="2"/>
  <c r="G56" i="2" l="1"/>
  <c r="G57" i="2" s="1"/>
  <c r="G58" i="2" s="1"/>
  <c r="G59" i="2" s="1"/>
  <c r="G70" i="15"/>
  <c r="G30" i="6"/>
  <c r="G29" i="6"/>
  <c r="G26" i="6"/>
  <c r="G24" i="6"/>
  <c r="E24" i="1" l="1"/>
  <c r="G71" i="15"/>
  <c r="G31" i="6"/>
  <c r="G33" i="6" s="1"/>
  <c r="G35" i="6" s="1"/>
  <c r="E26" i="1" l="1"/>
  <c r="I24" i="1"/>
  <c r="I26" i="1"/>
  <c r="G38" i="6"/>
  <c r="J38" i="6"/>
  <c r="G39" i="6"/>
  <c r="L80" i="5"/>
  <c r="L83" i="5" s="1"/>
  <c r="K76" i="5"/>
  <c r="K78" i="5" s="1"/>
  <c r="K75" i="5"/>
  <c r="K74" i="5"/>
  <c r="K63" i="5"/>
  <c r="K70" i="5"/>
  <c r="E70" i="5"/>
  <c r="J70" i="5" s="1"/>
  <c r="K69" i="5"/>
  <c r="K68" i="5"/>
  <c r="K67" i="5"/>
  <c r="K65" i="5"/>
  <c r="H65" i="5"/>
  <c r="K60" i="5"/>
  <c r="K59" i="5"/>
  <c r="K58" i="5"/>
  <c r="F58" i="5"/>
  <c r="K57" i="5"/>
  <c r="F57" i="5"/>
  <c r="E57" i="5"/>
  <c r="K53" i="5"/>
  <c r="K52" i="5"/>
  <c r="K51" i="5"/>
  <c r="K48" i="5"/>
  <c r="K47" i="5"/>
  <c r="J47" i="5"/>
  <c r="K46" i="5"/>
  <c r="K43" i="5"/>
  <c r="J43" i="5"/>
  <c r="K42" i="5"/>
  <c r="J42" i="5"/>
  <c r="K44" i="5"/>
  <c r="J44" i="5"/>
  <c r="K41" i="5"/>
  <c r="K40" i="5"/>
  <c r="K45" i="5"/>
  <c r="J45" i="5"/>
  <c r="K39" i="5"/>
  <c r="J39" i="5"/>
  <c r="K31" i="5"/>
  <c r="K36" i="5"/>
  <c r="K35" i="5"/>
  <c r="K33" i="5"/>
  <c r="K27" i="5"/>
  <c r="K28" i="5" s="1"/>
  <c r="J27" i="5"/>
  <c r="K26" i="5"/>
  <c r="J26" i="5"/>
  <c r="B26" i="5"/>
  <c r="K25" i="5"/>
  <c r="J25" i="5"/>
  <c r="B25" i="5"/>
  <c r="J46" i="5"/>
  <c r="J28" i="5" l="1"/>
  <c r="G40" i="6"/>
  <c r="L70" i="5"/>
  <c r="L26" i="5"/>
  <c r="J58" i="5"/>
  <c r="L58" i="5" s="1"/>
  <c r="J57" i="5"/>
  <c r="L45" i="5"/>
  <c r="L38" i="5"/>
  <c r="L39" i="5"/>
  <c r="E59" i="5"/>
  <c r="J59" i="5" s="1"/>
  <c r="L59" i="5" s="1"/>
  <c r="J41" i="5"/>
  <c r="L41" i="5" s="1"/>
  <c r="L46" i="5"/>
  <c r="L25" i="5"/>
  <c r="L44" i="5"/>
  <c r="L42" i="5"/>
  <c r="L43" i="5"/>
  <c r="L47" i="5"/>
  <c r="L69" i="5"/>
  <c r="E65" i="5"/>
  <c r="J65" i="5" s="1"/>
  <c r="E35" i="5"/>
  <c r="J33" i="5"/>
  <c r="L27" i="5"/>
  <c r="J40" i="5"/>
  <c r="L40" i="5" s="1"/>
  <c r="L28" i="5" l="1"/>
  <c r="L29" i="5" s="1"/>
  <c r="T29" i="5"/>
  <c r="G41" i="6"/>
  <c r="G42" i="6" s="1"/>
  <c r="G44" i="6" s="1"/>
  <c r="E28" i="1" s="1"/>
  <c r="I28" i="1" s="1"/>
  <c r="L57" i="5"/>
  <c r="L60" i="5" s="1"/>
  <c r="L61" i="5" s="1"/>
  <c r="J60" i="5"/>
  <c r="J73" i="5" s="1"/>
  <c r="T28" i="5"/>
  <c r="E67" i="5"/>
  <c r="J67" i="5" s="1"/>
  <c r="L67" i="5" s="1"/>
  <c r="J35" i="5"/>
  <c r="L35" i="5" s="1"/>
  <c r="J63" i="5"/>
  <c r="J31" i="5"/>
  <c r="L33" i="5"/>
  <c r="L68" i="5"/>
  <c r="J36" i="5"/>
  <c r="L36" i="5" s="1"/>
  <c r="L65" i="5"/>
  <c r="L63" i="5" l="1"/>
  <c r="J74" i="5"/>
  <c r="J75" i="5" s="1"/>
  <c r="L31" i="5"/>
  <c r="J48" i="5"/>
  <c r="J51" i="5" l="1"/>
  <c r="L48" i="5"/>
  <c r="L49" i="5" s="1"/>
  <c r="L51" i="5"/>
  <c r="M52" i="5"/>
  <c r="J53" i="5"/>
  <c r="J52" i="5" l="1"/>
  <c r="J54" i="5" s="1"/>
  <c r="M53" i="5"/>
  <c r="L73" i="5" l="1"/>
  <c r="L52" i="5" l="1"/>
  <c r="L75" i="5" l="1"/>
  <c r="L74" i="5"/>
  <c r="L53" i="5"/>
  <c r="L54" i="5" s="1"/>
  <c r="L55" i="5" s="1"/>
  <c r="J76" i="5" l="1"/>
  <c r="J78" i="5" l="1"/>
  <c r="L76" i="5"/>
  <c r="L77" i="5" s="1"/>
  <c r="L78" i="5" s="1"/>
  <c r="L84" i="5" s="1"/>
  <c r="E27" i="1" l="1"/>
  <c r="E30" i="1" s="1"/>
  <c r="I63" i="2"/>
  <c r="I27" i="1"/>
  <c r="F30" i="1"/>
  <c r="I30" i="1" l="1"/>
  <c r="E32" i="1"/>
  <c r="F31" i="1"/>
  <c r="F32" i="1" s="1"/>
  <c r="I31" i="1" l="1"/>
  <c r="I32" i="1"/>
  <c r="H32" i="1"/>
</calcChain>
</file>

<file path=xl/sharedStrings.xml><?xml version="1.0" encoding="utf-8"?>
<sst xmlns="http://schemas.openxmlformats.org/spreadsheetml/2006/main" count="1011" uniqueCount="647">
  <si>
    <t>на проектные и изыскательские работы</t>
  </si>
  <si>
    <t xml:space="preserve">Наименование строительства и стадии проектирования </t>
  </si>
  <si>
    <t>Перечень выполняемых работ</t>
  </si>
  <si>
    <t>Всего</t>
  </si>
  <si>
    <t>1</t>
  </si>
  <si>
    <t>2</t>
  </si>
  <si>
    <t>3</t>
  </si>
  <si>
    <t>Характеристика проектируемого объекта</t>
  </si>
  <si>
    <t>Ссылка на № смет по формам 2П, 3П</t>
  </si>
  <si>
    <t>№ пп</t>
  </si>
  <si>
    <t>4</t>
  </si>
  <si>
    <t>5</t>
  </si>
  <si>
    <t>6</t>
  </si>
  <si>
    <t xml:space="preserve">Итого по сводной смете </t>
  </si>
  <si>
    <t/>
  </si>
  <si>
    <t>НДС</t>
  </si>
  <si>
    <t xml:space="preserve">Всего по сводной смете </t>
  </si>
  <si>
    <t>Проектная
документация</t>
  </si>
  <si>
    <t xml:space="preserve">Рабочая
документация </t>
  </si>
  <si>
    <t>Инженерные 
изыскания</t>
  </si>
  <si>
    <t>Обмерные работы 
и обследования</t>
  </si>
  <si>
    <t>Инженерно-геодезические изыскания (Строительство трамвайного диспетчерского центра. Этап 6)</t>
  </si>
  <si>
    <t>Инженерно-геологические изыскания (Строительство трамвайного диспетчерского центра. Этап 6)</t>
  </si>
  <si>
    <t>Инженерно-экологические изыскания (Строительство трамвайного диспетчерского центра. Этап 6)</t>
  </si>
  <si>
    <t>Инженерно-гидрометеорологические изыскания (Строительство трамвайного диспетчерского центра. Этап 6)</t>
  </si>
  <si>
    <t>7</t>
  </si>
  <si>
    <t>8</t>
  </si>
  <si>
    <t>9</t>
  </si>
  <si>
    <t>10</t>
  </si>
  <si>
    <t>11</t>
  </si>
  <si>
    <t>Смета №3</t>
  </si>
  <si>
    <t>Смета №4</t>
  </si>
  <si>
    <t xml:space="preserve">форма №2П
</t>
  </si>
  <si>
    <t>Наименование объекта изысканий:</t>
  </si>
  <si>
    <t>Инженерно-геодезические изыскания по объекту: «О создании и эксплуатации объектов транспортной инфраструктуры и технологически связанных с ними транспортных средств, обеспечивающих деятельность, связанную с перевозками пассажиров транспортом общего пользования, в муниципальном образовании городской округ город Ярославль в Ярославской области»
«Этап 6: "Строительство трамвайного диспетчерского центра»</t>
  </si>
  <si>
    <t>Наименование работ и затрат</t>
  </si>
  <si>
    <t>Ед.
Изм</t>
  </si>
  <si>
    <t>Кол-
во.</t>
  </si>
  <si>
    <t>Обоснование стоимости</t>
  </si>
  <si>
    <t>Расчет стоимости</t>
  </si>
  <si>
    <t>Стоимость, руб.</t>
  </si>
  <si>
    <t>Раздел</t>
  </si>
  <si>
    <t>Полевые работы</t>
  </si>
  <si>
    <t>1.1</t>
  </si>
  <si>
    <t>1 га</t>
  </si>
  <si>
    <t>Коэффициенты</t>
  </si>
  <si>
    <t>K1 = 1.55                             СБЦ на инж.из. для стр-ва. Инженерно-геодезические изыскания, 2004 г., Примечание 4 к Таблице 9</t>
  </si>
  <si>
    <t>1.2</t>
  </si>
  <si>
    <t>1 пункт</t>
  </si>
  <si>
    <t>K1 = 1.3
Прим. к табл.8 п.2</t>
  </si>
  <si>
    <t>1.3</t>
  </si>
  <si>
    <t>Высотная опорная сеть. Класс точности: IV класс.  Категория сложности II</t>
  </si>
  <si>
    <t>K1 = 0.4
Прим. к табл.8 п.1</t>
  </si>
  <si>
    <t>1.4</t>
  </si>
  <si>
    <t>Итого по разделу:</t>
  </si>
  <si>
    <t>1.5</t>
  </si>
  <si>
    <t>Всего по разделу:</t>
  </si>
  <si>
    <t>Сумма от п.1.5</t>
  </si>
  <si>
    <t>Камеральные работы</t>
  </si>
  <si>
    <t>2.1</t>
  </si>
  <si>
    <t>К1 = 1.55                                          СБЦ на инж.из. для стр-ва. Инженерно-геодезические изыскания, 2004 г., Примечание 4 к Таблице 9</t>
  </si>
  <si>
    <t>К2 = 1.2                                          СБЦ на инж.из. для стр-ва. Инженерно-геодезические изыскания, 2004 г., ОУ п. 15д</t>
  </si>
  <si>
    <t>К3 = 1.1                                         СБЦ на инж.из. для стр-ва. Инженерно-геодезические изыскания, 2004 г., ОУ п. 15г</t>
  </si>
  <si>
    <t>2.2</t>
  </si>
  <si>
    <t>К1 = 1.2                                          СБЦ на инж.из. для стр-ва. Инженерно-геодезические изыскания, 2004 г., ОУ п. 15д</t>
  </si>
  <si>
    <t>2.3</t>
  </si>
  <si>
    <t>2.4</t>
  </si>
  <si>
    <t>Расходы на составление технического отчета (пояснительной записки) по геодезическим работам. Составление технического отчета (пояснительной записки) по геодезическим работам при стоимости полевых и камеральных работ, определенной по ценам глав 4-8, до 100 тыс. руб</t>
  </si>
  <si>
    <t>СБЦ на инж.из. для стр-ва "Инженерно-геодезические изыскания" (табл. 79 п.1)</t>
  </si>
  <si>
    <t>2.5</t>
  </si>
  <si>
    <t>Расходы на составление программы (предписания)по геодезическим работам. Составление программы (предписания) по геодезическим работам при стоимости полевых и камеральных работ, определенной по ценам глав 4-8, до 100 тыс. руб.</t>
  </si>
  <si>
    <t>СБЦ на инж.из. для стр-ва "Инженерно-геодезические изыскания" (табл. 78 п.1)</t>
  </si>
  <si>
    <t>2.6</t>
  </si>
  <si>
    <t>2.7</t>
  </si>
  <si>
    <t>2.8</t>
  </si>
  <si>
    <t>Сумма от п.2.7</t>
  </si>
  <si>
    <t>Итого по смете:</t>
  </si>
  <si>
    <t>Расходы по внутреннему транспорту. Расстояние от базы до участка изысканий св. 5 до 10 км. Сметная стоимость полевых изыск.работ до 75 тыс.руб</t>
  </si>
  <si>
    <t>СБЦ на инж.из. для стр-ва "Инженерно-геодезические изыскания" (ОУ п. 13)</t>
  </si>
  <si>
    <t>Итого</t>
  </si>
  <si>
    <t>Всего по смете:</t>
  </si>
  <si>
    <t>на инженерно-геологические изыскания</t>
  </si>
  <si>
    <t>Механическое ударно-канатное бурение 8 скважин, диаметром свыше 127 до 168 мм, глубиной до. 20 м. Категория породы II</t>
  </si>
  <si>
    <t>1 м</t>
  </si>
  <si>
    <t>Категория породы III</t>
  </si>
  <si>
    <t>1 монолит</t>
  </si>
  <si>
    <t>Гидрогеологические наблюдения при бурении скважины диаметром, св. 127 до 168 мм. Глубина скважины, до 20 м, без "тартания"</t>
  </si>
  <si>
    <t>K1 = 0.6
Часть II, Глава 5, п.7</t>
  </si>
  <si>
    <t>Крепление скважин при бурении диаметром, мм: св. 127 до 168. Глубина скважины, м: до 20</t>
  </si>
  <si>
    <t>1 испытание</t>
  </si>
  <si>
    <t>Итого Полевые работы:</t>
  </si>
  <si>
    <t>Всего Полевые работы:</t>
  </si>
  <si>
    <t>Лабораторные работы</t>
  </si>
  <si>
    <t>Определение полного  комплекса физических свойств грунтов</t>
  </si>
  <si>
    <t>1 образец</t>
  </si>
  <si>
    <t>Определение грансостава  ситовым методом и методом ареометра, с разделением на фракции от 10 до 0,005 мм</t>
  </si>
  <si>
    <t>Гранулометрический анализ ситовым методом с разделением на фракции от 10 до 0,1 мм (до 1 кг)</t>
  </si>
  <si>
    <t>Определение коррозионной активности грунтов по отношению к стали</t>
  </si>
  <si>
    <t>Сокращенный комплекс физико-механических свойств грунта при консолидированном срезе с нагрузкой  до 0,6 МПа (3 точки)</t>
  </si>
  <si>
    <t>Предварительное уплотнение глинистых грунтов перед срезом (3 точки)</t>
  </si>
  <si>
    <t>Водонасыщение грунта в приспособлениях с арретиром</t>
  </si>
  <si>
    <t>Таблица 062 п.19
A=1.1 руб; 
Количество =12(1 образец)</t>
  </si>
  <si>
    <t>1.1 руб * 12</t>
  </si>
  <si>
    <t>Показатели сжимаемости и сопутствующие определения при компрессионных испытаниях по одной ветви до 0,6 МПа 
                                                              6 точек</t>
  </si>
  <si>
    <t>А * Количество
(101,9-(7,2+17,6)) руб*12</t>
  </si>
  <si>
    <t>2.9</t>
  </si>
  <si>
    <t>Определение коэффициента фильтрации связных грунтов</t>
  </si>
  <si>
    <t>2.10</t>
  </si>
  <si>
    <t>Анализ водной вытяжки с определением по разности суммы натрия и калия.</t>
  </si>
  <si>
    <t>2.11</t>
  </si>
  <si>
    <t>Приготовление водной вытяжки</t>
  </si>
  <si>
    <t>2.12</t>
  </si>
  <si>
    <t>Сокращенный анализ воды с определением агрессивности</t>
  </si>
  <si>
    <t>1 проба</t>
  </si>
  <si>
    <t>А * 45,7 *3</t>
  </si>
  <si>
    <t>2.13</t>
  </si>
  <si>
    <t>Итого Лабораторные работы:</t>
  </si>
  <si>
    <t>2.14</t>
  </si>
  <si>
    <t>Всего Лабораторные работы:</t>
  </si>
  <si>
    <t>3.1</t>
  </si>
  <si>
    <t>1 м выработки</t>
  </si>
  <si>
    <t>3.2</t>
  </si>
  <si>
    <t>Составление программы производства работ при средней глубине исследования, св. 10 м. Исследуемая площадь  до 1 км2</t>
  </si>
  <si>
    <t>1 программа</t>
  </si>
  <si>
    <t>Таблица 081 п.3
A=800 руб; 
Количество = 1 (1 программа)</t>
  </si>
  <si>
    <t>3.3</t>
  </si>
  <si>
    <t>3.4</t>
  </si>
  <si>
    <t>29.7 руб *6</t>
  </si>
  <si>
    <t>3.5</t>
  </si>
  <si>
    <t>Итого Камеральные работы:</t>
  </si>
  <si>
    <t>3.6</t>
  </si>
  <si>
    <t>Камеральная обработка лабораторных определений  глинистых грунтов</t>
  </si>
  <si>
    <t>3.7</t>
  </si>
  <si>
    <t>Камеральная обработка лабораторных испытаний песчаных грунтов</t>
  </si>
  <si>
    <t>15% от п.2.3</t>
  </si>
  <si>
    <t>3.8</t>
  </si>
  <si>
    <t>Камеральная обработка химического состава грунтов</t>
  </si>
  <si>
    <t>3.9</t>
  </si>
  <si>
    <t>Камеральная обработка химического состава воды</t>
  </si>
  <si>
    <t>3.10</t>
  </si>
  <si>
    <t>Камеральная обработка определения коррозионной активности грунтов</t>
  </si>
  <si>
    <t>СБЦ -99 (табл. 86 п.8)</t>
  </si>
  <si>
    <t>15.0% от п.2.4</t>
  </si>
  <si>
    <t>3.11</t>
  </si>
  <si>
    <t>3.12</t>
  </si>
  <si>
    <t>Всего Камеральные работы:</t>
  </si>
  <si>
    <t>Прочие расходы</t>
  </si>
  <si>
    <t>4.1</t>
  </si>
  <si>
    <t>СБЦ-99 (ОУ п. 9 Таблица 4)</t>
  </si>
  <si>
    <t>4.2</t>
  </si>
  <si>
    <t>СБЦ -99 (ОУ п. 10 Таблица 5)</t>
  </si>
  <si>
    <t>4.3</t>
  </si>
  <si>
    <t>СБЦ -99 (ОУ п. 13)</t>
  </si>
  <si>
    <t>4.4</t>
  </si>
  <si>
    <t>Всего Прочие расходы:</t>
  </si>
  <si>
    <t xml:space="preserve"> на инженерно-экологические изыскания</t>
  </si>
  <si>
    <t xml:space="preserve">Здание Диспетчерского центра
30х10х5,5
</t>
  </si>
  <si>
    <t>Наименование объекта, стадии, этапа изыскательских работ</t>
  </si>
  <si>
    <t>км</t>
  </si>
  <si>
    <t>Исходные позиции:</t>
  </si>
  <si>
    <t>категория сложности условий</t>
  </si>
  <si>
    <t>категория проходимости</t>
  </si>
  <si>
    <t>К=</t>
  </si>
  <si>
    <t xml:space="preserve">районный коэффициент к ЗП работников изыскательских экспедиций </t>
  </si>
  <si>
    <t>неблагоприятный</t>
  </si>
  <si>
    <t xml:space="preserve">инфляционный индекс </t>
  </si>
  <si>
    <t>№</t>
  </si>
  <si>
    <t>Вид работ</t>
  </si>
  <si>
    <t>Параграф, пункт, таблица, примечание из СБЦ</t>
  </si>
  <si>
    <t>Ед. изм.</t>
  </si>
  <si>
    <t>Кол-во</t>
  </si>
  <si>
    <t>цена, руб.</t>
  </si>
  <si>
    <t>ст-сть работ в базисных уровнях цен на 01.01.91, руб.</t>
  </si>
  <si>
    <t>инфл. индекс</t>
  </si>
  <si>
    <t>Сборник базовых цен на инженерно-геологические и инженерно-экологические изыскания для строительства, 1999 г.</t>
  </si>
  <si>
    <t>Подготовительные работы</t>
  </si>
  <si>
    <t>10 цифровых значений</t>
  </si>
  <si>
    <t>программа</t>
  </si>
  <si>
    <t>1 справка</t>
  </si>
  <si>
    <t>1 км</t>
  </si>
  <si>
    <t>точка</t>
  </si>
  <si>
    <t>Проходка горных выработок (прикопки)</t>
  </si>
  <si>
    <t>прикопка</t>
  </si>
  <si>
    <t xml:space="preserve">Радиационное обследование территории </t>
  </si>
  <si>
    <t>0,1 га</t>
  </si>
  <si>
    <t>20 точек</t>
  </si>
  <si>
    <t>%</t>
  </si>
  <si>
    <t>проба</t>
  </si>
  <si>
    <t>Комплексная расценка лабораторных работ по определению химического состава подземных вод (запах при 20 С, цветность, вкус, сухой остаток (минерализация), рН, мышьяк, кадмий, цинк, свинец, ртуть, медь, марганец, никель, нитраты, фенолы, ХПК, хлориды, нефтепродукты, поверхностно-активные вещества (ПАВ) анионо-активные)</t>
  </si>
  <si>
    <t>Комплексная расценка лабораторных работ по определению химического состава грунтов (почв) (пробоподготовка, свинец, кадмий, цинк, медь, никель, мышьяк, ртуть, бенз(а)пирен (определение полициклических ароматических углеводородов хроматографическим методом), нефтепродукты, рН солевой вытяжки)</t>
  </si>
  <si>
    <t>Комплексная расценка лабораторных работ по определению агрохимического состава почв (рН водной вытяжки, рН солевой вытяжки, приготовление водной вытяжки, приготовление солянокислой вытяжки, гумус (по Тюрину), азот общий по Къельдалю, калий подвижный по Кирсанову или Мачигиной, Фосфор подвижный по Труогу или по Кирсанову</t>
  </si>
  <si>
    <t xml:space="preserve">Камеральная обработка результатов анализов </t>
  </si>
  <si>
    <t>Измерения шума **)</t>
  </si>
  <si>
    <t>1 измерение</t>
  </si>
  <si>
    <t>Итого по фактическим затратам:</t>
  </si>
  <si>
    <t>Итого по всем разделам работ:</t>
  </si>
  <si>
    <t>на инженерно-гидрометеорологические изыскания</t>
  </si>
  <si>
    <t xml:space="preserve">«О создании и эксплуатации объектов транспортной инфраструктуры и технологически связанных с ними транспортных средств, обеспечивающих деятельность, связанную с перевозками пассажиров транспортом общего пользования, в муниципальном образовании городской округ город Ярославль в Ярославской области. 
Этап 6 "Строительство трамвайного диспетчерского центра"
</t>
  </si>
  <si>
    <t>Сметный расчёт составлен: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t>
  </si>
  <si>
    <t>№ п/п</t>
  </si>
  <si>
    <t>Характеристика вида работ</t>
  </si>
  <si>
    <t>Единица измерения</t>
  </si>
  <si>
    <t>Кол-    во</t>
  </si>
  <si>
    <t>таблица</t>
  </si>
  <si>
    <t>табл. 51, §1</t>
  </si>
  <si>
    <t>2 * 105,0</t>
  </si>
  <si>
    <t>схема</t>
  </si>
  <si>
    <t>табл. 51, §3</t>
  </si>
  <si>
    <t>1 * 61,0</t>
  </si>
  <si>
    <t>Систематизация собранных материалов и данных метеорологических изысканий. Подбор станций и постов с оценкой качества материалов наблюдений и степени их репрезентативности</t>
  </si>
  <si>
    <t>табл.67, §1</t>
  </si>
  <si>
    <t>1 * 90,0</t>
  </si>
  <si>
    <t>расчёт</t>
  </si>
  <si>
    <t>табл. 68 § 15</t>
  </si>
  <si>
    <t>12</t>
  </si>
  <si>
    <t>табл.53, §2</t>
  </si>
  <si>
    <t>13</t>
  </si>
  <si>
    <t>отчет</t>
  </si>
  <si>
    <t>табл. 62 §4</t>
  </si>
  <si>
    <t>14</t>
  </si>
  <si>
    <t>15</t>
  </si>
  <si>
    <t>16</t>
  </si>
  <si>
    <t>табл.5,§4</t>
  </si>
  <si>
    <t>17</t>
  </si>
  <si>
    <t>18</t>
  </si>
  <si>
    <t>Итого в ценах 1991 г.:</t>
  </si>
  <si>
    <t>Итого с учётом индекса изменения стоимости к уровню базовых цен по состоянию на 1 января 1991 г.</t>
  </si>
  <si>
    <t>Всего по смете</t>
  </si>
  <si>
    <t>Ю.В. Трунов</t>
  </si>
  <si>
    <t>Е.А. Макеева</t>
  </si>
  <si>
    <t xml:space="preserve">ИСПОЛНИТЕЛЬНАЯ СВОДНАЯ СМЕТА </t>
  </si>
  <si>
    <r>
      <t>Выполнение проектнол-изыскательских работ по объекту:</t>
    </r>
    <r>
      <rPr>
        <b/>
        <sz val="10"/>
        <rFont val="Arial"/>
        <family val="2"/>
        <charset val="204"/>
      </rPr>
      <t xml:space="preserve"> «О создании и эксплуатации объектов транспортной инфраструктуры и технологически связанных с ними транспортных средств, обеспечивающих деятельность, связанную с перевозками пассажиров транспортом общего пользования, в муниципальном образовании городской округ город Ярославль в Ярославской области»
6 этап: «Строительство трамвайного диспетчерского центра»</t>
    </r>
  </si>
  <si>
    <t>ООО «МОВИСТА РЕГИОНЫ Ярославль»</t>
  </si>
  <si>
    <t>по объекту:</t>
  </si>
  <si>
    <t>Заказчик</t>
  </si>
  <si>
    <t>ООО "ЕДСО"</t>
  </si>
  <si>
    <t>Смета №2</t>
  </si>
  <si>
    <t>инд. 1 кв. 2024 г. к спр. 01.01.2001 на инж.из.</t>
  </si>
  <si>
    <t>Коэф - т 5.83 от п.8</t>
  </si>
  <si>
    <t xml:space="preserve">Письмо Минстроя России от 07.03.2024 №13023-ИФ/09    К=5.83   </t>
  </si>
  <si>
    <t>Индекс на 1 квартал 2024 года на изыскательские работы к уровню цен на 01.01.1991</t>
  </si>
  <si>
    <t>Письмо Минстроя России от 07.03.2024 №13023-ИФ/09</t>
  </si>
  <si>
    <t>Коэф - т 66.38 от п.6</t>
  </si>
  <si>
    <t>0,5 * 18,0</t>
  </si>
  <si>
    <t>0,5 * 6,0</t>
  </si>
  <si>
    <t>записка</t>
  </si>
  <si>
    <t>22.1 руб * 50</t>
  </si>
  <si>
    <t>29.2 руб * 10</t>
  </si>
  <si>
    <t>Отбор монолитов связного грунта из буровых скважин с глубины:                                                  до 10 м.</t>
  </si>
  <si>
    <t>Таблица 57 п.1
A=22.9 руб; 
Количество = 21 (1 монолит)</t>
  </si>
  <si>
    <t>22.9 руб * 21</t>
  </si>
  <si>
    <t>1.5 руб * 33,3 * 0.6</t>
  </si>
  <si>
    <t>При выполнении гидрогеологических наблюдений без "тартания" к ценам применяется коэффициент</t>
  </si>
  <si>
    <t>Инженерно-геологическая, гидрогеологическая рекогносцировка при проходимости: хорошей. Категория сложности II</t>
  </si>
  <si>
    <t>1 км маршрута</t>
  </si>
  <si>
    <t>Таблица 09 п.1
A=23.3 руб; 
Количество = 0.4 (1км маршрута)</t>
  </si>
  <si>
    <t>23.3 руб * 0.4</t>
  </si>
  <si>
    <t>А * Количество
(47,1 -17,6-7,2))руб. *6</t>
  </si>
  <si>
    <t>Таблица 063. п.8 исключая
таблица 062 п.5,23;
А=22,3 руб.
Количество = 6 (1 образец)</t>
  </si>
  <si>
    <t>Таблица 062 п.23
A=17.6 руб; 
Количество =21 (1 образец)</t>
  </si>
  <si>
    <t>17.6 руб *21</t>
  </si>
  <si>
    <t>Таблица 064. п.9;
А=11,4 руб.
Количество = 10 (1 образец)</t>
  </si>
  <si>
    <t>А * Количество
11,4 руб *10</t>
  </si>
  <si>
    <t>Таблица 075 п.4
A=18.2 руб; 
Количество = 6 (1 образец)</t>
  </si>
  <si>
    <t>18.2 руб * 6</t>
  </si>
  <si>
    <t>Таблица 063. п.11 исключая
таблица 062 п.5,23,31;
А=94,0 руб.
Количество =12 (1 образец)</t>
  </si>
  <si>
    <t>А * Количество
(135 -(7,2+17,6+16,2))руб. *12</t>
  </si>
  <si>
    <t>Таблица 062 п.27
A=14.4 руб; 
Количество = 12 (1 образец)</t>
  </si>
  <si>
    <t>14.4 руб *12</t>
  </si>
  <si>
    <t>Таблица 62 п.20
A=16.2 руб; 
Количество = 6(1 образец)</t>
  </si>
  <si>
    <t>16.2 руб * 6</t>
  </si>
  <si>
    <t>48.8 руб *6</t>
  </si>
  <si>
    <t>3.8 руб * 6</t>
  </si>
  <si>
    <t>Камеральная обработка материалов буровых работ с гидрогеологическими наблюдениями.Категория сложности инженерно-геологических условий II</t>
  </si>
  <si>
    <t>9.3 руб *33,3</t>
  </si>
  <si>
    <t>Камеральная обработка материалов буровых работ без гидрогеологическими наблюдениями.Категория сложности инженерно-геологических условий II</t>
  </si>
  <si>
    <t>8.2 руб *26,7</t>
  </si>
  <si>
    <t>Камеральная обработка полевого испытания грунтов в скважинах, шурфах и горизонтальных выработках вертикальной статической нагрузкой (штампом, прессиомером)</t>
  </si>
  <si>
    <t>Таблица 083 п.6
A=94.7 руб; 
Количество = 6 (1 испытание)</t>
  </si>
  <si>
    <t>94.7 руб *6</t>
  </si>
  <si>
    <t>Инженерно-топографические планы. Масштаб съемки 1:500. Высота сечения рельефа 0,5 м. Категория сложности III. Вид территории: застроенная</t>
  </si>
  <si>
    <t>Часть I, Глава 1, Таблица 9.п. п.6
A=1559 руб; 
Количество = 2.15 (1 га)</t>
  </si>
  <si>
    <t>Съемка сооружений: подземных. Количество колодцев, шурфов, выпусков, опор узлов, примыканий на 1 га участка: 20 и более</t>
  </si>
  <si>
    <t>1 колодец</t>
  </si>
  <si>
    <t>Часть II, Глава 6, Таблица 37.п. п.1
A=36 руб; 
Количество = 48 (1 колодец)</t>
  </si>
  <si>
    <t>36 руб * 48</t>
  </si>
  <si>
    <t>Нивелирование сооружений: подземных. Количество колодцев, шурфов, выпусков, опор узлов, примыканий на 1 га участка: 20 и более</t>
  </si>
  <si>
    <t>Часть II, Глава 6, Таблица 37.п. п.3
A=49 руб; 
Количество = 48 (1 колодец)</t>
  </si>
  <si>
    <t>49 руб * 48</t>
  </si>
  <si>
    <t>1 точка (выработка)</t>
  </si>
  <si>
    <t>Согласование подземных коммуникации с эксплуатирующими организациями.                               12 организаций</t>
  </si>
  <si>
    <t>480 руб * 12</t>
  </si>
  <si>
    <t>1897 руб * 4 * 0.4</t>
  </si>
  <si>
    <t>2538 руб * 4 * 1.2</t>
  </si>
  <si>
    <t>428 руб * 4 * 1.2</t>
  </si>
  <si>
    <t xml:space="preserve">Лабораторные работы </t>
  </si>
  <si>
    <t>Рекогносцировочное почвенное обследование при хорошей проходимости (II категория сложности)</t>
  </si>
  <si>
    <t>Смета №1.1</t>
  </si>
  <si>
    <t>Смета №1.2</t>
  </si>
  <si>
    <t>6426 руб * 4 * 1.3</t>
  </si>
  <si>
    <t>1559 руб * 0,38 * 1.55 * 1.2 * 1.1</t>
  </si>
  <si>
    <t>4824 руб * 0,38  *   1.55 * 1.4</t>
  </si>
  <si>
    <t xml:space="preserve">Часть II, Пункт 12  Таблица 75 прим.3                                   A=480 руб; 
Количество = 8 (1 шт.) 			</t>
  </si>
  <si>
    <t>480 руб * 8</t>
  </si>
  <si>
    <t>1.6</t>
  </si>
  <si>
    <t>ОУ, Табл. 2, п.2</t>
  </si>
  <si>
    <t>Сумма от п.1.4-1.5</t>
  </si>
  <si>
    <t>Расходы по организации и ликвидации работ (К-2,0 - для изысканий со сметной стоимостью свыше 30 до 75 тыс. руб.;)</t>
  </si>
  <si>
    <t>Сумма от п.9</t>
  </si>
  <si>
    <t>Плановая и высотная привязка при расстоянии между точками (геологическими выработками), м: до 50. Категория сложности III</t>
  </si>
  <si>
    <t>Часть II, Глава 7, Таблица 48.п. п.2
A=141 руб; 
Количество = 8 (1 колодец)</t>
  </si>
  <si>
    <t>141 руб * 8</t>
  </si>
  <si>
    <t>4824 руб * 2.15  *   1.55 * 1.2</t>
  </si>
  <si>
    <t>Инженерно-топографические планы. Масштаб съемки 1:500. Высота сечения рельефа 0,5 м. Категория сложности III. Вид территории: застроенная. Подеревная съемка</t>
  </si>
  <si>
    <t>K2 = 1.2                            СБЦ на инж.из. для стр-ва. Инженерно-геодезические изыскания, 2004 г., Таблица 10, п.1.2 (маленький объем 1-5 га)</t>
  </si>
  <si>
    <t>K2 = 1.4                            СБЦ на инж.из. для стр-ва. Инженерно-геодезические изыскания, 2004 г., Таблица 10, п.1.1 (маленький объем до 1 га)</t>
  </si>
  <si>
    <t>K1 = 0,7 - подеревная съемка,                            СБЦ на инж.из. для стр-ва. Инженерно-геодезические изыскания, 2004 г., п.5</t>
  </si>
  <si>
    <t>4824 руб * 2.15  *   0,7</t>
  </si>
  <si>
    <t>1.7</t>
  </si>
  <si>
    <t>1559 руб * 2.15 * 1.55 * 1.2 * 1.1</t>
  </si>
  <si>
    <t>1559 руб * 2.15 * 0,7</t>
  </si>
  <si>
    <t>Сумма от п.2.6</t>
  </si>
  <si>
    <t>11.25% от п.1.7</t>
  </si>
  <si>
    <t>36.4% от п.1.7, 4</t>
  </si>
  <si>
    <t>Расходы по внутреннему транспорту. Расстояние от базы до участка изысканий св. 20 до 30 км. Сметная стоимость полевых изыск.работ до 75 тыс.руб</t>
  </si>
  <si>
    <t>СБЦ на инж.из. для стр-ва "Инженерно-геодезические изыскания" (ОУ п. 9 Таблица 4, п.5)</t>
  </si>
  <si>
    <t>18,75% от п.1.6</t>
  </si>
  <si>
    <t>Инженерно-геодезические изыскания (Строительство трамвайного диспетчерского центра. Этап 6) Дополнительные работы</t>
  </si>
  <si>
    <t>5.5 руб * 52</t>
  </si>
  <si>
    <t>Прим. 1 с разбуриванием  - К-т 1,5</t>
  </si>
  <si>
    <t>128,3 руб * 6 * 1,5</t>
  </si>
  <si>
    <t>Испытание грунтов в буровых скважинах на глубине до 10 м вертикальной статической нагрузкой штампом площадью 600 см2 удельным давлением, МПа: св. 0,5. Категория сложности I-II</t>
  </si>
  <si>
    <t>Испытание грунтов в буровых скважинах на глубине до 10 м вертикальной статической нагрузкой штампом площадью 600 см2 удельным давлением, МПа: св. 0,3 до 0,5. Категория сложности I-II</t>
  </si>
  <si>
    <t>657 руб * 4</t>
  </si>
  <si>
    <t>487 руб * 2</t>
  </si>
  <si>
    <t>1.8</t>
  </si>
  <si>
    <t>1.9</t>
  </si>
  <si>
    <t>1.10</t>
  </si>
  <si>
    <t>K1 = 1.25
Часть VII, Глава 20, примечание 1 к таблице 81</t>
  </si>
  <si>
    <t>800 руб * 1 * 1.25</t>
  </si>
  <si>
    <t>Составление технического отчета (заключения) о результатах выполненных работ. Стоимость камеральных работ  до 5 тыс. руб. Категория сложности инженерно-геологических условий III</t>
  </si>
  <si>
    <t>Расходы по внутреннему транспорту. Расстояние от базы до участка изысканий св. 15 до 20 км. Сметная стоимость полевых изыск.работ св. 5 до 10 тыс.руб</t>
  </si>
  <si>
    <t>15,0 % от п.1.10</t>
  </si>
  <si>
    <t>Расходы по организации и ликвидации работ (К-т 1,5 - при стоимости св. 5 до 10 тыс.руб.)</t>
  </si>
  <si>
    <t>6% от п.1.10, 4.1; К-т 1,5</t>
  </si>
  <si>
    <t>Итого п.3-8</t>
  </si>
  <si>
    <t>30,8% от п.1.6, 4</t>
  </si>
  <si>
    <t>Расходы по внешнему транспорту. Расстояние проезда и перевозки в одном направлении от 1000 до 2000 км. Продолжительность экспедиции 1 мес (Ростов-на-Дону - Ярославль - 1 353,1 км)</t>
  </si>
  <si>
    <t>Расходы по внешнему транспорту. Расстояние проезда и перевозки в одном направлении св. 1000 до 2000 км. Продолжительность экспедиции до 1 мес (Ростов-на-Дону - Ярославль - 1 353,1 км)</t>
  </si>
  <si>
    <t>36,4% от п.1.10, 4.1</t>
  </si>
  <si>
    <t>Сметный расчет составлен по
следующим документам</t>
  </si>
  <si>
    <t>'1) (СиЦ-01-01) - Инженерно-геодезические изыскания. 2004 г.</t>
  </si>
  <si>
    <t>1) (СиЦ-91-02) - Инженерно-геологические и инженерно-экологические изыскания для строительства. 1999 г.</t>
  </si>
  <si>
    <t>Сметный расчет составлен по следующим документам</t>
  </si>
  <si>
    <t>1) (СиЦ-91-04) - Инженерно-гидрографические и инженерно-гидрометеорологические изыскания на реках. 2000 г.</t>
  </si>
  <si>
    <t>Сметный расчет составлен по следующим документам:</t>
  </si>
  <si>
    <t>Расходы по внешнему транспорту. Расстояние проезда и перевозки в одном направлении от 500 до 1000 км. (Санкт-Питербург - Ярославль, 841.9 км). Продолжительность экспедиции 1 мес</t>
  </si>
  <si>
    <t>При выполнении полевых изыскательских работ в неблагоприятный период года (г. Ярославль 20/Х- 5/V (6,5 месяцев)</t>
  </si>
  <si>
    <t>Согласование подземных коммуникации с эксплуатирующими организациями.                               (8 организаций)</t>
  </si>
  <si>
    <t>Таблица 54 п.17
A=657 руб; 
Количество = 4 (1 испытание)</t>
  </si>
  <si>
    <t>Таблица 54 п.16
A=487 руб; 
Количество = 2 (1 испытание)</t>
  </si>
  <si>
    <t>Инженерно-экологические изыскания по объекту: «О создании и эксплуатации объектов транспортной инфраструктуры и технологически связанных с ними транспортных средств, обеспечивающих деятельность, связанную с перевозками пассажиров транспортом общего пользования, в муниципальном образовании городской округ город Ярославль в Ярославской области»
«Этап 6: "Строительство трамвайного диспетчерского центра»</t>
  </si>
  <si>
    <t>Статическое зондирование грунтов непрерывным вдавливанием зонда со скоростью не свыше 1м/мин. Глубина зондирования, до 10 м</t>
  </si>
  <si>
    <t xml:space="preserve">Для районов II категорий сложности инженерно-геологических условий </t>
  </si>
  <si>
    <t>Камеральная обработка полевого испытания грунтов  статическим зондированием на  глубину до 10 м</t>
  </si>
  <si>
    <t>20% от п.2.1 - 2.2, 2.5 - 2.9</t>
  </si>
  <si>
    <t>12% от п.2.10 - 2.11</t>
  </si>
  <si>
    <t>15% от п.2.12</t>
  </si>
  <si>
    <t>3.13</t>
  </si>
  <si>
    <t>Описание точек наблюдения при составлении  почвенной карты (II категория сложности)</t>
  </si>
  <si>
    <t>`6.1</t>
  </si>
  <si>
    <t>`6.2</t>
  </si>
  <si>
    <t xml:space="preserve">ИГиИЭ из.,1999, ,табл.10, п. 3.1.2 </t>
  </si>
  <si>
    <t xml:space="preserve">ИГиИЭ из.,1999, ,табл.10, п. 4.2.2 </t>
  </si>
  <si>
    <t>ИГиИЭ из.,1999, табл.10, п.4.2.2, прим. 1 К=1,3-При определении мощности эквивалентной дозы гамма-излучения</t>
  </si>
  <si>
    <t xml:space="preserve">ИГиИЭ из.,1999, табл.10, п. 3.1.1; </t>
  </si>
  <si>
    <t xml:space="preserve">ИГиИЭ из.,1999, табл.10, п. 4.1.1; </t>
  </si>
  <si>
    <t>ИГиИЭ из.,1999, табл.10, п. 4.1.1, прим. 1 К=1,3 - При определении мощности эквивалентной дозы гамма-излучения</t>
  </si>
  <si>
    <t>ИГиИЭ из.,1999, табл. 11,п.2.2.2, К1=1,15 - При составлении инженерно-экологических карт на застроенную территорию</t>
  </si>
  <si>
    <t>ИГиИЭ из.,1999, табл. 11, п.2.2.1; прим. 1 К1=1,3- с нанесением радиометрических наблюдений; прим. 3, К2=1,15 - При составлении инженерно-экологических карт на застроенную территорию</t>
  </si>
  <si>
    <t>Отбор проб почвы на химическое загрязнение послойно методом конверта (до 5 м с глубин: 0,3-0,5; 0,5-1 м; 1-2 м далее чере 1 м;)</t>
  </si>
  <si>
    <t>Отбор проб почвы на бактериологическое загрязнение с одной пробной площадки (1 проба из 10 точечных)</t>
  </si>
  <si>
    <t>Отбор проб почвы на гельминтологическое загрязнение  одной пробной площадки (1 проба из 10 точечных)</t>
  </si>
  <si>
    <t>ИГиИЭ из.,1999, табл. 60, п.7, прим. 2</t>
  </si>
  <si>
    <t>Отбор проб почвы на радиоактивное загрязнение методами конверта</t>
  </si>
  <si>
    <t>Отбор проб почвы на агрохимические показатели, точечная (из 1 разреза -2 пробы)</t>
  </si>
  <si>
    <t>Организация и ликвидация работ (К-т -2,5, для изысканий со сметной стоимостью до 2 тыс. руб.)</t>
  </si>
  <si>
    <t>ИГиИЭ из.,1999, ОУ, п.13, прим.1</t>
  </si>
  <si>
    <t>Расходы по внешнему транспорту в обоих направлениях  продолжительностью 1 мес. Расстояние проезда и перевозки в одном направлении 1000 - 2000.(Ростов-на-Дону - Ярославль - 1 353,1 км)</t>
  </si>
  <si>
    <t>ИГиИЭ из.,1999, табл. 86, п.6</t>
  </si>
  <si>
    <t>ИГиИЭ из.,1999, табл. 92, п.3</t>
  </si>
  <si>
    <t>ИГиИЭ из.,1999,табл. 91, п.1</t>
  </si>
  <si>
    <t>ИГиИЭ из.,1999, табл. 87, п.2</t>
  </si>
  <si>
    <t>Составление технического отчета от стоимости камеральных работ до 5 тыс.руб. II категория сложности.</t>
  </si>
  <si>
    <t>Акт №БПБП-000895 от 24 октября 2023 г.</t>
  </si>
  <si>
    <t>1 показатель</t>
  </si>
  <si>
    <t>Справка о фоновых концентрациях загрязняющих веществ в атмосферном воздухе по данным госдарственной наблюдательной сети - 5 показателей</t>
  </si>
  <si>
    <t>Исполнитель</t>
  </si>
  <si>
    <t>Генеральный проектировщик</t>
  </si>
  <si>
    <t>Проектировщик</t>
  </si>
  <si>
    <t>ООО «РГП»</t>
  </si>
  <si>
    <t>ИП Иванов Е.А.</t>
  </si>
  <si>
    <t>на инженерно-геодезические изыскания</t>
  </si>
  <si>
    <t>Дополнительные работы</t>
  </si>
  <si>
    <t xml:space="preserve">«О создании и эксплуатации объектов транспортной инфраструктуры и технологически связанных с ними транспортных средств, обеспечивающих деятельность, связанную с перевозками пассажиров транспортом общего пользования, в муниципальном образовании городской округ город Ярославль в Ярославской области»
«Этап 6: "Строительство трамвайного диспетчерского центра»"   
</t>
  </si>
  <si>
    <t>Таблица 063. п.17 исключая
таблица 062 п.5 п.23;
А=77,1 руб.
Количество = 12 (1 обр.)</t>
  </si>
  <si>
    <r>
      <t>К</t>
    </r>
    <r>
      <rPr>
        <vertAlign val="subscript"/>
        <sz val="10"/>
        <rFont val="Times New Roman"/>
        <family val="1"/>
        <charset val="204"/>
      </rPr>
      <t>1</t>
    </r>
  </si>
  <si>
    <r>
      <t>К</t>
    </r>
    <r>
      <rPr>
        <vertAlign val="subscript"/>
        <sz val="10"/>
        <rFont val="Times New Roman"/>
        <family val="1"/>
        <charset val="204"/>
      </rPr>
      <t>2</t>
    </r>
  </si>
  <si>
    <r>
      <t xml:space="preserve">Наблюдения при передвижении по маршруту при составлении </t>
    </r>
    <r>
      <rPr>
        <i/>
        <sz val="10"/>
        <rFont val="Times New Roman"/>
        <family val="1"/>
        <charset val="204"/>
      </rPr>
      <t>карты современного экологического состояния</t>
    </r>
    <r>
      <rPr>
        <sz val="10"/>
        <rFont val="Times New Roman"/>
        <family val="1"/>
        <charset val="204"/>
      </rPr>
      <t xml:space="preserve"> при проходимости: хорошей в масштабе: 1:10000 - 1:5000</t>
    </r>
  </si>
  <si>
    <r>
      <t xml:space="preserve">Наблюдения при передвижении по маршруту при составлении </t>
    </r>
    <r>
      <rPr>
        <i/>
        <sz val="10"/>
        <rFont val="Times New Roman"/>
        <family val="1"/>
        <charset val="204"/>
      </rPr>
      <t>почвенной</t>
    </r>
    <r>
      <rPr>
        <sz val="10"/>
        <rFont val="Times New Roman"/>
        <family val="1"/>
        <charset val="204"/>
      </rPr>
      <t xml:space="preserve"> карты при проходимости: хорошей в масштабе: 1:2000 - 1:1000</t>
    </r>
  </si>
  <si>
    <r>
      <t xml:space="preserve">Наблюдения при передвижении по маршруту при составлении </t>
    </r>
    <r>
      <rPr>
        <i/>
        <sz val="10"/>
        <rFont val="Times New Roman"/>
        <family val="1"/>
        <charset val="204"/>
      </rPr>
      <t>карты фактического материала</t>
    </r>
    <r>
      <rPr>
        <sz val="10"/>
        <rFont val="Times New Roman"/>
        <family val="1"/>
        <charset val="204"/>
      </rPr>
      <t xml:space="preserve"> с определением мощности эквивалентной дозы гамма-излучения при проходимости: хорошей в масштабе: 1:2000 - 1:1000</t>
    </r>
  </si>
  <si>
    <r>
      <t xml:space="preserve">Описание точек наблюдений при составлении инженерно-экологических карт: </t>
    </r>
    <r>
      <rPr>
        <i/>
        <sz val="10"/>
        <rFont val="Times New Roman"/>
        <family val="1"/>
        <charset val="204"/>
      </rPr>
      <t xml:space="preserve"> карты современного экологического состояния</t>
    </r>
    <r>
      <rPr>
        <sz val="10"/>
        <rFont val="Times New Roman"/>
        <family val="1"/>
        <charset val="204"/>
      </rPr>
      <t xml:space="preserve"> (II категория сложности)</t>
    </r>
  </si>
  <si>
    <r>
      <t xml:space="preserve">Описание точек наблюдения при составлении карты </t>
    </r>
    <r>
      <rPr>
        <i/>
        <sz val="10"/>
        <rFont val="Times New Roman"/>
        <family val="1"/>
        <charset val="204"/>
      </rPr>
      <t>фактического материала с определением мощности эквивалентной дозы гамма-излучения</t>
    </r>
    <r>
      <rPr>
        <sz val="10"/>
        <rFont val="Times New Roman"/>
        <family val="1"/>
        <charset val="204"/>
      </rPr>
      <t xml:space="preserve"> (II категория сложности)</t>
    </r>
  </si>
  <si>
    <r>
      <t>К</t>
    </r>
    <r>
      <rPr>
        <vertAlign val="subscript"/>
        <sz val="10"/>
        <rFont val="Times New Roman"/>
        <family val="1"/>
        <charset val="204"/>
      </rPr>
      <t>3</t>
    </r>
    <r>
      <rPr>
        <sz val="11"/>
        <color theme="1"/>
        <rFont val="Calibri"/>
        <family val="2"/>
        <charset val="204"/>
        <scheme val="minor"/>
      </rPr>
      <t/>
    </r>
  </si>
  <si>
    <t>Стоимость в ценах 1 кв. 2024 г., руб.</t>
  </si>
  <si>
    <t xml:space="preserve">Рекогносцировка при проходимости: хорошая. II категория сложности
</t>
  </si>
  <si>
    <t>ИГиИЭ из.,1999, табл. 78, п. 2</t>
  </si>
  <si>
    <t>ИГиИЭ из.,1999, табл.81, п.1, прим. 1</t>
  </si>
  <si>
    <t>ИГиИЭ из.,1999, табл. 99, п.3</t>
  </si>
  <si>
    <t>ИГиИЭ из.,1999, табл.9, п.4, прим. 1 К-т 1,1</t>
  </si>
  <si>
    <t>ИГиИЭ из.,1999, табл.9, п.1, прим. 1 К-т 1,1</t>
  </si>
  <si>
    <t xml:space="preserve">ИГиИЭ из.,1999, табл. 25, п.1 </t>
  </si>
  <si>
    <t>ИГиИЭ из.,1999, табл. 60, п.7</t>
  </si>
  <si>
    <t xml:space="preserve">ИГиИЭ из.,1999, табл. 60, п.10, К=10 - 1 проба из 10 точечных; </t>
  </si>
  <si>
    <t xml:space="preserve">ИГиИЭ из.,1999, табл. 60, п.10;  К=0,9 - прим. 4; К=10 - 1 проба из 10 точечтных; </t>
  </si>
  <si>
    <t xml:space="preserve">Изменение потока радона на площадке (радоноопасность) </t>
  </si>
  <si>
    <t>ИГиИЭ из.,1999, табл. 5, п.5</t>
  </si>
  <si>
    <t>ИГиИЭ из.,1999, табл..72, п.81, п.84, п.91, п.56, п.25, п.35, п.15, п.75, п.49, п.48, п.33, п.30, п.39, п.41, п.66, п.79, п.72, п.38, п.85</t>
  </si>
  <si>
    <t>ИГиИЭ из.,1999, табл.70, п. 85, п.57, п.57, п.57, п.57, п.57, п.59, п.59, п.66, п. 63, п.14</t>
  </si>
  <si>
    <t>ИГиИЭ из.,1999, табл. 70, п. 14, п. 14,  п. 83, п. 84, п. 22, п. 15, п. 29, п. 79</t>
  </si>
  <si>
    <t>Краткая климатическая характеристика (температурный и ветровой режимы) района расположения объекта (Акт №БПБП-000895 от 24 октября 2023 г.)</t>
  </si>
  <si>
    <t>Рекогносцировочное обследование бассейна реки. Категория сложности I</t>
  </si>
  <si>
    <t>табл. 43, §2.2</t>
  </si>
  <si>
    <t>Составление таблицы гидрометеорологической изученности бассейна реки при числе пунктов наблюдения до 50</t>
  </si>
  <si>
    <t>Составление схемы гидрометеорологической изученности бассейна реки при числе пунктов наблюдения до 50</t>
  </si>
  <si>
    <t>Составление климатической характеристики района изысканий при числе метеорологических станций 1. Число годостанций до 50</t>
  </si>
  <si>
    <t>табл. 69 § 1.1</t>
  </si>
  <si>
    <t>1 годостанция</t>
  </si>
  <si>
    <t>Расчёт глубины промерзания грунта. Число годостанций 20.</t>
  </si>
  <si>
    <t>4 * 49,0</t>
  </si>
  <si>
    <t>1 * 201,0</t>
  </si>
  <si>
    <t>Составление программы производства гидрологических работ для обоснования проекта (ТЭО) при стоимости камеральных работ до 2 тыс.руб</t>
  </si>
  <si>
    <t>1 * 450,0</t>
  </si>
  <si>
    <t>Составление технического отчета при стоимости камеральных работ св. 500 до 1000 руб., степень гидрометеорологической изученности территории - изученная</t>
  </si>
  <si>
    <t>При разнообразных физико-географических условиях района изысканий, К-т 1,15</t>
  </si>
  <si>
    <t>1 * 761,00 * 60% * 1.15</t>
  </si>
  <si>
    <t xml:space="preserve">Расходы по внутреннему транспорту. Расстояние от базы до участка изысканий св. 15 до 20 км. Сметная стоимость полевых изыск.работ до 5 тыс.руб                                  </t>
  </si>
  <si>
    <t>табл.4,§ 4</t>
  </si>
  <si>
    <t>16,25% * 9,00</t>
  </si>
  <si>
    <t>Расходы по организации и ликвидации работ (К-т 2,5 - при стоимости до 2 тыс.руб.)</t>
  </si>
  <si>
    <t>6,0%*(9,00+ 1,46)*2,5</t>
  </si>
  <si>
    <t>36,4% * (9,00+ 1,46)</t>
  </si>
  <si>
    <t>Итого Полевые работы</t>
  </si>
  <si>
    <t>от п. 1</t>
  </si>
  <si>
    <t>Итого Камеральные работы</t>
  </si>
  <si>
    <t>от п. 9-11</t>
  </si>
  <si>
    <t>Итого Прочие расходы</t>
  </si>
  <si>
    <t>Плановая опорная сеть с закладкой центра 2 разряд.  Категория сложности II</t>
  </si>
  <si>
    <t xml:space="preserve">Часть II, Пункт 12  Таблица 75 прим.3                                               A=480 руб; 
Количество = 12 (1 шт.) 			</t>
  </si>
  <si>
    <t>СБЦ на инж.из. для стр-ва "Инженерно-геодезические изыскания" (ОУ п. 9 Таблица 4, п.2)</t>
  </si>
  <si>
    <t>СБЦ на инж.из. для стр-ва "Инженерно-геодезические изыскания"                          (ОУ п. 10 Таблица 5, п.5)</t>
  </si>
  <si>
    <t>Сумма от п.4 - 6</t>
  </si>
  <si>
    <t>Сумма от п.3, 7</t>
  </si>
  <si>
    <t>ИГиИЭ из.,1999, табл. 4, п.4</t>
  </si>
  <si>
    <t>Расходы по внутреннему транспорту при сметной стоимости полевых изыскательских работ до 5 тыс.руб. (1,503 тыс.руб.)  (св. 15 до 20 км)</t>
  </si>
  <si>
    <t>Полная стоимость работ, тыс. руб.</t>
  </si>
  <si>
    <t>Всего камеральные работы</t>
  </si>
  <si>
    <t>`30.1</t>
  </si>
  <si>
    <t>`30.2</t>
  </si>
  <si>
    <t>Итого п.28-37</t>
  </si>
  <si>
    <t xml:space="preserve">Итого Полевые работы </t>
  </si>
  <si>
    <t>Всего Полевые работы</t>
  </si>
  <si>
    <t>Всего Прочие расходы</t>
  </si>
  <si>
    <t>Итого Лабораторные работы</t>
  </si>
  <si>
    <t>Всего Лабораторные работы</t>
  </si>
  <si>
    <t>Итого Подготовительные работы</t>
  </si>
  <si>
    <t>от п.1-3</t>
  </si>
  <si>
    <t>Всего Подготовительные работы</t>
  </si>
  <si>
    <t>ООО "Гелиом"</t>
  </si>
  <si>
    <t>Исполнительная смета № 1.1</t>
  </si>
  <si>
    <t>Часть I, Глава 1, Таблица 9, п.6
A=1559 руб; 
Количество = 0,38 (1 га)</t>
  </si>
  <si>
    <t>Сумма от п.4-6</t>
  </si>
  <si>
    <t>Сумма от 2.1-2.6</t>
  </si>
  <si>
    <t>Сумма от 1.1-1.3</t>
  </si>
  <si>
    <t>СБЦ на инж.из. для стр-ва "Инженерно-геодезические изыскания"                          (ОУ п. 10 Таблица 5, п.4)</t>
  </si>
  <si>
    <t>Часть I, Глава 1, Таблица 9, п.6
A=4824руб; 
Количество = 2.15 (1 га)</t>
  </si>
  <si>
    <t>Сумма от п.1.1-1.5</t>
  </si>
  <si>
    <t>Сумма от п.1.7, 2.7</t>
  </si>
  <si>
    <t>Сумма от п.2.1-2.5</t>
  </si>
  <si>
    <t xml:space="preserve">Исполнительная смета № 2 </t>
  </si>
  <si>
    <t>Исполнительная смета № 1.2</t>
  </si>
  <si>
    <t>Исполнительная смета № 3</t>
  </si>
  <si>
    <t>Исполнительная смета № 4</t>
  </si>
  <si>
    <t>Таблица 19 п.2.2
A=22.1 руб; 
Количество = 50 (1 м)</t>
  </si>
  <si>
    <t>Таблица 19 п.2.3
A=29.2 руб; 
Количество =10 (1 м)</t>
  </si>
  <si>
    <t>Таблица 20 п.2, 
A=1.5 руб; 
Количество = 33,3 (1 м)</t>
  </si>
  <si>
    <t>Таблица 20 п.9
A=5.5 руб; 
Количество = 52 (1 м)</t>
  </si>
  <si>
    <t>Таблица 45 п.1
A=128,3 руб; 
Количество =6 (1 испытание)</t>
  </si>
  <si>
    <t>Сумма от п.1.1-1.8</t>
  </si>
  <si>
    <t>Сумма от п. 1.9</t>
  </si>
  <si>
    <t>Таблица 71 п.1
A=48.8 руб; 
Количество = 6 (1 образец)</t>
  </si>
  <si>
    <t>Таблица 70 п.83
A=3.8 руб; 
Количество = 6 (1 образец)</t>
  </si>
  <si>
    <t>Таблица 73. п.3 
А=45,7
Количество = 3 (1 проба)</t>
  </si>
  <si>
    <t>Сумма от 2.1-2.12</t>
  </si>
  <si>
    <t>Сумма от 2.13</t>
  </si>
  <si>
    <t>Таблица 82 п.2
A=9.3 руб; 
Количество =33,3 (1 м выработки)</t>
  </si>
  <si>
    <t>Таблица 82 п.1
A=8.2 руб; 
Количество =26,7 (1 м выработки)</t>
  </si>
  <si>
    <t>Таблица 83 п.1
A=29.7 руб; 
Количество = 6 (1 испытание)</t>
  </si>
  <si>
    <t>СБЦ-99 (табл. 86, п.1)</t>
  </si>
  <si>
    <t>СБЦ-99 (табл. 86, п.2)</t>
  </si>
  <si>
    <t>СБЦ -99 (табл. 86, п.4)</t>
  </si>
  <si>
    <t>СБЦ -99 (табл. 86, п.5)</t>
  </si>
  <si>
    <t>Коэф - т 1.5 и 21% от п.3.2 - 3.5, 3.7 - 3.11</t>
  </si>
  <si>
    <t>СБЦ-99(табл. 87, п.1) Методическое пособие по определению стоимости инженерных изысканий для строительства, Москва, 2004 г., приложение 6, ответ №26</t>
  </si>
  <si>
    <t>Сумма от п.3.1 - 3.12</t>
  </si>
  <si>
    <t>Сумма от п.4.1-4.3</t>
  </si>
  <si>
    <t>Сумма от п. 1.10, 2.14, 3.13, 4.4</t>
  </si>
  <si>
    <t>Сумма от п. 6</t>
  </si>
  <si>
    <t>ИГиИЭ из.,1999, табл. 11,п.2.2.1, прим. 3 к табл. 11, К1=1,15 - При составлении инженерно-экологических карт на застроенную территорию</t>
  </si>
  <si>
    <t xml:space="preserve">ИГиИЭ из.,1999, табл. 11, п.2.2.1;  прим.1  К1=0,4 - почвенная карта; прим. 3 к табл. 11, К2 = 1,15 - При составлении инженерно-экологических карт на застроенную территорию            </t>
  </si>
  <si>
    <t>ИГиИЭ из.,1999, табл. 11, п.2.2.1; прим. 1 К1=1,3- с нанесением радиометрических наблюдений; прим. 3 к табл. 11, К2=1,15 - При составлении инженерно-экологических карт на застроенную территорию</t>
  </si>
  <si>
    <t>Отбор проб подземных вод с глубины более 0,5 м</t>
  </si>
  <si>
    <t>ИГиИЭ из.,1999, табл. 60, п.2, прим. 3 к табл.60 К-т - 0,5</t>
  </si>
  <si>
    <t>6% от Полевых работ + п. 20</t>
  </si>
  <si>
    <t>о36,4% от Полевых работ + п. 20</t>
  </si>
  <si>
    <t>16,25% от Полевых работ</t>
  </si>
  <si>
    <t>Сумма от п.20-22</t>
  </si>
  <si>
    <t xml:space="preserve">ИГиИЭ из.,1999, табл. 11, п.2.2.2;  прим.1  К1=0,4 - почвенная карта; К2 = 1,15 - При составлении инженерно-экологических карт на застроенную территорию            </t>
  </si>
  <si>
    <t>21 % от п.1,3, 28-37</t>
  </si>
  <si>
    <r>
      <t xml:space="preserve">ОУ, п.13, </t>
    </r>
    <r>
      <rPr>
        <sz val="10"/>
        <color indexed="8"/>
        <rFont val="Times New Roman"/>
        <family val="1"/>
        <charset val="204"/>
      </rPr>
      <t>примечание 1</t>
    </r>
  </si>
  <si>
    <t>Сумма от п.13-15</t>
  </si>
  <si>
    <t>Сумма от п.2, 12, 16</t>
  </si>
  <si>
    <t>4.3% от п.2.4 * 1,2</t>
  </si>
  <si>
    <t>10% от п.2.4 * 1,2</t>
  </si>
  <si>
    <t>4.3% от п.1.3, 1.4, 1.5, 2.3 * 1,2</t>
  </si>
  <si>
    <t>10% от от п.1.3, 1.4, 1.5, 2.3 * 1,2</t>
  </si>
  <si>
    <t>6% от п.1.6, 4, К-т 2 (прим. 1 к п. 13, ОУ)</t>
  </si>
  <si>
    <t>Часть I, Глава 1, Таблица 8.п.3
A=6426 руб; 
Количество = 4 (1 шт.)</t>
  </si>
  <si>
    <t>Часть I, Глава 1, Таблица 8.п.4
A=1897 руб; 
Количество = 4 (1 пункт)</t>
  </si>
  <si>
    <t>Часть I, Глава 1, Таблица 9.п.6
A=4824руб; 
Количество = 0,38 (1 га)</t>
  </si>
  <si>
    <t>Часть I, Глава 1, Таблица 8.п.4
A=428 руб; 
Количество = 4 (1 пункт)</t>
  </si>
  <si>
    <t>Часть I, Глава 1, Таблица 8.п.3
A=2538 руб; 
Количество = 4 (1 шт.)</t>
  </si>
  <si>
    <t>6% от п.1.7, 4, К-т 2 (прим. 1 к п. 13, ОУ)</t>
  </si>
  <si>
    <t xml:space="preserve">прим. 6 к табл. 62 </t>
  </si>
  <si>
    <t xml:space="preserve">Выдача государственными органами справок:                                                   1.Министерство лесного хозяйства и природопользования об ООПТ,                                   2. Государственная ветеринарная служба,                                                        3. Государственная служба охраны объектов культурного наследия,                                                 4. Министерство лесного хозяйства и природопользования (пути миграции и красная книга),                                                                                 5. АО "Ярославльводоканал",                                                       6. Мэрия города Ярославль           </t>
  </si>
  <si>
    <t>ИГиИЭ из.,1999, табл. 91, п.1, к-т 0,75 - неполный объем - 15 точек (применительно)</t>
  </si>
  <si>
    <t>Изменение потока радона на площадке (радоноопасность) - неполный объем 15 точек применительно К-т 0,75</t>
  </si>
  <si>
    <t xml:space="preserve">Гельминтологический анализ </t>
  </si>
  <si>
    <t xml:space="preserve">Бактериологический анализ </t>
  </si>
  <si>
    <t xml:space="preserve"> прейскурант ЦГиЭ в Краснодарском крае (http://https://cgekuban.ru/uslugi/preyskurant.php) 128</t>
  </si>
  <si>
    <t>прейскурант ЦГиЭ в Краснодарском крае (http://https://cgekuban.ru/uslugi/preyskurant.php) 462</t>
  </si>
  <si>
    <t>прейскурант ЦГиЭ в Краснодарском крае (http://https://cgekuban.ru/uslugi/preyskurant.php) 374</t>
  </si>
  <si>
    <t>Сумма от 39-42</t>
  </si>
  <si>
    <t>на проектные (изыскательские) работы</t>
  </si>
  <si>
    <t>Проектная организация</t>
  </si>
  <si>
    <t>Составлена в уровне цен на I кв. 2024 г.</t>
  </si>
  <si>
    <t>Наименование объекта проектирования или вида проектных работ</t>
  </si>
  <si>
    <t>Наименование, номера глав, таблиц, параграфов и пунктов МНЗ на проектные работы</t>
  </si>
  <si>
    <t>Сметная стоимость, руб.</t>
  </si>
  <si>
    <t>Руководитель проектной организации</t>
  </si>
  <si>
    <t>[подпись (инициалы, фамилия)]</t>
  </si>
  <si>
    <t>Главный инженер проекта</t>
  </si>
  <si>
    <t>Начальник</t>
  </si>
  <si>
    <t>отдела</t>
  </si>
  <si>
    <t>[наименование]</t>
  </si>
  <si>
    <t>[должность, подпись (инициалы, фамилия)]</t>
  </si>
  <si>
    <t>инд.1кв.2024г.к 01.01.2021 на пр.раб.</t>
  </si>
  <si>
    <t>Ктек = 1.37
Письмо Минстроя России от 07.03.2024 №13023-ИФ/09</t>
  </si>
  <si>
    <t>В случае сокращения срока в 2 и более раз по требованию застройщика (технического заказчика) продолжительности проектных работ по сравнению с установленными нормами продолжительности проектирования при определении стоимости проектных работ по ценам МНЗ на проектные работы применяется ценообразующий коэффициент</t>
  </si>
  <si>
    <t>«Адепт: Проект в 16.5»
© ООО «Адепт»</t>
  </si>
  <si>
    <t>Строительство трамвайного диспетчерского центра (Этап 6)</t>
  </si>
  <si>
    <t>20% от п.9</t>
  </si>
  <si>
    <t>Сумма от п.9-10</t>
  </si>
  <si>
    <t>Смета №5</t>
  </si>
  <si>
    <t xml:space="preserve">    </t>
  </si>
  <si>
    <t>форма №2П, 707/пр</t>
  </si>
  <si>
    <t>Смета №1</t>
  </si>
  <si>
    <t>Разделы документации</t>
  </si>
  <si>
    <t>1. Пол ком раб</t>
  </si>
  <si>
    <t>Методика, 707/пр. Глава IX, п.169</t>
  </si>
  <si>
    <t>Коэф - т 1.4 от п.2</t>
  </si>
  <si>
    <t>ПД</t>
  </si>
  <si>
    <t>РД</t>
  </si>
  <si>
    <t>«О создании и эксплуатации объектов транспортной инфраструктуры и технологически связанных с ними транспортных средств, обеспечивающих деятельность, связанную с перевозками пассажиров транспортом общего пользования, в муниципальном образовании городской округ город Ярославль в Ярославской области»
6 этап: «Строительство трамвайного диспетчерского центра»</t>
  </si>
  <si>
    <t>Объект капитального строительства, для которого в НЗ отсутствуют параметры цены
Трамвайный диспетчерский пункт, площадью 220,7м2</t>
  </si>
  <si>
    <t>Министерство экономического развития</t>
  </si>
  <si>
    <t>Российской Федерации</t>
  </si>
  <si>
    <r>
      <t>Прогноз индексов цен производителей</t>
    </r>
    <r>
      <rPr>
        <b/>
        <vertAlign val="superscript"/>
        <sz val="16"/>
        <color rgb="FF203277"/>
        <rFont val="Arial"/>
        <family val="2"/>
        <charset val="204"/>
      </rPr>
      <t>1</t>
    </r>
    <r>
      <rPr>
        <b/>
        <sz val="16"/>
        <color rgb="FF203277"/>
        <rFont val="Arial"/>
        <family val="2"/>
        <charset val="204"/>
      </rPr>
      <t xml:space="preserve"> и индексов-дефляторов по видам экономической
деятельности, в % г/г 
(Базовый вариант)</t>
    </r>
  </si>
  <si>
    <r>
      <t>отчет</t>
    </r>
    <r>
      <rPr>
        <b/>
        <vertAlign val="superscript"/>
        <sz val="13"/>
        <rFont val="Arial"/>
        <family val="2"/>
        <charset val="204"/>
      </rPr>
      <t>2</t>
    </r>
  </si>
  <si>
    <t>оценка</t>
  </si>
  <si>
    <t>прогноз</t>
  </si>
  <si>
    <t>Промышленность (BCDE)</t>
  </si>
  <si>
    <t xml:space="preserve">  дефлятор</t>
  </si>
  <si>
    <t xml:space="preserve">  ИЦП</t>
  </si>
  <si>
    <t xml:space="preserve">   в т. ч.  без продукции ТЭКа (нефть, нефтепродукты, уголь, газ, энергетика)</t>
  </si>
  <si>
    <t>Добыча полезных ископаемых (Раздел B)</t>
  </si>
  <si>
    <t xml:space="preserve">Добыча топливно-энергетических полезных ископаемых (05, 06+09) </t>
  </si>
  <si>
    <t>Добыча угля (05)</t>
  </si>
  <si>
    <r>
      <t xml:space="preserve">  уголь энергетический каменный</t>
    </r>
    <r>
      <rPr>
        <i/>
        <vertAlign val="superscript"/>
        <sz val="13"/>
        <color indexed="8"/>
        <rFont val="Arial"/>
        <family val="2"/>
        <charset val="204"/>
      </rPr>
      <t>3</t>
    </r>
  </si>
  <si>
    <t>Добыча сырой нефти и природного газа (06+09)</t>
  </si>
  <si>
    <t xml:space="preserve">Добыча металлических руд и прочих полезных ископаемых (07, 08) </t>
  </si>
  <si>
    <t>Добыча металлических руд (07)</t>
  </si>
  <si>
    <t>Добыча прочих полезных ископаемых (08)</t>
  </si>
  <si>
    <t>Обрабатывающие производства (Раздел C)</t>
  </si>
  <si>
    <t>Производство пищевых продуктов, напитков и табачных изделий (10, 11, 12)</t>
  </si>
  <si>
    <t>Производство текстильных изделий, 
Производство одежды, 
Производство кожи и изделий из кожи (13, 14, 15)</t>
  </si>
  <si>
    <t>Обработка древесины и производство изделий из дерева и пробки, кроме мебели, производство изделий из соломки и материалов для плетения (16)</t>
  </si>
  <si>
    <t>Производство бумаги и бумажных изделий (17)</t>
  </si>
  <si>
    <t>Производство нефтепродуктов (19.2)</t>
  </si>
  <si>
    <t>Производство химических веществ и химических продуктов, Производство лекарственных средств и материалов, применяемых в медицинских целях, 
Производство резиновых и пластмассовых изделий (20, 21, 22)</t>
  </si>
  <si>
    <t>Производство прочей неметаллической минеральной продукции (23)</t>
  </si>
  <si>
    <t xml:space="preserve">Производство черных металлов (24.1, 24.2, 24.3, 24.5) </t>
  </si>
  <si>
    <t>Производство основных драгоценных металлов и прочих цветных металлов, производство ядерного топлива (24.4)</t>
  </si>
  <si>
    <t>Производство готовых металлических изделий, кроме машин и оборудования (25)</t>
  </si>
  <si>
    <t>Продукция машиностроения (26, 27, 28, 29, 30, 33)</t>
  </si>
  <si>
    <t>Прочие</t>
  </si>
  <si>
    <t>Обеспечение электрической энергией, газом и паром; кондиционирование воздуха (Раздел D)</t>
  </si>
  <si>
    <t xml:space="preserve">  индекс цен производителей (ИЦП)</t>
  </si>
  <si>
    <t>Водоснабжение; водоотведение, организация сбора и утилизация отходов, деятельность по ликвидации загрязнений (Раздел E)</t>
  </si>
  <si>
    <t>Сельское хозяйство</t>
  </si>
  <si>
    <t xml:space="preserve"> - растениеводство</t>
  </si>
  <si>
    <t xml:space="preserve"> - животноводство</t>
  </si>
  <si>
    <t xml:space="preserve">  индекс цен реализации продукции сельхозпроизводителями</t>
  </si>
  <si>
    <t>Транспорт, вкл. трубопроводный</t>
  </si>
  <si>
    <r>
      <t xml:space="preserve">  дефлятор</t>
    </r>
    <r>
      <rPr>
        <b/>
        <vertAlign val="superscript"/>
        <sz val="13"/>
        <color indexed="8"/>
        <rFont val="Arial"/>
        <family val="2"/>
        <charset val="204"/>
      </rPr>
      <t>4</t>
    </r>
  </si>
  <si>
    <r>
      <t xml:space="preserve">  ИЦП</t>
    </r>
    <r>
      <rPr>
        <vertAlign val="superscript"/>
        <sz val="13"/>
        <rFont val="Arial"/>
        <family val="2"/>
        <charset val="204"/>
      </rPr>
      <t>5</t>
    </r>
  </si>
  <si>
    <r>
      <t xml:space="preserve">  ИЦП</t>
    </r>
    <r>
      <rPr>
        <vertAlign val="superscript"/>
        <sz val="13"/>
        <rFont val="Arial"/>
        <family val="2"/>
        <charset val="204"/>
      </rPr>
      <t>5</t>
    </r>
    <r>
      <rPr>
        <sz val="13"/>
        <rFont val="Arial"/>
        <family val="2"/>
        <charset val="204"/>
      </rPr>
      <t xml:space="preserve"> с исключением трубопроводн. транспорта</t>
    </r>
  </si>
  <si>
    <r>
      <t>Инвестиции в основной капитал</t>
    </r>
    <r>
      <rPr>
        <b/>
        <vertAlign val="superscript"/>
        <sz val="13"/>
        <color indexed="8"/>
        <rFont val="Arial"/>
        <family val="2"/>
        <charset val="204"/>
      </rPr>
      <t xml:space="preserve"> 6</t>
    </r>
  </si>
  <si>
    <t xml:space="preserve">  индексы цен </t>
  </si>
  <si>
    <t>Строительство</t>
  </si>
  <si>
    <r>
      <t xml:space="preserve">Потребительский рынок </t>
    </r>
    <r>
      <rPr>
        <b/>
        <vertAlign val="superscript"/>
        <sz val="13"/>
        <color indexed="8"/>
        <rFont val="Arial"/>
        <family val="2"/>
        <charset val="204"/>
      </rPr>
      <t>7</t>
    </r>
  </si>
  <si>
    <t xml:space="preserve">  оборот розничной торговли, дефлятор</t>
  </si>
  <si>
    <t xml:space="preserve">  ИПЦ на товары</t>
  </si>
  <si>
    <t xml:space="preserve">  платные услуги населению, дефлятор</t>
  </si>
  <si>
    <t xml:space="preserve">  ИПЦ на услуги</t>
  </si>
  <si>
    <r>
      <rPr>
        <vertAlign val="superscript"/>
        <sz val="10"/>
        <color theme="1"/>
        <rFont val="Arial"/>
        <family val="2"/>
        <charset val="204"/>
      </rPr>
      <t>1</t>
    </r>
    <r>
      <rPr>
        <sz val="10"/>
        <color theme="1"/>
        <rFont val="Arial"/>
        <family val="2"/>
        <charset val="204"/>
      </rPr>
      <t xml:space="preserve"> - на продукцию, реализованную на внутренний рынок</t>
    </r>
  </si>
  <si>
    <r>
      <rPr>
        <vertAlign val="superscript"/>
        <sz val="10"/>
        <color theme="1"/>
        <rFont val="Arial"/>
        <family val="2"/>
        <charset val="204"/>
      </rPr>
      <t>2</t>
    </r>
    <r>
      <rPr>
        <sz val="10"/>
        <color theme="1"/>
        <rFont val="Arial"/>
        <family val="2"/>
        <charset val="204"/>
      </rPr>
      <t xml:space="preserve"> - индексы-дефляторы, выделены курсивом - оценка</t>
    </r>
  </si>
  <si>
    <r>
      <rPr>
        <vertAlign val="superscript"/>
        <sz val="10"/>
        <color theme="1"/>
        <rFont val="Arial"/>
        <family val="2"/>
        <charset val="204"/>
      </rPr>
      <t>3</t>
    </r>
    <r>
      <rPr>
        <sz val="10"/>
        <color theme="1"/>
        <rFont val="Arial"/>
        <family val="2"/>
        <charset val="204"/>
      </rPr>
      <t xml:space="preserve"> - в соответствии с Общероссийским классификатором продукции по видам экономической деятельности (ОКПД2) ОК 034-2014 (КПЕС 2008)  уголь, за исключением антрацита, угля коксующегося и угля бурого (05.10.10.130)</t>
    </r>
  </si>
  <si>
    <r>
      <rPr>
        <vertAlign val="superscript"/>
        <sz val="10"/>
        <color theme="1"/>
        <rFont val="Arial"/>
        <family val="2"/>
        <charset val="204"/>
      </rPr>
      <t>4</t>
    </r>
    <r>
      <rPr>
        <sz val="10"/>
        <color theme="1"/>
        <rFont val="Arial"/>
        <family val="2"/>
        <charset val="204"/>
      </rPr>
      <t xml:space="preserve"> - по виду деятельности "Транспортировка и хранение"</t>
    </r>
  </si>
  <si>
    <r>
      <rPr>
        <vertAlign val="superscript"/>
        <sz val="10"/>
        <color theme="1"/>
        <rFont val="Arial"/>
        <family val="2"/>
        <charset val="204"/>
      </rPr>
      <t>5</t>
    </r>
    <r>
      <rPr>
        <sz val="10"/>
        <color theme="1"/>
        <rFont val="Arial"/>
        <family val="2"/>
        <charset val="204"/>
      </rPr>
      <t xml:space="preserve"> - индекс тарифов на грузовые перевозки</t>
    </r>
  </si>
  <si>
    <r>
      <rPr>
        <vertAlign val="superscript"/>
        <sz val="10"/>
        <color theme="1"/>
        <rFont val="Arial"/>
        <family val="2"/>
        <charset val="204"/>
      </rPr>
      <t>6</t>
    </r>
    <r>
      <rPr>
        <sz val="10"/>
        <color theme="1"/>
        <rFont val="Arial"/>
        <family val="2"/>
        <charset val="204"/>
      </rPr>
      <t xml:space="preserve"> - за счет всех источников финансирования</t>
    </r>
  </si>
  <si>
    <r>
      <rPr>
        <vertAlign val="superscript"/>
        <sz val="10"/>
        <color theme="1"/>
        <rFont val="Arial"/>
        <family val="2"/>
        <charset val="204"/>
      </rPr>
      <t>7</t>
    </r>
    <r>
      <rPr>
        <sz val="10"/>
        <color theme="1"/>
        <rFont val="Arial"/>
        <family val="2"/>
        <charset val="204"/>
      </rPr>
      <t>- с учетом НДС, косвенных налогов, торгово-транспортной наценки</t>
    </r>
  </si>
  <si>
    <t>Полный комплекс работ
(100%):
C * a / 100 * Ктек
116,0172505 млн.руб * 3.58 / 100 * 1.37</t>
  </si>
  <si>
    <t xml:space="preserve">Нормативные затраты на работы по подготовке проектной документации для строительства объектов жилищно-гражданского назначения. 2023 г. Таблица 3.18. Нормативы цены на работы по подготовке проектной и рабочей документации для строительства объектов
(Сстр(1кв 2024)) / (К2021*(К2024)^(1/4))
α=3.58; 
Ст. строит. I кв. 2024 г
Сстр1кв2024=151, 17358(млн.руб)
Сбаз=151,17358/(1.013*1.070*1,146*1,049)=116,0172505(млн.руб)
К2021 = 1,049
индекс пересчета за 2021 год,
принимаемый по строке «Инвестиции в
основной капитал. индекс-дефлятор» по
графе «2021 год оценка» в соответствии
с данными Отчета социально-экономического развития
Российской Федерации (далее –
Отчет)
К2022 = 1,146
индекс пересчета за 2022 год,
принимаемый по строке «Инвестиции в
основной капитал. индекс-дефлятор» по
графе «2022 год оценка» в соответствии
с данными Отчет социально-экономического развития
Российской Федерации (далее –
Отчет)
</t>
  </si>
  <si>
    <t>К2023 = 1,07
индекс пересчета за 2022 год,
принимаемый по строке «Инвестиции в
основной капитал. индекс-дефлятор» по
графе «2022 год оценка» в соответствии
с данными Оценки социально-экономического развития
Российской Федерации (далее –
Оценка
К2024 = 1,053
индекс пересчета за 2024 год,
принимаемый по строке «Инвестиции в
основной капитал. индекс-дефлятор» по
графе «2024 год отчет» в соответствии с
данными среднесрочного Прогноза
4√К2024 = 1,013 квартальный индекс пересчета за 2024
год
4√1,053=1,013
(4√К2024)1 = 1,013 индекс пересчета за 1 квартал 2024
года
a = 3,58
норматив цены проектных работ для
соответствующей стоимости
строительства (пункт 3 таблицы 3.18
НЗ)
Кп = 1,4 срочность
Ипр = 1,37 индекс пересчета для I кв. 2024 г.</t>
  </si>
  <si>
    <t>Директор по проектированию ООО "ЕДСО"</t>
  </si>
  <si>
    <t>Зам.начальника СДО ООО "ЕДСО"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</si>
</sst>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_р_."/>
    <numFmt numFmtId="165" formatCode="#,##0.0"/>
    <numFmt numFmtId="166" formatCode="0.0"/>
    <numFmt numFmtId="167" formatCode="0.000"/>
    <numFmt numFmtId="168" formatCode="0_)"/>
    <numFmt numFmtId="169" formatCode="0.0_)"/>
    <numFmt numFmtId="170" formatCode="0.000_)"/>
  </numFmts>
  <fonts count="77" x14ac:knownFonts="1">
    <font>
      <sz val="10"/>
      <name val="Arial Cyr"/>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9"/>
      <name val="Arial Cyr"/>
      <family val="2"/>
      <charset val="204"/>
    </font>
    <font>
      <sz val="10"/>
      <name val="Times New Roman Cyr"/>
      <family val="1"/>
      <charset val="204"/>
    </font>
    <font>
      <sz val="9"/>
      <name val="Arial"/>
      <family val="2"/>
      <charset val="204"/>
    </font>
    <font>
      <sz val="10"/>
      <color indexed="8"/>
      <name val="Arial"/>
      <family val="2"/>
      <charset val="204"/>
    </font>
    <font>
      <sz val="10"/>
      <name val="Times New Roman"/>
      <family val="1"/>
      <charset val="204"/>
    </font>
    <font>
      <b/>
      <sz val="12"/>
      <name val="Arial"/>
      <family val="2"/>
      <charset val="204"/>
    </font>
    <font>
      <i/>
      <sz val="12"/>
      <name val="Arial"/>
      <family val="2"/>
      <charset val="204"/>
    </font>
    <font>
      <b/>
      <sz val="10"/>
      <name val="Arial"/>
      <family val="2"/>
      <charset val="204"/>
    </font>
    <font>
      <b/>
      <sz val="10"/>
      <name val="Arial Cyr"/>
      <family val="2"/>
      <charset val="204"/>
    </font>
    <font>
      <sz val="6"/>
      <name val="Arial"/>
      <family val="2"/>
      <charset val="204"/>
    </font>
    <font>
      <sz val="11"/>
      <name val="Arial"/>
      <family val="2"/>
      <charset val="204"/>
    </font>
    <font>
      <sz val="12"/>
      <name val="Arial"/>
      <family val="2"/>
      <charset val="204"/>
    </font>
    <font>
      <sz val="12"/>
      <color indexed="8"/>
      <name val="Arial"/>
      <family val="2"/>
      <charset val="204"/>
    </font>
    <font>
      <sz val="10"/>
      <name val="Arial Cyr"/>
      <charset val="204"/>
    </font>
    <font>
      <b/>
      <sz val="10"/>
      <name val="Arial Cyr"/>
      <charset val="204"/>
    </font>
    <font>
      <sz val="10"/>
      <color indexed="64"/>
      <name val="Calibri"/>
      <family val="2"/>
      <charset val="204"/>
      <scheme val="minor"/>
    </font>
    <font>
      <sz val="10"/>
      <name val="Arial"/>
      <family val="2"/>
      <charset val="204"/>
    </font>
    <font>
      <sz val="11"/>
      <color indexed="8"/>
      <name val="Calibri"/>
      <family val="2"/>
      <charset val="204"/>
    </font>
    <font>
      <sz val="10"/>
      <name val="Courier"/>
      <family val="3"/>
    </font>
    <font>
      <sz val="10"/>
      <name val="Courier New Cyr"/>
      <charset val="204"/>
    </font>
    <font>
      <u/>
      <sz val="10"/>
      <color indexed="12"/>
      <name val="Arial"/>
      <family val="2"/>
      <charset val="204"/>
    </font>
    <font>
      <sz val="10"/>
      <color indexed="8"/>
      <name val="Times New Roman"/>
      <family val="1"/>
      <charset val="204"/>
    </font>
    <font>
      <b/>
      <u/>
      <sz val="10"/>
      <name val="Times New Roman"/>
      <family val="1"/>
      <charset val="204"/>
    </font>
    <font>
      <sz val="10"/>
      <name val="Helv"/>
    </font>
    <font>
      <sz val="12"/>
      <color rgb="FF000000"/>
      <name val="Arial"/>
      <family val="2"/>
      <charset val="204"/>
    </font>
    <font>
      <sz val="12"/>
      <name val="Arial Cyr"/>
      <family val="2"/>
      <charset val="204"/>
    </font>
    <font>
      <b/>
      <sz val="12"/>
      <name val="Arial Cyr"/>
      <charset val="204"/>
    </font>
    <font>
      <sz val="10"/>
      <name val="Arial Cyr"/>
      <family val="2"/>
      <charset val="204"/>
    </font>
    <font>
      <sz val="8"/>
      <name val="Arial Cyr"/>
      <family val="2"/>
      <charset val="204"/>
    </font>
    <font>
      <b/>
      <sz val="8"/>
      <color rgb="FF000000"/>
      <name val="Arial"/>
      <family val="2"/>
      <charset val="204"/>
    </font>
    <font>
      <sz val="8"/>
      <color theme="1"/>
      <name val="Arial"/>
      <family val="2"/>
      <charset val="204"/>
    </font>
    <font>
      <sz val="10"/>
      <name val="Courier"/>
      <family val="1"/>
      <charset val="204"/>
    </font>
    <font>
      <b/>
      <sz val="10"/>
      <name val="Times New Roman"/>
      <family val="1"/>
      <charset val="204"/>
    </font>
    <font>
      <sz val="10"/>
      <color indexed="64"/>
      <name val="Times New Roman"/>
      <family val="1"/>
      <charset val="204"/>
    </font>
    <font>
      <u/>
      <sz val="10"/>
      <name val="Times New Roman"/>
      <family val="1"/>
      <charset val="204"/>
    </font>
    <font>
      <b/>
      <sz val="10"/>
      <color indexed="64"/>
      <name val="Times New Roman"/>
      <family val="1"/>
      <charset val="204"/>
    </font>
    <font>
      <b/>
      <sz val="10"/>
      <color rgb="FF000000"/>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vertAlign val="subscript"/>
      <sz val="10"/>
      <name val="Times New Roman"/>
      <family val="1"/>
      <charset val="204"/>
    </font>
    <font>
      <i/>
      <sz val="10"/>
      <name val="Times New Roman"/>
      <family val="1"/>
      <charset val="204"/>
    </font>
    <font>
      <b/>
      <sz val="10"/>
      <color rgb="FFFF0000"/>
      <name val="Times New Roman"/>
      <family val="1"/>
      <charset val="204"/>
    </font>
    <font>
      <sz val="10"/>
      <color rgb="FFFF0000"/>
      <name val="Times New Roman"/>
      <family val="1"/>
      <charset val="204"/>
    </font>
    <font>
      <b/>
      <sz val="10"/>
      <color indexed="64"/>
      <name val="Calibri"/>
      <family val="2"/>
      <charset val="204"/>
      <scheme val="minor"/>
    </font>
    <font>
      <sz val="9"/>
      <name val="Times New Roman"/>
      <family val="1"/>
      <charset val="204"/>
    </font>
    <font>
      <sz val="10"/>
      <color indexed="8"/>
      <name val="Arial"/>
      <family val="2"/>
    </font>
    <font>
      <i/>
      <sz val="8"/>
      <name val="Arial"/>
      <family val="2"/>
      <charset val="204"/>
    </font>
    <font>
      <b/>
      <sz val="16"/>
      <color rgb="FF203277"/>
      <name val="Arial"/>
      <family val="2"/>
      <charset val="204"/>
    </font>
    <font>
      <b/>
      <sz val="11"/>
      <color rgb="FF203277"/>
      <name val="Arial"/>
      <family val="2"/>
      <charset val="204"/>
    </font>
    <font>
      <sz val="16"/>
      <color theme="1"/>
      <name val="Arial"/>
      <family val="2"/>
      <charset val="204"/>
    </font>
    <font>
      <sz val="11"/>
      <color theme="1"/>
      <name val="Arial"/>
      <family val="2"/>
      <charset val="204"/>
    </font>
    <font>
      <b/>
      <vertAlign val="superscript"/>
      <sz val="16"/>
      <color rgb="FF203277"/>
      <name val="Arial"/>
      <family val="2"/>
      <charset val="204"/>
    </font>
    <font>
      <b/>
      <sz val="12"/>
      <color indexed="8"/>
      <name val="Arial"/>
      <family val="2"/>
      <charset val="204"/>
    </font>
    <font>
      <b/>
      <vertAlign val="superscript"/>
      <sz val="13"/>
      <name val="Arial"/>
      <family val="2"/>
      <charset val="204"/>
    </font>
    <font>
      <b/>
      <sz val="12"/>
      <color theme="1"/>
      <name val="Arial"/>
      <family val="2"/>
      <charset val="204"/>
    </font>
    <font>
      <b/>
      <sz val="12"/>
      <color rgb="FF203277"/>
      <name val="Arial"/>
      <family val="2"/>
      <charset val="204"/>
    </font>
    <font>
      <sz val="12"/>
      <color rgb="FF203277"/>
      <name val="Arial"/>
      <family val="2"/>
      <charset val="204"/>
    </font>
    <font>
      <i/>
      <sz val="12"/>
      <color indexed="8"/>
      <name val="Arial"/>
      <family val="2"/>
      <charset val="204"/>
    </font>
    <font>
      <i/>
      <vertAlign val="superscript"/>
      <sz val="13"/>
      <color indexed="8"/>
      <name val="Arial"/>
      <family val="2"/>
      <charset val="204"/>
    </font>
    <font>
      <b/>
      <i/>
      <sz val="12"/>
      <name val="Arial"/>
      <family val="2"/>
      <charset val="204"/>
    </font>
    <font>
      <b/>
      <vertAlign val="superscript"/>
      <sz val="13"/>
      <color indexed="8"/>
      <name val="Arial"/>
      <family val="2"/>
      <charset val="204"/>
    </font>
    <font>
      <vertAlign val="superscript"/>
      <sz val="13"/>
      <name val="Arial"/>
      <family val="2"/>
      <charset val="204"/>
    </font>
    <font>
      <sz val="13"/>
      <name val="Arial"/>
      <family val="2"/>
      <charset val="204"/>
    </font>
    <font>
      <sz val="12"/>
      <color theme="1"/>
      <name val="Arial"/>
      <family val="2"/>
      <charset val="204"/>
    </font>
    <font>
      <vertAlign val="superscript"/>
      <sz val="10"/>
      <color theme="1"/>
      <name val="Arial"/>
      <family val="2"/>
      <charset val="204"/>
    </font>
    <font>
      <sz val="10"/>
      <color theme="1"/>
      <name val="Arial"/>
      <family val="2"/>
      <charset val="204"/>
    </font>
    <font>
      <sz val="9"/>
      <color theme="1"/>
      <name val="Times New Roman"/>
      <family val="1"/>
      <charset val="204"/>
    </font>
    <font>
      <sz val="14"/>
      <name val="Times New Roman"/>
      <family val="1"/>
      <charset val="204"/>
    </font>
    <font>
      <sz val="12"/>
      <color indexed="8"/>
      <name val="Times New Roman"/>
      <family val="1"/>
      <charset val="204"/>
    </font>
    <font>
      <b/>
      <sz val="14"/>
      <name val="Times New Roman"/>
      <family val="1"/>
      <charset val="204"/>
    </font>
    <font>
      <b/>
      <sz val="13"/>
      <color indexed="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EAF1F7"/>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8"/>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22"/>
      </top>
      <bottom/>
      <diagonal/>
    </border>
    <border>
      <left/>
      <right style="thin">
        <color indexed="64"/>
      </right>
      <top/>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22"/>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22"/>
      </bottom>
      <diagonal/>
    </border>
    <border>
      <left style="thin">
        <color indexed="64"/>
      </left>
      <right/>
      <top/>
      <bottom style="thin">
        <color indexed="22"/>
      </bottom>
      <diagonal/>
    </border>
    <border>
      <left/>
      <right style="thin">
        <color indexed="64"/>
      </right>
      <top/>
      <bottom style="thin">
        <color indexed="22"/>
      </bottom>
      <diagonal/>
    </border>
    <border>
      <left/>
      <right/>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top/>
      <bottom style="thin">
        <color indexed="64"/>
      </bottom>
      <diagonal/>
    </border>
  </borders>
  <cellStyleXfs count="31">
    <xf numFmtId="0" fontId="0" fillId="0" borderId="0"/>
    <xf numFmtId="0" fontId="4" fillId="0" borderId="0"/>
    <xf numFmtId="0" fontId="18" fillId="0" borderId="0"/>
    <xf numFmtId="0" fontId="20" fillId="0" borderId="0"/>
    <xf numFmtId="0" fontId="4" fillId="0" borderId="0"/>
    <xf numFmtId="0" fontId="18" fillId="0" borderId="0"/>
    <xf numFmtId="0" fontId="22" fillId="0" borderId="0"/>
    <xf numFmtId="0" fontId="18" fillId="0" borderId="0"/>
    <xf numFmtId="0" fontId="21" fillId="0" borderId="0"/>
    <xf numFmtId="0" fontId="23" fillId="0" borderId="0"/>
    <xf numFmtId="0" fontId="24" fillId="0" borderId="0"/>
    <xf numFmtId="0" fontId="25" fillId="0" borderId="0" applyNumberFormat="0" applyFill="0" applyBorder="0" applyAlignment="0" applyProtection="0">
      <alignment vertical="top"/>
      <protection locked="0"/>
    </xf>
    <xf numFmtId="4" fontId="6" fillId="0" borderId="0">
      <alignment vertical="center"/>
    </xf>
    <xf numFmtId="0" fontId="18" fillId="0" borderId="0"/>
    <xf numFmtId="0" fontId="18" fillId="0" borderId="0"/>
    <xf numFmtId="0" fontId="18" fillId="0" borderId="0"/>
    <xf numFmtId="0" fontId="18" fillId="0" borderId="0"/>
    <xf numFmtId="4" fontId="6" fillId="0" borderId="0">
      <alignment vertical="center"/>
    </xf>
    <xf numFmtId="0" fontId="3" fillId="0" borderId="0"/>
    <xf numFmtId="0" fontId="28" fillId="0" borderId="0"/>
    <xf numFmtId="0" fontId="29" fillId="0" borderId="0">
      <alignment horizontal="left" vertical="top" wrapText="1"/>
    </xf>
    <xf numFmtId="43" fontId="32" fillId="0" borderId="0" applyFont="0" applyFill="0" applyBorder="0" applyAlignment="0" applyProtection="0"/>
    <xf numFmtId="0" fontId="34" fillId="0" borderId="0">
      <alignment horizontal="left" vertical="top"/>
    </xf>
    <xf numFmtId="0" fontId="35" fillId="0" borderId="0">
      <alignment horizontal="left" vertical="top"/>
    </xf>
    <xf numFmtId="0" fontId="36" fillId="0" borderId="0"/>
    <xf numFmtId="0" fontId="4" fillId="0" borderId="0"/>
    <xf numFmtId="0" fontId="2" fillId="0" borderId="0"/>
    <xf numFmtId="0" fontId="18" fillId="0" borderId="0"/>
    <xf numFmtId="168" fontId="36" fillId="0" borderId="0"/>
    <xf numFmtId="0" fontId="2" fillId="0" borderId="0"/>
    <xf numFmtId="168" fontId="36" fillId="0" borderId="0"/>
  </cellStyleXfs>
  <cellXfs count="730">
    <xf numFmtId="0" fontId="0" fillId="0" borderId="0" xfId="0"/>
    <xf numFmtId="0" fontId="5" fillId="0" borderId="0" xfId="0" applyFont="1" applyAlignment="1">
      <alignment horizontal="center"/>
    </xf>
    <xf numFmtId="0" fontId="4" fillId="0" borderId="0" xfId="0" applyFont="1" applyAlignment="1">
      <alignment wrapText="1"/>
    </xf>
    <xf numFmtId="0" fontId="6" fillId="0" borderId="0" xfId="0" applyFont="1"/>
    <xf numFmtId="0" fontId="8" fillId="0" borderId="0" xfId="0" applyFont="1"/>
    <xf numFmtId="0" fontId="6" fillId="0" borderId="0" xfId="0" applyFont="1" applyAlignment="1">
      <alignment horizontal="right"/>
    </xf>
    <xf numFmtId="0" fontId="9" fillId="0" borderId="0" xfId="0" applyFont="1"/>
    <xf numFmtId="49" fontId="4" fillId="0" borderId="0" xfId="0" applyNumberFormat="1" applyFont="1" applyAlignment="1">
      <alignment wrapText="1"/>
    </xf>
    <xf numFmtId="49" fontId="0" fillId="0" borderId="0" xfId="0" applyNumberFormat="1"/>
    <xf numFmtId="49" fontId="4" fillId="0" borderId="0" xfId="0" applyNumberFormat="1" applyFont="1" applyAlignment="1">
      <alignment vertical="top" wrapText="1"/>
    </xf>
    <xf numFmtId="0" fontId="4" fillId="0" borderId="0" xfId="0" applyFont="1"/>
    <xf numFmtId="0" fontId="11" fillId="0" borderId="0" xfId="0" applyFont="1" applyAlignment="1">
      <alignment horizontal="left" vertical="center" wrapText="1"/>
    </xf>
    <xf numFmtId="0" fontId="0" fillId="0" borderId="1" xfId="0" applyBorder="1" applyAlignment="1">
      <alignment horizontal="center" vertical="top"/>
    </xf>
    <xf numFmtId="49" fontId="4" fillId="0" borderId="1" xfId="0" applyNumberFormat="1" applyFont="1" applyBorder="1" applyAlignment="1">
      <alignment wrapText="1"/>
    </xf>
    <xf numFmtId="49" fontId="4" fillId="0" borderId="1" xfId="0" applyNumberFormat="1" applyFont="1" applyBorder="1" applyAlignment="1">
      <alignment horizontal="center" vertical="top" wrapText="1"/>
    </xf>
    <xf numFmtId="0" fontId="0" fillId="0" borderId="2" xfId="0" applyBorder="1" applyAlignment="1">
      <alignment horizontal="center" vertical="top"/>
    </xf>
    <xf numFmtId="0" fontId="0" fillId="0" borderId="2" xfId="0" applyBorder="1" applyAlignment="1">
      <alignment horizontal="center" vertical="top" wrapText="1"/>
    </xf>
    <xf numFmtId="49" fontId="4" fillId="0" borderId="0" xfId="0" applyNumberFormat="1" applyFont="1"/>
    <xf numFmtId="49" fontId="0" fillId="0" borderId="1" xfId="0" applyNumberFormat="1" applyBorder="1" applyAlignment="1">
      <alignment horizontal="center" vertical="top"/>
    </xf>
    <xf numFmtId="0" fontId="14" fillId="0" borderId="0" xfId="0" applyFont="1" applyAlignment="1">
      <alignment vertical="top"/>
    </xf>
    <xf numFmtId="0" fontId="4" fillId="0" borderId="0" xfId="0" applyFont="1" applyAlignment="1">
      <alignment vertical="top"/>
    </xf>
    <xf numFmtId="0" fontId="8" fillId="0" borderId="0" xfId="0" applyFont="1" applyAlignment="1">
      <alignment vertical="top" wrapText="1"/>
    </xf>
    <xf numFmtId="49" fontId="0" fillId="0" borderId="6" xfId="0" applyNumberFormat="1" applyBorder="1" applyAlignment="1">
      <alignment horizontal="center" vertical="top" wrapText="1"/>
    </xf>
    <xf numFmtId="0" fontId="17" fillId="0" borderId="0" xfId="0" applyFont="1" applyAlignment="1">
      <alignment vertical="top" wrapText="1"/>
    </xf>
    <xf numFmtId="0" fontId="16" fillId="0" borderId="0" xfId="0" applyFont="1"/>
    <xf numFmtId="0" fontId="9" fillId="0" borderId="0" xfId="1" applyFont="1" applyAlignment="1">
      <alignment horizontal="right"/>
    </xf>
    <xf numFmtId="0" fontId="9" fillId="0" borderId="0" xfId="1" applyFont="1" applyAlignment="1">
      <alignment horizontal="left"/>
    </xf>
    <xf numFmtId="0" fontId="9" fillId="0" borderId="0" xfId="1" applyFont="1"/>
    <xf numFmtId="0" fontId="9" fillId="0" borderId="0" xfId="1" applyFont="1" applyAlignment="1">
      <alignment horizontal="center"/>
    </xf>
    <xf numFmtId="0" fontId="26" fillId="0" borderId="0" xfId="1" applyFont="1" applyAlignment="1">
      <alignment horizontal="right" vertical="top"/>
    </xf>
    <xf numFmtId="0" fontId="9" fillId="0" borderId="0" xfId="1" applyFont="1" applyAlignment="1">
      <alignment wrapText="1"/>
    </xf>
    <xf numFmtId="0" fontId="9" fillId="0" borderId="0" xfId="1" applyFont="1" applyAlignment="1">
      <alignment horizontal="center" wrapText="1"/>
    </xf>
    <xf numFmtId="0" fontId="9" fillId="0" borderId="0" xfId="1" applyFont="1" applyAlignment="1">
      <alignment vertical="top" wrapText="1"/>
    </xf>
    <xf numFmtId="49" fontId="30" fillId="0" borderId="10" xfId="0" applyNumberFormat="1" applyFont="1" applyBorder="1"/>
    <xf numFmtId="49" fontId="30" fillId="0" borderId="0" xfId="0" applyNumberFormat="1" applyFont="1"/>
    <xf numFmtId="49" fontId="16" fillId="0" borderId="0" xfId="0" applyNumberFormat="1" applyFont="1" applyAlignment="1">
      <alignment wrapText="1"/>
    </xf>
    <xf numFmtId="0" fontId="17" fillId="0" borderId="0" xfId="0" applyFont="1"/>
    <xf numFmtId="0" fontId="17" fillId="0" borderId="10" xfId="0" applyFont="1" applyBorder="1"/>
    <xf numFmtId="0" fontId="30" fillId="0" borderId="0" xfId="0" applyFont="1"/>
    <xf numFmtId="49" fontId="4" fillId="0" borderId="0" xfId="0" applyNumberFormat="1" applyFont="1" applyAlignment="1">
      <alignment vertical="justify" wrapText="1"/>
    </xf>
    <xf numFmtId="3" fontId="0" fillId="0" borderId="0" xfId="0" applyNumberFormat="1" applyAlignment="1">
      <alignment vertical="justify"/>
    </xf>
    <xf numFmtId="0" fontId="0" fillId="0" borderId="0" xfId="0" applyAlignment="1">
      <alignment vertical="justify"/>
    </xf>
    <xf numFmtId="0" fontId="9" fillId="0" borderId="0" xfId="1" applyFont="1" applyAlignment="1">
      <alignment horizontal="right" wrapText="1"/>
    </xf>
    <xf numFmtId="3" fontId="0" fillId="0" borderId="0" xfId="0" applyNumberFormat="1"/>
    <xf numFmtId="43" fontId="4" fillId="0" borderId="1" xfId="21" applyFont="1" applyFill="1" applyBorder="1" applyAlignment="1">
      <alignment horizontal="center" vertical="top" wrapText="1"/>
    </xf>
    <xf numFmtId="0" fontId="4" fillId="0" borderId="0" xfId="0" applyFont="1" applyAlignment="1">
      <alignment horizontal="center" wrapText="1"/>
    </xf>
    <xf numFmtId="43" fontId="0" fillId="0" borderId="0" xfId="21" applyFont="1" applyFill="1"/>
    <xf numFmtId="0" fontId="9" fillId="0" borderId="0" xfId="1" applyFont="1" applyAlignment="1">
      <alignment horizontal="left" vertical="top" wrapText="1"/>
    </xf>
    <xf numFmtId="0" fontId="27" fillId="0" borderId="0" xfId="1" applyFont="1" applyAlignment="1">
      <alignment horizontal="left" vertical="top" wrapText="1"/>
    </xf>
    <xf numFmtId="0" fontId="9" fillId="0" borderId="0" xfId="1" applyFont="1" applyAlignment="1">
      <alignment horizontal="center" vertical="center"/>
    </xf>
    <xf numFmtId="0" fontId="9" fillId="0" borderId="0" xfId="3" applyFont="1"/>
    <xf numFmtId="0" fontId="38" fillId="0" borderId="0" xfId="3" applyFont="1"/>
    <xf numFmtId="0" fontId="9" fillId="0" borderId="0" xfId="3" applyFont="1" applyAlignment="1">
      <alignment horizontal="right"/>
    </xf>
    <xf numFmtId="0" fontId="38" fillId="0" borderId="0" xfId="3" applyFont="1" applyAlignment="1">
      <alignment horizontal="right" vertical="top"/>
    </xf>
    <xf numFmtId="0" fontId="9" fillId="0" borderId="0" xfId="3" applyFont="1" applyAlignment="1">
      <alignment wrapText="1"/>
    </xf>
    <xf numFmtId="0" fontId="9" fillId="0" borderId="0" xfId="3" applyFont="1" applyAlignment="1">
      <alignment horizontal="center" vertical="center"/>
    </xf>
    <xf numFmtId="0" fontId="9" fillId="0" borderId="0" xfId="3" applyFont="1" applyAlignment="1">
      <alignment vertical="top"/>
    </xf>
    <xf numFmtId="0" fontId="9" fillId="0" borderId="0" xfId="3" applyFont="1" applyAlignment="1">
      <alignment vertical="top" wrapText="1"/>
    </xf>
    <xf numFmtId="0" fontId="39" fillId="0" borderId="0" xfId="3" applyFont="1" applyAlignment="1">
      <alignment vertical="top"/>
    </xf>
    <xf numFmtId="0" fontId="39" fillId="0" borderId="0" xfId="3" applyFont="1" applyAlignment="1">
      <alignment vertical="top" wrapText="1"/>
    </xf>
    <xf numFmtId="0" fontId="9" fillId="0" borderId="1" xfId="3" applyFont="1" applyBorder="1" applyAlignment="1">
      <alignment horizontal="center" vertical="top" wrapText="1"/>
    </xf>
    <xf numFmtId="49" fontId="9" fillId="0" borderId="1" xfId="3" applyNumberFormat="1" applyFont="1" applyBorder="1" applyAlignment="1">
      <alignment horizontal="center" wrapText="1"/>
    </xf>
    <xf numFmtId="0" fontId="9" fillId="0" borderId="1" xfId="3" applyFont="1" applyBorder="1" applyAlignment="1">
      <alignment horizontal="center" wrapText="1"/>
    </xf>
    <xf numFmtId="49" fontId="37" fillId="0" borderId="1" xfId="3" applyNumberFormat="1" applyFont="1" applyBorder="1" applyAlignment="1">
      <alignment horizontal="right" vertical="top" wrapText="1"/>
    </xf>
    <xf numFmtId="0" fontId="37" fillId="0" borderId="1" xfId="3" applyFont="1" applyBorder="1" applyAlignment="1">
      <alignment horizontal="left" vertical="top" wrapText="1"/>
    </xf>
    <xf numFmtId="0" fontId="37" fillId="0" borderId="1" xfId="3" applyFont="1" applyBorder="1" applyAlignment="1">
      <alignment horizontal="right" vertical="top" wrapText="1"/>
    </xf>
    <xf numFmtId="49" fontId="37" fillId="0" borderId="3" xfId="3" applyNumberFormat="1" applyFont="1" applyBorder="1" applyAlignment="1">
      <alignment horizontal="right" vertical="top" wrapText="1"/>
    </xf>
    <xf numFmtId="0" fontId="37" fillId="0" borderId="19" xfId="3" applyFont="1" applyBorder="1" applyAlignment="1">
      <alignment horizontal="left" vertical="top" wrapText="1"/>
    </xf>
    <xf numFmtId="0" fontId="9" fillId="0" borderId="3" xfId="3" applyFont="1" applyBorder="1" applyAlignment="1">
      <alignment horizontal="center" vertical="top" wrapText="1"/>
    </xf>
    <xf numFmtId="0" fontId="9" fillId="0" borderId="3" xfId="3" applyFont="1" applyBorder="1" applyAlignment="1">
      <alignment horizontal="left" vertical="top" wrapText="1"/>
    </xf>
    <xf numFmtId="4" fontId="9" fillId="0" borderId="3" xfId="3" applyNumberFormat="1" applyFont="1" applyBorder="1" applyAlignment="1">
      <alignment horizontal="right" vertical="top" wrapText="1"/>
    </xf>
    <xf numFmtId="3" fontId="9" fillId="0" borderId="0" xfId="3" applyNumberFormat="1" applyFont="1" applyAlignment="1">
      <alignment horizontal="center"/>
    </xf>
    <xf numFmtId="3" fontId="9" fillId="0" borderId="0" xfId="3" applyNumberFormat="1" applyFont="1"/>
    <xf numFmtId="49" fontId="37" fillId="0" borderId="2" xfId="3" applyNumberFormat="1" applyFont="1" applyBorder="1" applyAlignment="1">
      <alignment horizontal="right" vertical="top" wrapText="1"/>
    </xf>
    <xf numFmtId="0" fontId="37" fillId="0" borderId="22" xfId="3" applyFont="1" applyBorder="1" applyAlignment="1">
      <alignment horizontal="left" vertical="top" wrapText="1"/>
    </xf>
    <xf numFmtId="0" fontId="9" fillId="0" borderId="2" xfId="3" applyFont="1" applyBorder="1" applyAlignment="1">
      <alignment horizontal="center" vertical="top" wrapText="1"/>
    </xf>
    <xf numFmtId="0" fontId="9" fillId="0" borderId="2" xfId="3" applyFont="1" applyBorder="1" applyAlignment="1">
      <alignment horizontal="left" vertical="top" wrapText="1"/>
    </xf>
    <xf numFmtId="49" fontId="37" fillId="0" borderId="14" xfId="3" applyNumberFormat="1" applyFont="1" applyBorder="1" applyAlignment="1">
      <alignment horizontal="right" vertical="top" wrapText="1"/>
    </xf>
    <xf numFmtId="0" fontId="37" fillId="0" borderId="14" xfId="3" applyFont="1" applyBorder="1" applyAlignment="1">
      <alignment horizontal="left" vertical="top" wrapText="1"/>
    </xf>
    <xf numFmtId="0" fontId="9" fillId="0" borderId="12" xfId="3" applyFont="1" applyBorder="1" applyAlignment="1">
      <alignment horizontal="center" vertical="top" wrapText="1"/>
    </xf>
    <xf numFmtId="0" fontId="9" fillId="0" borderId="14" xfId="3" applyFont="1" applyBorder="1" applyAlignment="1">
      <alignment horizontal="left" vertical="top" wrapText="1"/>
    </xf>
    <xf numFmtId="0" fontId="9" fillId="0" borderId="12" xfId="3" applyFont="1" applyBorder="1" applyAlignment="1">
      <alignment horizontal="left" vertical="top" wrapText="1"/>
    </xf>
    <xf numFmtId="49" fontId="37" fillId="0" borderId="13" xfId="3" applyNumberFormat="1" applyFont="1" applyBorder="1" applyAlignment="1">
      <alignment horizontal="right" vertical="top" wrapText="1"/>
    </xf>
    <xf numFmtId="0" fontId="37" fillId="0" borderId="13" xfId="3" applyFont="1" applyBorder="1" applyAlignment="1">
      <alignment horizontal="left" vertical="top" wrapText="1"/>
    </xf>
    <xf numFmtId="0" fontId="37" fillId="0" borderId="15" xfId="3" applyFont="1" applyBorder="1" applyAlignment="1">
      <alignment horizontal="left" vertical="top" wrapText="1"/>
    </xf>
    <xf numFmtId="0" fontId="37" fillId="0" borderId="13" xfId="3" applyFont="1" applyBorder="1" applyAlignment="1">
      <alignment horizontal="center" vertical="top" wrapText="1"/>
    </xf>
    <xf numFmtId="0" fontId="38" fillId="0" borderId="14" xfId="3" applyFont="1" applyBorder="1" applyAlignment="1">
      <alignment horizontal="left" vertical="top" wrapText="1"/>
    </xf>
    <xf numFmtId="49" fontId="37" fillId="0" borderId="11" xfId="3" applyNumberFormat="1" applyFont="1" applyBorder="1" applyAlignment="1">
      <alignment horizontal="right" vertical="top" wrapText="1"/>
    </xf>
    <xf numFmtId="0" fontId="37" fillId="0" borderId="11" xfId="3" applyFont="1" applyBorder="1" applyAlignment="1">
      <alignment horizontal="left" vertical="top" wrapText="1"/>
    </xf>
    <xf numFmtId="0" fontId="9" fillId="0" borderId="11" xfId="3" applyFont="1" applyBorder="1" applyAlignment="1">
      <alignment horizontal="center" vertical="top" wrapText="1"/>
    </xf>
    <xf numFmtId="0" fontId="9" fillId="0" borderId="11" xfId="3" applyFont="1" applyBorder="1" applyAlignment="1">
      <alignment horizontal="left" vertical="top" wrapText="1"/>
    </xf>
    <xf numFmtId="49" fontId="37" fillId="0" borderId="12" xfId="3" applyNumberFormat="1" applyFont="1" applyBorder="1" applyAlignment="1">
      <alignment horizontal="right" vertical="top" wrapText="1"/>
    </xf>
    <xf numFmtId="0" fontId="9" fillId="0" borderId="14" xfId="3" applyFont="1" applyBorder="1" applyAlignment="1">
      <alignment horizontal="center" vertical="top" wrapText="1"/>
    </xf>
    <xf numFmtId="0" fontId="37" fillId="0" borderId="14" xfId="3" applyFont="1" applyBorder="1" applyAlignment="1">
      <alignment horizontal="center" vertical="top" wrapText="1"/>
    </xf>
    <xf numFmtId="0" fontId="37" fillId="0" borderId="1" xfId="3" applyFont="1" applyBorder="1" applyAlignment="1">
      <alignment horizontal="center" vertical="top" wrapText="1"/>
    </xf>
    <xf numFmtId="49" fontId="37" fillId="0" borderId="5" xfId="3" applyNumberFormat="1" applyFont="1" applyBorder="1" applyAlignment="1">
      <alignment horizontal="right" vertical="top" wrapText="1"/>
    </xf>
    <xf numFmtId="0" fontId="37" fillId="0" borderId="3" xfId="3" applyFont="1" applyBorder="1" applyAlignment="1">
      <alignment horizontal="left" vertical="top" wrapText="1"/>
    </xf>
    <xf numFmtId="0" fontId="37" fillId="0" borderId="2" xfId="3" applyFont="1" applyBorder="1" applyAlignment="1">
      <alignment horizontal="left" vertical="top" wrapText="1"/>
    </xf>
    <xf numFmtId="0" fontId="9" fillId="0" borderId="15" xfId="3" applyFont="1" applyBorder="1" applyAlignment="1">
      <alignment horizontal="left" vertical="top" wrapText="1"/>
    </xf>
    <xf numFmtId="0" fontId="9" fillId="0" borderId="16" xfId="3" applyFont="1" applyBorder="1" applyAlignment="1">
      <alignment horizontal="left" vertical="top" wrapText="1"/>
    </xf>
    <xf numFmtId="0" fontId="9" fillId="0" borderId="21" xfId="3" applyFont="1" applyBorder="1" applyAlignment="1">
      <alignment horizontal="left" vertical="top" wrapText="1"/>
    </xf>
    <xf numFmtId="0" fontId="37" fillId="3" borderId="2" xfId="5" applyFont="1" applyFill="1" applyBorder="1" applyAlignment="1">
      <alignment vertical="top" wrapText="1"/>
    </xf>
    <xf numFmtId="0" fontId="40" fillId="0" borderId="14" xfId="3" applyFont="1" applyBorder="1" applyAlignment="1">
      <alignment horizontal="left" vertical="top" wrapText="1"/>
    </xf>
    <xf numFmtId="4" fontId="38" fillId="0" borderId="14" xfId="3" applyNumberFormat="1" applyFont="1" applyBorder="1" applyAlignment="1">
      <alignment horizontal="right" vertical="top" wrapText="1"/>
    </xf>
    <xf numFmtId="0" fontId="9" fillId="0" borderId="1" xfId="3" applyFont="1" applyBorder="1" applyAlignment="1">
      <alignment horizontal="left" vertical="top" wrapText="1"/>
    </xf>
    <xf numFmtId="4" fontId="37" fillId="0" borderId="2" xfId="3" applyNumberFormat="1" applyFont="1" applyBorder="1" applyAlignment="1">
      <alignment horizontal="right" vertical="top" wrapText="1"/>
    </xf>
    <xf numFmtId="4" fontId="37" fillId="0" borderId="1" xfId="3" applyNumberFormat="1" applyFont="1" applyBorder="1" applyAlignment="1">
      <alignment horizontal="right" vertical="top" wrapText="1"/>
    </xf>
    <xf numFmtId="4" fontId="9" fillId="0" borderId="1" xfId="3" applyNumberFormat="1" applyFont="1" applyBorder="1" applyAlignment="1">
      <alignment horizontal="right" vertical="top" wrapText="1"/>
    </xf>
    <xf numFmtId="0" fontId="9" fillId="3" borderId="1" xfId="3" applyFont="1" applyFill="1" applyBorder="1" applyAlignment="1">
      <alignment horizontal="left" vertical="top" wrapText="1"/>
    </xf>
    <xf numFmtId="0" fontId="9" fillId="0" borderId="1" xfId="4" applyFont="1" applyBorder="1" applyAlignment="1">
      <alignment horizontal="left" vertical="top" wrapText="1"/>
    </xf>
    <xf numFmtId="0" fontId="9" fillId="0" borderId="0" xfId="3" applyFont="1" applyAlignment="1">
      <alignment horizontal="right" wrapText="1"/>
    </xf>
    <xf numFmtId="0" fontId="9" fillId="0" borderId="0" xfId="3" applyFont="1" applyAlignment="1">
      <alignment horizontal="left" vertical="top"/>
    </xf>
    <xf numFmtId="0" fontId="9" fillId="0" borderId="0" xfId="25" applyFont="1"/>
    <xf numFmtId="0" fontId="42" fillId="0" borderId="0" xfId="0" applyFont="1" applyAlignment="1">
      <alignment wrapText="1"/>
    </xf>
    <xf numFmtId="0" fontId="9" fillId="0" borderId="2" xfId="5" applyFont="1" applyBorder="1" applyAlignment="1">
      <alignment horizontal="center" vertical="top" wrapText="1"/>
    </xf>
    <xf numFmtId="0" fontId="41" fillId="0" borderId="0" xfId="22" quotePrefix="1" applyFont="1" applyAlignment="1">
      <alignment horizontal="left" vertical="top" wrapText="1"/>
    </xf>
    <xf numFmtId="0" fontId="42" fillId="0" borderId="0" xfId="3" applyFont="1" applyAlignment="1">
      <alignment wrapText="1"/>
    </xf>
    <xf numFmtId="0" fontId="41" fillId="0" borderId="0" xfId="23" quotePrefix="1" applyFont="1" applyAlignment="1">
      <alignment horizontal="left" vertical="top" wrapText="1"/>
    </xf>
    <xf numFmtId="0" fontId="43" fillId="0" borderId="0" xfId="3" applyFont="1" applyAlignment="1">
      <alignment wrapText="1"/>
    </xf>
    <xf numFmtId="0" fontId="37" fillId="0" borderId="0" xfId="3" applyFont="1" applyAlignment="1">
      <alignment vertical="top" wrapText="1"/>
    </xf>
    <xf numFmtId="0" fontId="26" fillId="0" borderId="0" xfId="4" applyFont="1" applyAlignment="1">
      <alignment horizontal="right" vertical="top" wrapText="1"/>
    </xf>
    <xf numFmtId="0" fontId="38" fillId="0" borderId="10" xfId="3" applyFont="1" applyBorder="1"/>
    <xf numFmtId="0" fontId="9" fillId="3" borderId="3" xfId="3" applyFont="1" applyFill="1" applyBorder="1" applyAlignment="1">
      <alignment horizontal="left" vertical="top" wrapText="1"/>
    </xf>
    <xf numFmtId="0" fontId="9" fillId="0" borderId="10" xfId="3" applyFont="1" applyBorder="1"/>
    <xf numFmtId="0" fontId="37" fillId="0" borderId="2" xfId="3" applyFont="1" applyBorder="1" applyAlignment="1">
      <alignment horizontal="center" vertical="top" wrapText="1"/>
    </xf>
    <xf numFmtId="0" fontId="37" fillId="0" borderId="8" xfId="3" applyFont="1" applyBorder="1" applyAlignment="1">
      <alignment horizontal="left" vertical="top" wrapText="1"/>
    </xf>
    <xf numFmtId="0" fontId="37" fillId="0" borderId="0" xfId="3" applyFont="1" applyAlignment="1">
      <alignment horizontal="left" vertical="top" wrapText="1"/>
    </xf>
    <xf numFmtId="0" fontId="37" fillId="0" borderId="12" xfId="3" applyFont="1" applyBorder="1" applyAlignment="1">
      <alignment horizontal="left" vertical="top" wrapText="1"/>
    </xf>
    <xf numFmtId="0" fontId="9" fillId="0" borderId="18" xfId="1" applyFont="1" applyBorder="1" applyAlignment="1">
      <alignment horizontal="center" vertical="top" wrapText="1"/>
    </xf>
    <xf numFmtId="49" fontId="9" fillId="0" borderId="18" xfId="1" applyNumberFormat="1" applyFont="1" applyBorder="1" applyAlignment="1">
      <alignment horizontal="center" wrapText="1"/>
    </xf>
    <xf numFmtId="0" fontId="9" fillId="0" borderId="18" xfId="1" applyFont="1" applyBorder="1" applyAlignment="1">
      <alignment horizontal="center" wrapText="1"/>
    </xf>
    <xf numFmtId="49" fontId="37" fillId="0" borderId="1" xfId="1" applyNumberFormat="1" applyFont="1" applyBorder="1" applyAlignment="1">
      <alignment horizontal="right" vertical="top" wrapText="1"/>
    </xf>
    <xf numFmtId="0" fontId="37" fillId="0" borderId="1" xfId="1" applyFont="1" applyBorder="1" applyAlignment="1">
      <alignment horizontal="left" vertical="top" wrapText="1"/>
    </xf>
    <xf numFmtId="49" fontId="37" fillId="0" borderId="2" xfId="1" applyNumberFormat="1" applyFont="1" applyBorder="1" applyAlignment="1">
      <alignment horizontal="right" vertical="top" wrapText="1"/>
    </xf>
    <xf numFmtId="0" fontId="9" fillId="0" borderId="1" xfId="1" applyFont="1" applyBorder="1" applyAlignment="1">
      <alignment horizontal="left" vertical="top" wrapText="1"/>
    </xf>
    <xf numFmtId="49" fontId="37" fillId="2" borderId="1" xfId="1" applyNumberFormat="1" applyFont="1" applyFill="1" applyBorder="1" applyAlignment="1">
      <alignment horizontal="right" vertical="top" wrapText="1"/>
    </xf>
    <xf numFmtId="0" fontId="9" fillId="2" borderId="1" xfId="1" applyFont="1" applyFill="1" applyBorder="1" applyAlignment="1">
      <alignment horizontal="left" vertical="top" wrapText="1"/>
    </xf>
    <xf numFmtId="0" fontId="9" fillId="2" borderId="0" xfId="1" applyFont="1" applyFill="1"/>
    <xf numFmtId="49" fontId="37" fillId="2" borderId="3" xfId="1" applyNumberFormat="1" applyFont="1" applyFill="1" applyBorder="1" applyAlignment="1">
      <alignment horizontal="right" vertical="top" wrapText="1"/>
    </xf>
    <xf numFmtId="0" fontId="9" fillId="0" borderId="3" xfId="1" applyFont="1" applyBorder="1" applyAlignment="1">
      <alignment horizontal="left" vertical="top" wrapText="1"/>
    </xf>
    <xf numFmtId="49" fontId="37" fillId="0" borderId="12" xfId="1" applyNumberFormat="1" applyFont="1" applyBorder="1" applyAlignment="1">
      <alignment horizontal="right" vertical="top" wrapText="1"/>
    </xf>
    <xf numFmtId="0" fontId="37" fillId="0" borderId="12" xfId="1" applyFont="1" applyBorder="1" applyAlignment="1">
      <alignment horizontal="left" vertical="top" wrapText="1"/>
    </xf>
    <xf numFmtId="0" fontId="9" fillId="0" borderId="2" xfId="1" applyFont="1" applyBorder="1" applyAlignment="1">
      <alignment horizontal="left" vertical="top" wrapText="1"/>
    </xf>
    <xf numFmtId="49" fontId="37" fillId="0" borderId="14" xfId="1" applyNumberFormat="1" applyFont="1" applyBorder="1" applyAlignment="1">
      <alignment horizontal="right" vertical="top" wrapText="1"/>
    </xf>
    <xf numFmtId="0" fontId="9" fillId="0" borderId="14" xfId="1" applyFont="1" applyBorder="1" applyAlignment="1">
      <alignment horizontal="left" vertical="top" wrapText="1"/>
    </xf>
    <xf numFmtId="49" fontId="37" fillId="2" borderId="5" xfId="1" applyNumberFormat="1" applyFont="1" applyFill="1" applyBorder="1" applyAlignment="1">
      <alignment horizontal="right" vertical="top" wrapText="1"/>
    </xf>
    <xf numFmtId="0" fontId="9" fillId="3" borderId="3" xfId="1" applyFont="1" applyFill="1" applyBorder="1" applyAlignment="1">
      <alignment horizontal="left" vertical="top" wrapText="1"/>
    </xf>
    <xf numFmtId="0" fontId="9" fillId="2" borderId="19" xfId="1" applyFont="1" applyFill="1" applyBorder="1" applyAlignment="1">
      <alignment horizontal="left" vertical="top" wrapText="1"/>
    </xf>
    <xf numFmtId="0" fontId="9" fillId="2" borderId="3" xfId="1" applyFont="1" applyFill="1" applyBorder="1" applyAlignment="1">
      <alignment horizontal="left" vertical="top" wrapText="1"/>
    </xf>
    <xf numFmtId="49" fontId="37" fillId="2" borderId="6" xfId="1" applyNumberFormat="1" applyFont="1" applyFill="1" applyBorder="1" applyAlignment="1">
      <alignment horizontal="right" vertical="top" wrapText="1"/>
    </xf>
    <xf numFmtId="0" fontId="9" fillId="2" borderId="2" xfId="1" applyFont="1" applyFill="1" applyBorder="1" applyAlignment="1">
      <alignment horizontal="left" vertical="top" wrapText="1"/>
    </xf>
    <xf numFmtId="0" fontId="9" fillId="2" borderId="10"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1" xfId="1" applyFont="1" applyFill="1" applyBorder="1" applyAlignment="1">
      <alignment horizontal="left" vertical="top" wrapText="1"/>
    </xf>
    <xf numFmtId="49" fontId="37" fillId="0" borderId="3" xfId="1" applyNumberFormat="1" applyFont="1" applyBorder="1" applyAlignment="1">
      <alignment horizontal="right" vertical="top" wrapText="1"/>
    </xf>
    <xf numFmtId="49" fontId="37" fillId="0" borderId="13" xfId="1" applyNumberFormat="1" applyFont="1" applyBorder="1" applyAlignment="1">
      <alignment horizontal="right" vertical="top" wrapText="1"/>
    </xf>
    <xf numFmtId="0" fontId="9" fillId="0" borderId="13" xfId="1" applyFont="1" applyBorder="1" applyAlignment="1">
      <alignment horizontal="left" vertical="top" wrapText="1"/>
    </xf>
    <xf numFmtId="0" fontId="37" fillId="0" borderId="13" xfId="1" applyFont="1" applyBorder="1" applyAlignment="1">
      <alignment horizontal="left" vertical="top" wrapText="1"/>
    </xf>
    <xf numFmtId="3" fontId="9" fillId="0" borderId="0" xfId="1" applyNumberFormat="1" applyFont="1"/>
    <xf numFmtId="0" fontId="9" fillId="0" borderId="5" xfId="6" applyFont="1" applyBorder="1"/>
    <xf numFmtId="0" fontId="9" fillId="0" borderId="19" xfId="6" applyFont="1" applyBorder="1"/>
    <xf numFmtId="0" fontId="37" fillId="0" borderId="19" xfId="7" applyFont="1" applyBorder="1" applyAlignment="1">
      <alignment horizontal="center"/>
    </xf>
    <xf numFmtId="0" fontId="9" fillId="0" borderId="0" xfId="6" applyFont="1"/>
    <xf numFmtId="0" fontId="9" fillId="0" borderId="0" xfId="8" applyFont="1" applyAlignment="1">
      <alignment wrapText="1"/>
    </xf>
    <xf numFmtId="0" fontId="9" fillId="0" borderId="0" xfId="8" applyFont="1" applyAlignment="1">
      <alignment horizontal="center" wrapText="1"/>
    </xf>
    <xf numFmtId="0" fontId="9" fillId="0" borderId="0" xfId="8" applyFont="1"/>
    <xf numFmtId="0" fontId="9" fillId="0" borderId="17" xfId="6" applyFont="1" applyBorder="1"/>
    <xf numFmtId="0" fontId="37" fillId="0" borderId="0" xfId="7" applyFont="1" applyAlignment="1">
      <alignment horizontal="center"/>
    </xf>
    <xf numFmtId="0" fontId="9" fillId="0" borderId="0" xfId="8" applyFont="1" applyAlignment="1">
      <alignment horizontal="left" wrapText="1"/>
    </xf>
    <xf numFmtId="0" fontId="9" fillId="0" borderId="0" xfId="7" applyFont="1"/>
    <xf numFmtId="0" fontId="37" fillId="2" borderId="0" xfId="9" applyFont="1" applyFill="1" applyAlignment="1" applyProtection="1">
      <alignment horizontal="center" vertical="center" wrapText="1"/>
      <protection locked="0"/>
    </xf>
    <xf numFmtId="0" fontId="9" fillId="2" borderId="0" xfId="8" applyFont="1" applyFill="1" applyAlignment="1">
      <alignment wrapText="1"/>
    </xf>
    <xf numFmtId="0" fontId="9" fillId="2" borderId="0" xfId="8" applyFont="1" applyFill="1" applyAlignment="1">
      <alignment horizontal="left" wrapText="1"/>
    </xf>
    <xf numFmtId="0" fontId="9" fillId="2" borderId="0" xfId="8" applyFont="1" applyFill="1"/>
    <xf numFmtId="0" fontId="37" fillId="2" borderId="17" xfId="9" applyFont="1" applyFill="1" applyBorder="1" applyAlignment="1" applyProtection="1">
      <alignment horizontal="left" vertical="center" wrapText="1"/>
      <protection locked="0"/>
    </xf>
    <xf numFmtId="0" fontId="37" fillId="2" borderId="0" xfId="9" applyFont="1" applyFill="1" applyAlignment="1" applyProtection="1">
      <alignment horizontal="left" vertical="center" wrapText="1"/>
      <protection locked="0"/>
    </xf>
    <xf numFmtId="2" fontId="9" fillId="2" borderId="17" xfId="10" applyNumberFormat="1" applyFont="1" applyFill="1" applyBorder="1" applyAlignment="1">
      <alignment vertical="center"/>
    </xf>
    <xf numFmtId="2" fontId="9" fillId="2" borderId="0" xfId="10" applyNumberFormat="1" applyFont="1" applyFill="1" applyAlignment="1">
      <alignment vertical="center"/>
    </xf>
    <xf numFmtId="0" fontId="37" fillId="2" borderId="0" xfId="10" applyFont="1" applyFill="1" applyAlignment="1">
      <alignment vertical="center"/>
    </xf>
    <xf numFmtId="0" fontId="9" fillId="0" borderId="0" xfId="8" applyFont="1" applyAlignment="1">
      <alignment vertical="top" wrapText="1"/>
    </xf>
    <xf numFmtId="0" fontId="37" fillId="2" borderId="17" xfId="7" applyFont="1" applyFill="1" applyBorder="1" applyAlignment="1">
      <alignment horizontal="center" vertical="center" wrapText="1"/>
    </xf>
    <xf numFmtId="0" fontId="9" fillId="2" borderId="0" xfId="7" applyFont="1" applyFill="1" applyAlignment="1">
      <alignment vertical="center" wrapText="1"/>
    </xf>
    <xf numFmtId="4" fontId="9" fillId="2" borderId="0" xfId="7" applyNumberFormat="1" applyFont="1" applyFill="1" applyAlignment="1">
      <alignment vertical="center" wrapText="1"/>
    </xf>
    <xf numFmtId="0" fontId="9" fillId="2" borderId="17" xfId="7" applyFont="1" applyFill="1" applyBorder="1" applyAlignment="1">
      <alignment horizontal="center" vertical="center" wrapText="1"/>
    </xf>
    <xf numFmtId="0" fontId="9" fillId="2" borderId="0" xfId="7" applyFont="1" applyFill="1" applyAlignment="1">
      <alignment horizontal="left" vertical="center" wrapText="1"/>
    </xf>
    <xf numFmtId="0" fontId="9" fillId="2" borderId="0" xfId="7" applyFont="1" applyFill="1" applyAlignment="1">
      <alignment horizontal="center" vertical="center" wrapText="1"/>
    </xf>
    <xf numFmtId="4" fontId="9" fillId="2" borderId="0" xfId="7" applyNumberFormat="1" applyFont="1" applyFill="1" applyAlignment="1">
      <alignment horizontal="center" vertical="center" wrapText="1"/>
    </xf>
    <xf numFmtId="4" fontId="9" fillId="2" borderId="0" xfId="7" applyNumberFormat="1" applyFont="1" applyFill="1" applyAlignment="1">
      <alignment horizontal="right" vertical="center" wrapText="1"/>
    </xf>
    <xf numFmtId="0" fontId="37" fillId="0" borderId="17" xfId="7" applyFont="1" applyBorder="1" applyAlignment="1">
      <alignment horizontal="center" vertical="center" wrapText="1"/>
    </xf>
    <xf numFmtId="0" fontId="9" fillId="0" borderId="0" xfId="7" applyFont="1" applyAlignment="1">
      <alignment vertical="center"/>
    </xf>
    <xf numFmtId="0" fontId="9" fillId="0" borderId="0" xfId="7" applyFont="1" applyAlignment="1">
      <alignment vertical="center" wrapText="1"/>
    </xf>
    <xf numFmtId="4" fontId="9" fillId="0" borderId="0" xfId="7" applyNumberFormat="1" applyFont="1" applyAlignment="1">
      <alignment vertical="center" wrapText="1"/>
    </xf>
    <xf numFmtId="0" fontId="9" fillId="0" borderId="0" xfId="10" applyFont="1" applyAlignment="1">
      <alignment vertical="center" wrapText="1"/>
    </xf>
    <xf numFmtId="0" fontId="9" fillId="0" borderId="1" xfId="7" applyFont="1" applyBorder="1" applyAlignment="1">
      <alignment horizontal="center" vertical="center"/>
    </xf>
    <xf numFmtId="0" fontId="9" fillId="2" borderId="1" xfId="7" applyFont="1" applyFill="1" applyBorder="1" applyAlignment="1">
      <alignment horizontal="left" vertical="center" wrapText="1"/>
    </xf>
    <xf numFmtId="0" fontId="9" fillId="0" borderId="1" xfId="7" applyFont="1" applyBorder="1" applyAlignment="1">
      <alignment vertical="center"/>
    </xf>
    <xf numFmtId="0" fontId="9" fillId="0" borderId="1" xfId="7" applyFont="1" applyBorder="1" applyAlignment="1">
      <alignment vertical="center" wrapText="1"/>
    </xf>
    <xf numFmtId="4" fontId="9" fillId="0" borderId="1" xfId="7" applyNumberFormat="1" applyFont="1" applyBorder="1" applyAlignment="1">
      <alignment vertical="center" wrapText="1"/>
    </xf>
    <xf numFmtId="0" fontId="9" fillId="0" borderId="1" xfId="7" applyFont="1" applyBorder="1" applyAlignment="1">
      <alignment horizontal="left" vertical="center" wrapText="1"/>
    </xf>
    <xf numFmtId="0" fontId="9" fillId="3" borderId="1" xfId="7" applyFont="1" applyFill="1" applyBorder="1" applyAlignment="1">
      <alignment horizontal="left" vertical="center" wrapText="1"/>
    </xf>
    <xf numFmtId="0" fontId="9" fillId="3" borderId="1" xfId="7" applyFont="1" applyFill="1" applyBorder="1" applyAlignment="1">
      <alignment vertical="center"/>
    </xf>
    <xf numFmtId="0" fontId="39" fillId="2" borderId="0" xfId="11" applyFont="1" applyFill="1" applyBorder="1" applyAlignment="1" applyProtection="1"/>
    <xf numFmtId="0" fontId="9" fillId="0" borderId="1" xfId="7" applyFont="1" applyBorder="1" applyAlignment="1">
      <alignment horizontal="center" vertical="center" wrapText="1"/>
    </xf>
    <xf numFmtId="4" fontId="9" fillId="0" borderId="1" xfId="7" applyNumberFormat="1" applyFont="1" applyBorder="1" applyAlignment="1">
      <alignment horizontal="center" vertical="center" wrapText="1"/>
    </xf>
    <xf numFmtId="4" fontId="9" fillId="0" borderId="0" xfId="7" applyNumberFormat="1" applyFont="1" applyAlignment="1">
      <alignment horizontal="center" vertical="center" wrapText="1"/>
    </xf>
    <xf numFmtId="0" fontId="9" fillId="0" borderId="0" xfId="7" applyFont="1" applyAlignment="1">
      <alignment horizontal="center" vertical="center" wrapText="1"/>
    </xf>
    <xf numFmtId="0" fontId="46" fillId="0" borderId="0" xfId="7" applyFont="1" applyAlignment="1">
      <alignment horizontal="center" vertical="center" wrapText="1"/>
    </xf>
    <xf numFmtId="3" fontId="9" fillId="0" borderId="1" xfId="7" applyNumberFormat="1" applyFont="1" applyBorder="1" applyAlignment="1">
      <alignment horizontal="center" vertical="center" wrapText="1"/>
    </xf>
    <xf numFmtId="3" fontId="9" fillId="0" borderId="0" xfId="7" applyNumberFormat="1" applyFont="1" applyAlignment="1">
      <alignment horizontal="center" vertical="center" wrapText="1"/>
    </xf>
    <xf numFmtId="0" fontId="9" fillId="2" borderId="0" xfId="8" applyFont="1" applyFill="1" applyAlignment="1">
      <alignment horizontal="center" vertical="center" wrapText="1"/>
    </xf>
    <xf numFmtId="0" fontId="9" fillId="0" borderId="1" xfId="6" applyFont="1" applyBorder="1" applyAlignment="1">
      <alignment horizontal="left" vertical="center" wrapText="1"/>
    </xf>
    <xf numFmtId="0" fontId="9" fillId="0" borderId="1" xfId="6" applyFont="1" applyBorder="1" applyAlignment="1">
      <alignment horizontal="center" vertical="center" wrapText="1"/>
    </xf>
    <xf numFmtId="4" fontId="9" fillId="0" borderId="1" xfId="6" applyNumberFormat="1" applyFont="1" applyBorder="1" applyAlignment="1">
      <alignment horizontal="center" vertical="center" wrapText="1"/>
    </xf>
    <xf numFmtId="3" fontId="37" fillId="0" borderId="0" xfId="7" applyNumberFormat="1" applyFont="1" applyAlignment="1">
      <alignment horizontal="center" vertical="center" wrapText="1"/>
    </xf>
    <xf numFmtId="3" fontId="9" fillId="2" borderId="0" xfId="8" applyNumberFormat="1" applyFont="1" applyFill="1" applyAlignment="1">
      <alignment wrapText="1"/>
    </xf>
    <xf numFmtId="0" fontId="37" fillId="0" borderId="0" xfId="7" applyFont="1" applyAlignment="1">
      <alignment horizontal="center" vertical="center" wrapText="1"/>
    </xf>
    <xf numFmtId="0" fontId="9" fillId="0" borderId="1" xfId="12" applyNumberFormat="1" applyFont="1" applyBorder="1" applyAlignment="1">
      <alignment horizontal="left" vertical="center" wrapText="1"/>
    </xf>
    <xf numFmtId="4" fontId="9" fillId="0" borderId="1" xfId="12" applyFont="1" applyBorder="1" applyAlignment="1">
      <alignment horizontal="left" vertical="center" wrapText="1"/>
    </xf>
    <xf numFmtId="3" fontId="9" fillId="0" borderId="0" xfId="12" applyNumberFormat="1" applyFont="1" applyAlignment="1">
      <alignment horizontal="center" vertical="center" wrapText="1"/>
    </xf>
    <xf numFmtId="0" fontId="9" fillId="0" borderId="1" xfId="8" applyFont="1" applyBorder="1" applyAlignment="1">
      <alignment horizontal="left" vertical="center" wrapText="1"/>
    </xf>
    <xf numFmtId="0" fontId="9" fillId="0" borderId="1" xfId="8" applyFont="1" applyBorder="1" applyAlignment="1">
      <alignment horizontal="center" vertical="center" wrapText="1"/>
    </xf>
    <xf numFmtId="0" fontId="9" fillId="0" borderId="1" xfId="8" applyFont="1" applyBorder="1" applyAlignment="1">
      <alignment horizontal="center" vertical="center"/>
    </xf>
    <xf numFmtId="165" fontId="9" fillId="0" borderId="1" xfId="8" applyNumberFormat="1" applyFont="1" applyBorder="1" applyAlignment="1">
      <alignment horizontal="center" vertical="center" wrapText="1"/>
    </xf>
    <xf numFmtId="0" fontId="37" fillId="2" borderId="0" xfId="8" applyFont="1" applyFill="1"/>
    <xf numFmtId="4" fontId="9" fillId="2" borderId="1" xfId="12" applyFont="1" applyFill="1" applyBorder="1" applyAlignment="1">
      <alignment horizontal="left" vertical="center" wrapText="1"/>
    </xf>
    <xf numFmtId="0" fontId="9" fillId="2" borderId="0" xfId="8" applyFont="1" applyFill="1" applyAlignment="1">
      <alignment horizontal="justify"/>
    </xf>
    <xf numFmtId="3" fontId="9" fillId="0" borderId="1" xfId="8" applyNumberFormat="1" applyFont="1" applyBorder="1" applyAlignment="1">
      <alignment horizontal="center" vertical="center" wrapText="1"/>
    </xf>
    <xf numFmtId="4" fontId="9" fillId="0" borderId="1" xfId="8" applyNumberFormat="1" applyFont="1" applyBorder="1" applyAlignment="1">
      <alignment horizontal="center" vertical="center" wrapText="1"/>
    </xf>
    <xf numFmtId="3" fontId="9" fillId="0" borderId="1" xfId="8" quotePrefix="1" applyNumberFormat="1" applyFont="1" applyBorder="1" applyAlignment="1">
      <alignment horizontal="center" vertical="center"/>
    </xf>
    <xf numFmtId="0" fontId="9" fillId="2" borderId="1" xfId="8" applyFont="1" applyFill="1" applyBorder="1" applyAlignment="1">
      <alignment horizontal="left" vertical="center" wrapText="1"/>
    </xf>
    <xf numFmtId="1" fontId="9" fillId="2" borderId="0" xfId="8" applyNumberFormat="1" applyFont="1" applyFill="1" applyAlignment="1">
      <alignment wrapText="1"/>
    </xf>
    <xf numFmtId="1" fontId="9" fillId="0" borderId="1" xfId="7" applyNumberFormat="1" applyFont="1" applyBorder="1" applyAlignment="1">
      <alignment horizontal="center" vertical="center" wrapText="1"/>
    </xf>
    <xf numFmtId="0" fontId="37" fillId="0" borderId="1" xfId="8" applyFont="1" applyBorder="1" applyAlignment="1">
      <alignment horizontal="center" vertical="center"/>
    </xf>
    <xf numFmtId="167" fontId="37" fillId="0" borderId="0" xfId="8" applyNumberFormat="1" applyFont="1" applyAlignment="1">
      <alignment horizontal="right" vertical="center" wrapText="1"/>
    </xf>
    <xf numFmtId="1" fontId="37" fillId="0" borderId="0" xfId="8" applyNumberFormat="1" applyFont="1" applyAlignment="1">
      <alignment horizontal="right" vertical="center" wrapText="1"/>
    </xf>
    <xf numFmtId="0" fontId="9" fillId="2" borderId="0" xfId="1" applyFont="1" applyFill="1" applyAlignment="1">
      <alignment wrapText="1"/>
    </xf>
    <xf numFmtId="0" fontId="9" fillId="2" borderId="0" xfId="1" applyFont="1" applyFill="1" applyAlignment="1">
      <alignment horizontal="left" wrapText="1"/>
    </xf>
    <xf numFmtId="2" fontId="37" fillId="0" borderId="1" xfId="8" applyNumberFormat="1" applyFont="1" applyBorder="1" applyAlignment="1">
      <alignment horizontal="center" vertical="center"/>
    </xf>
    <xf numFmtId="3" fontId="37" fillId="0" borderId="0" xfId="7" applyNumberFormat="1" applyFont="1" applyAlignment="1">
      <alignment horizontal="right" vertical="center" wrapText="1"/>
    </xf>
    <xf numFmtId="10" fontId="9" fillId="0" borderId="1" xfId="7" applyNumberFormat="1" applyFont="1" applyBorder="1" applyAlignment="1">
      <alignment horizontal="center" vertical="center" wrapText="1"/>
    </xf>
    <xf numFmtId="9" fontId="9" fillId="0" borderId="1" xfId="7" applyNumberFormat="1" applyFont="1" applyBorder="1" applyAlignment="1">
      <alignment horizontal="center" vertical="center" wrapText="1"/>
    </xf>
    <xf numFmtId="0" fontId="9" fillId="3" borderId="1" xfId="7" applyFont="1" applyFill="1" applyBorder="1" applyAlignment="1">
      <alignment horizontal="center" vertical="center" wrapText="1"/>
    </xf>
    <xf numFmtId="3" fontId="9" fillId="0" borderId="0" xfId="7" applyNumberFormat="1" applyFont="1" applyAlignment="1">
      <alignment horizontal="right" vertical="center" wrapText="1"/>
    </xf>
    <xf numFmtId="0" fontId="37" fillId="0" borderId="1" xfId="7" applyFont="1" applyBorder="1" applyAlignment="1">
      <alignment horizontal="center" vertical="center" wrapText="1"/>
    </xf>
    <xf numFmtId="0" fontId="9" fillId="0" borderId="1" xfId="13" applyFont="1" applyBorder="1" applyAlignment="1">
      <alignment horizontal="center" vertical="center" wrapText="1"/>
    </xf>
    <xf numFmtId="2" fontId="9" fillId="0" borderId="1" xfId="7" applyNumberFormat="1" applyFont="1" applyBorder="1" applyAlignment="1">
      <alignment horizontal="center" vertical="center" wrapText="1"/>
    </xf>
    <xf numFmtId="2" fontId="9" fillId="2" borderId="0" xfId="8" applyNumberFormat="1" applyFont="1" applyFill="1" applyAlignment="1">
      <alignment wrapText="1"/>
    </xf>
    <xf numFmtId="0" fontId="9" fillId="0" borderId="1" xfId="13" applyFont="1" applyBorder="1" applyAlignment="1">
      <alignment horizontal="left" vertical="center" wrapText="1"/>
    </xf>
    <xf numFmtId="0" fontId="9" fillId="0" borderId="1" xfId="14" applyFont="1" applyBorder="1" applyAlignment="1">
      <alignment horizontal="left" vertical="center" wrapText="1"/>
    </xf>
    <xf numFmtId="0" fontId="37" fillId="0" borderId="1" xfId="13" applyFont="1" applyBorder="1" applyAlignment="1">
      <alignment horizontal="center" vertical="center" wrapText="1"/>
    </xf>
    <xf numFmtId="2" fontId="37" fillId="0" borderId="1" xfId="7" applyNumberFormat="1" applyFont="1" applyBorder="1" applyAlignment="1">
      <alignment horizontal="center" vertical="center" wrapText="1"/>
    </xf>
    <xf numFmtId="0" fontId="9" fillId="3" borderId="1" xfId="8" applyFont="1" applyFill="1" applyBorder="1" applyAlignment="1">
      <alignment horizontal="left" vertical="center" wrapText="1"/>
    </xf>
    <xf numFmtId="0" fontId="9" fillId="3" borderId="1" xfId="8" applyFont="1" applyFill="1" applyBorder="1" applyAlignment="1">
      <alignment horizontal="center" vertical="center" wrapText="1"/>
    </xf>
    <xf numFmtId="3" fontId="9" fillId="0" borderId="0" xfId="8" applyNumberFormat="1" applyFont="1" applyAlignment="1">
      <alignment horizontal="center" vertical="center" wrapText="1"/>
    </xf>
    <xf numFmtId="0" fontId="9" fillId="3" borderId="1" xfId="12" applyNumberFormat="1" applyFont="1" applyFill="1" applyBorder="1" applyAlignment="1">
      <alignment horizontal="left" vertical="center" wrapText="1"/>
    </xf>
    <xf numFmtId="4" fontId="9" fillId="3" borderId="1" xfId="12" applyFont="1" applyFill="1" applyBorder="1" applyAlignment="1">
      <alignment horizontal="left" vertical="center" wrapText="1"/>
    </xf>
    <xf numFmtId="3" fontId="9" fillId="3" borderId="1" xfId="8" applyNumberFormat="1" applyFont="1" applyFill="1" applyBorder="1" applyAlignment="1">
      <alignment horizontal="center" vertical="center" wrapText="1"/>
    </xf>
    <xf numFmtId="0" fontId="37" fillId="0" borderId="1" xfId="7" applyFont="1" applyBorder="1" applyAlignment="1">
      <alignment horizontal="right" vertical="center" wrapText="1"/>
    </xf>
    <xf numFmtId="3" fontId="37" fillId="0" borderId="0" xfId="7" applyNumberFormat="1" applyFont="1" applyAlignment="1">
      <alignment vertical="center" wrapText="1"/>
    </xf>
    <xf numFmtId="3" fontId="9" fillId="0" borderId="0" xfId="8" applyNumberFormat="1" applyFont="1" applyAlignment="1">
      <alignment horizontal="right" vertical="center" wrapText="1"/>
    </xf>
    <xf numFmtId="0" fontId="37" fillId="0" borderId="1" xfId="7" applyFont="1" applyBorder="1" applyAlignment="1">
      <alignment horizontal="center" vertical="center"/>
    </xf>
    <xf numFmtId="2" fontId="37" fillId="0" borderId="1" xfId="7" applyNumberFormat="1" applyFont="1" applyBorder="1" applyAlignment="1">
      <alignment horizontal="center" vertical="center"/>
    </xf>
    <xf numFmtId="0" fontId="9" fillId="0" borderId="1" xfId="7" applyFont="1" applyBorder="1" applyAlignment="1">
      <alignment horizontal="right" vertical="center" wrapText="1"/>
    </xf>
    <xf numFmtId="2" fontId="9" fillId="0" borderId="1" xfId="7" applyNumberFormat="1" applyFont="1" applyBorder="1" applyAlignment="1">
      <alignment horizontal="center" vertical="center"/>
    </xf>
    <xf numFmtId="1" fontId="9" fillId="0" borderId="1" xfId="6" applyNumberFormat="1" applyFont="1" applyBorder="1" applyAlignment="1">
      <alignment horizontal="center" vertical="center" wrapText="1"/>
    </xf>
    <xf numFmtId="3" fontId="9" fillId="0" borderId="1" xfId="6" applyNumberFormat="1" applyFont="1" applyBorder="1" applyAlignment="1">
      <alignment horizontal="center" vertical="center" wrapText="1"/>
    </xf>
    <xf numFmtId="3" fontId="9" fillId="0" borderId="0" xfId="7" applyNumberFormat="1" applyFont="1" applyAlignment="1">
      <alignment vertical="center" wrapText="1"/>
    </xf>
    <xf numFmtId="0" fontId="37" fillId="0" borderId="0" xfId="7" applyFont="1" applyAlignment="1">
      <alignment horizontal="right" vertical="center" wrapText="1"/>
    </xf>
    <xf numFmtId="0" fontId="9" fillId="0" borderId="0" xfId="15" applyFont="1"/>
    <xf numFmtId="0" fontId="9" fillId="0" borderId="0" xfId="12" applyNumberFormat="1" applyFont="1" applyAlignment="1"/>
    <xf numFmtId="0" fontId="9" fillId="0" borderId="0" xfId="16" applyFont="1"/>
    <xf numFmtId="4" fontId="9" fillId="0" borderId="0" xfId="7" applyNumberFormat="1" applyFont="1" applyAlignment="1">
      <alignment horizontal="right" vertical="center" wrapText="1"/>
    </xf>
    <xf numFmtId="4" fontId="9" fillId="0" borderId="0" xfId="15" applyNumberFormat="1" applyFont="1" applyAlignment="1">
      <alignment horizontal="left" indent="4"/>
    </xf>
    <xf numFmtId="0" fontId="9" fillId="0" borderId="0" xfId="16" applyFont="1" applyAlignment="1">
      <alignment horizontal="left" indent="4"/>
    </xf>
    <xf numFmtId="0" fontId="9" fillId="0" borderId="0" xfId="17" applyNumberFormat="1" applyFont="1" applyAlignment="1"/>
    <xf numFmtId="4" fontId="9" fillId="0" borderId="0" xfId="6" applyNumberFormat="1" applyFont="1"/>
    <xf numFmtId="4" fontId="9" fillId="0" borderId="20" xfId="6" applyNumberFormat="1" applyFont="1" applyBorder="1" applyAlignment="1">
      <alignment horizontal="right"/>
    </xf>
    <xf numFmtId="4" fontId="9" fillId="0" borderId="16" xfId="6" applyNumberFormat="1" applyFont="1" applyBorder="1" applyAlignment="1">
      <alignment horizontal="right"/>
    </xf>
    <xf numFmtId="4" fontId="9" fillId="0" borderId="16" xfId="7" applyNumberFormat="1" applyFont="1" applyBorder="1" applyAlignment="1">
      <alignment horizontal="right"/>
    </xf>
    <xf numFmtId="4" fontId="9" fillId="0" borderId="0" xfId="3" applyNumberFormat="1" applyFont="1"/>
    <xf numFmtId="4" fontId="43" fillId="0" borderId="0" xfId="3" applyNumberFormat="1" applyFont="1" applyAlignment="1">
      <alignment wrapText="1"/>
    </xf>
    <xf numFmtId="4" fontId="37" fillId="2" borderId="16" xfId="10" applyNumberFormat="1" applyFont="1" applyFill="1" applyBorder="1" applyAlignment="1">
      <alignment horizontal="right" vertical="center"/>
    </xf>
    <xf numFmtId="4" fontId="9" fillId="2" borderId="16" xfId="7" applyNumberFormat="1" applyFont="1" applyFill="1" applyBorder="1" applyAlignment="1">
      <alignment horizontal="right" vertical="center" wrapText="1"/>
    </xf>
    <xf numFmtId="4" fontId="9" fillId="0" borderId="16" xfId="7" applyNumberFormat="1" applyFont="1" applyBorder="1" applyAlignment="1">
      <alignment horizontal="right" vertical="center" wrapText="1"/>
    </xf>
    <xf numFmtId="4" fontId="9" fillId="0" borderId="1" xfId="7" applyNumberFormat="1" applyFont="1" applyBorder="1" applyAlignment="1">
      <alignment horizontal="right" vertical="center" wrapText="1"/>
    </xf>
    <xf numFmtId="4" fontId="9" fillId="3" borderId="1" xfId="7" applyNumberFormat="1" applyFont="1" applyFill="1" applyBorder="1" applyAlignment="1">
      <alignment horizontal="right" vertical="center" wrapText="1"/>
    </xf>
    <xf numFmtId="4" fontId="37" fillId="0" borderId="1" xfId="7" applyNumberFormat="1" applyFont="1" applyBorder="1" applyAlignment="1">
      <alignment horizontal="right" vertical="center" wrapText="1"/>
    </xf>
    <xf numFmtId="4" fontId="9" fillId="0" borderId="1" xfId="12" applyFont="1" applyBorder="1" applyAlignment="1">
      <alignment horizontal="right" vertical="center" wrapText="1"/>
    </xf>
    <xf numFmtId="4" fontId="9" fillId="0" borderId="1" xfId="8" applyNumberFormat="1" applyFont="1" applyBorder="1" applyAlignment="1">
      <alignment horizontal="right" vertical="center" wrapText="1"/>
    </xf>
    <xf numFmtId="4" fontId="37" fillId="0" borderId="0" xfId="7" applyNumberFormat="1" applyFont="1" applyAlignment="1">
      <alignment horizontal="right" vertical="center" wrapText="1"/>
    </xf>
    <xf numFmtId="4" fontId="9" fillId="0" borderId="0" xfId="6" applyNumberFormat="1" applyFont="1" applyAlignment="1">
      <alignment horizontal="right"/>
    </xf>
    <xf numFmtId="4" fontId="38" fillId="0" borderId="0" xfId="3" applyNumberFormat="1" applyFont="1" applyAlignment="1">
      <alignment horizontal="right" vertical="top"/>
    </xf>
    <xf numFmtId="4" fontId="9" fillId="0" borderId="0" xfId="3" applyNumberFormat="1" applyFont="1" applyAlignment="1">
      <alignment wrapText="1"/>
    </xf>
    <xf numFmtId="4" fontId="39" fillId="0" borderId="0" xfId="3" applyNumberFormat="1" applyFont="1" applyAlignment="1">
      <alignment vertical="top"/>
    </xf>
    <xf numFmtId="4" fontId="38" fillId="0" borderId="0" xfId="3" applyNumberFormat="1" applyFont="1"/>
    <xf numFmtId="4" fontId="9" fillId="0" borderId="1" xfId="3" applyNumberFormat="1" applyFont="1" applyBorder="1" applyAlignment="1">
      <alignment horizontal="center" vertical="top" wrapText="1"/>
    </xf>
    <xf numFmtId="4" fontId="9" fillId="0" borderId="1" xfId="3" applyNumberFormat="1" applyFont="1" applyBorder="1" applyAlignment="1">
      <alignment horizontal="center" wrapText="1"/>
    </xf>
    <xf numFmtId="4" fontId="9" fillId="0" borderId="2" xfId="3" applyNumberFormat="1" applyFont="1" applyBorder="1" applyAlignment="1">
      <alignment horizontal="right" vertical="top" wrapText="1"/>
    </xf>
    <xf numFmtId="4" fontId="37" fillId="0" borderId="13" xfId="3" applyNumberFormat="1" applyFont="1" applyBorder="1" applyAlignment="1">
      <alignment horizontal="right" vertical="top" wrapText="1"/>
    </xf>
    <xf numFmtId="4" fontId="9" fillId="0" borderId="12" xfId="3" applyNumberFormat="1" applyFont="1" applyBorder="1" applyAlignment="1">
      <alignment horizontal="right" vertical="top" wrapText="1"/>
    </xf>
    <xf numFmtId="4" fontId="37" fillId="0" borderId="14" xfId="3" applyNumberFormat="1" applyFont="1" applyBorder="1" applyAlignment="1">
      <alignment horizontal="right" vertical="top" wrapText="1"/>
    </xf>
    <xf numFmtId="4" fontId="9" fillId="0" borderId="14" xfId="3" applyNumberFormat="1" applyFont="1" applyBorder="1" applyAlignment="1">
      <alignment horizontal="right" vertical="top" wrapText="1"/>
    </xf>
    <xf numFmtId="4" fontId="37" fillId="0" borderId="15" xfId="3" applyNumberFormat="1" applyFont="1" applyBorder="1" applyAlignment="1">
      <alignment horizontal="right" vertical="top" wrapText="1"/>
    </xf>
    <xf numFmtId="4" fontId="9" fillId="0" borderId="16" xfId="3" applyNumberFormat="1" applyFont="1" applyBorder="1" applyAlignment="1">
      <alignment horizontal="right" vertical="top" wrapText="1"/>
    </xf>
    <xf numFmtId="4" fontId="9" fillId="0" borderId="21" xfId="3" applyNumberFormat="1" applyFont="1" applyBorder="1" applyAlignment="1">
      <alignment horizontal="right" vertical="top" wrapText="1"/>
    </xf>
    <xf numFmtId="4" fontId="9" fillId="0" borderId="0" xfId="3" applyNumberFormat="1" applyFont="1" applyAlignment="1">
      <alignment horizontal="right" wrapText="1"/>
    </xf>
    <xf numFmtId="4" fontId="26" fillId="0" borderId="0" xfId="4" applyNumberFormat="1" applyFont="1" applyAlignment="1">
      <alignment horizontal="right" vertical="top" wrapText="1"/>
    </xf>
    <xf numFmtId="4" fontId="38" fillId="0" borderId="10" xfId="3" applyNumberFormat="1" applyFont="1" applyBorder="1"/>
    <xf numFmtId="4" fontId="9" fillId="0" borderId="11" xfId="3" applyNumberFormat="1" applyFont="1" applyBorder="1" applyAlignment="1">
      <alignment horizontal="right" vertical="top" wrapText="1"/>
    </xf>
    <xf numFmtId="4" fontId="26" fillId="0" borderId="0" xfId="1" applyNumberFormat="1" applyFont="1" applyAlignment="1">
      <alignment horizontal="right" vertical="top"/>
    </xf>
    <xf numFmtId="4" fontId="9" fillId="0" borderId="0" xfId="1" applyNumberFormat="1" applyFont="1" applyAlignment="1">
      <alignment wrapText="1"/>
    </xf>
    <xf numFmtId="4" fontId="9" fillId="0" borderId="18" xfId="1" applyNumberFormat="1" applyFont="1" applyBorder="1" applyAlignment="1">
      <alignment horizontal="center" vertical="top" wrapText="1"/>
    </xf>
    <xf numFmtId="4" fontId="9" fillId="0" borderId="18" xfId="1" applyNumberFormat="1" applyFont="1" applyBorder="1" applyAlignment="1">
      <alignment horizontal="center" wrapText="1"/>
    </xf>
    <xf numFmtId="4" fontId="37" fillId="0" borderId="1" xfId="1" applyNumberFormat="1" applyFont="1" applyBorder="1" applyAlignment="1">
      <alignment horizontal="right" vertical="top" wrapText="1"/>
    </xf>
    <xf numFmtId="4" fontId="9" fillId="0" borderId="1" xfId="1" applyNumberFormat="1" applyFont="1" applyBorder="1" applyAlignment="1">
      <alignment horizontal="right" vertical="top" wrapText="1"/>
    </xf>
    <xf numFmtId="4" fontId="9" fillId="2" borderId="1" xfId="1" applyNumberFormat="1" applyFont="1" applyFill="1" applyBorder="1" applyAlignment="1">
      <alignment horizontal="right" vertical="top" wrapText="1"/>
    </xf>
    <xf numFmtId="4" fontId="9" fillId="0" borderId="3" xfId="1" applyNumberFormat="1" applyFont="1" applyBorder="1" applyAlignment="1">
      <alignment horizontal="right" vertical="top" wrapText="1"/>
    </xf>
    <xf numFmtId="4" fontId="37" fillId="0" borderId="12" xfId="1" applyNumberFormat="1" applyFont="1" applyBorder="1" applyAlignment="1">
      <alignment horizontal="right" vertical="top" wrapText="1"/>
    </xf>
    <xf numFmtId="4" fontId="9" fillId="0" borderId="2" xfId="1" applyNumberFormat="1" applyFont="1" applyBorder="1" applyAlignment="1">
      <alignment horizontal="right" vertical="top" wrapText="1"/>
    </xf>
    <xf numFmtId="4" fontId="9" fillId="0" borderId="14" xfId="1" applyNumberFormat="1" applyFont="1" applyBorder="1" applyAlignment="1">
      <alignment horizontal="right" vertical="top" wrapText="1"/>
    </xf>
    <xf numFmtId="4" fontId="9" fillId="2" borderId="20" xfId="1" applyNumberFormat="1" applyFont="1" applyFill="1" applyBorder="1" applyAlignment="1">
      <alignment horizontal="right" vertical="top" wrapText="1"/>
    </xf>
    <xf numFmtId="4" fontId="9" fillId="2" borderId="21" xfId="1" applyNumberFormat="1" applyFont="1" applyFill="1" applyBorder="1" applyAlignment="1">
      <alignment horizontal="right" vertical="top" wrapText="1"/>
    </xf>
    <xf numFmtId="4" fontId="37" fillId="0" borderId="13" xfId="1" applyNumberFormat="1" applyFont="1" applyBorder="1" applyAlignment="1">
      <alignment horizontal="right" vertical="top" wrapText="1"/>
    </xf>
    <xf numFmtId="4" fontId="9" fillId="0" borderId="0" xfId="1" applyNumberFormat="1" applyFont="1" applyAlignment="1">
      <alignment horizontal="right" wrapText="1"/>
    </xf>
    <xf numFmtId="4" fontId="9" fillId="0" borderId="0" xfId="1" applyNumberFormat="1" applyFont="1" applyAlignment="1">
      <alignment horizontal="right"/>
    </xf>
    <xf numFmtId="0" fontId="37" fillId="0" borderId="0" xfId="1" applyFont="1" applyAlignment="1">
      <alignment horizontal="left" vertical="center"/>
    </xf>
    <xf numFmtId="0" fontId="9" fillId="0" borderId="0" xfId="5" applyFont="1"/>
    <xf numFmtId="2" fontId="43" fillId="0" borderId="0" xfId="18" applyNumberFormat="1" applyFont="1" applyAlignment="1">
      <alignment horizontal="left" vertical="center" wrapText="1"/>
    </xf>
    <xf numFmtId="2" fontId="42" fillId="0" borderId="0" xfId="18" applyNumberFormat="1" applyFont="1" applyAlignment="1">
      <alignment wrapText="1"/>
    </xf>
    <xf numFmtId="0" fontId="43" fillId="0" borderId="1" xfId="18" applyFont="1" applyBorder="1" applyAlignment="1">
      <alignment horizontal="center" vertical="center" wrapText="1"/>
    </xf>
    <xf numFmtId="49" fontId="43" fillId="0" borderId="1" xfId="18" applyNumberFormat="1" applyFont="1" applyBorder="1" applyAlignment="1">
      <alignment horizontal="center" vertical="top" wrapText="1"/>
    </xf>
    <xf numFmtId="0" fontId="43" fillId="0" borderId="1" xfId="18" applyFont="1" applyBorder="1" applyAlignment="1">
      <alignment horizontal="center" vertical="top" wrapText="1"/>
    </xf>
    <xf numFmtId="4" fontId="43" fillId="0" borderId="1" xfId="18" applyNumberFormat="1" applyFont="1" applyBorder="1" applyAlignment="1">
      <alignment horizontal="right" vertical="center" wrapText="1"/>
    </xf>
    <xf numFmtId="49" fontId="42" fillId="0" borderId="1" xfId="18" applyNumberFormat="1" applyFont="1" applyBorder="1" applyAlignment="1">
      <alignment horizontal="center" vertical="center" wrapText="1"/>
    </xf>
    <xf numFmtId="0" fontId="42" fillId="0" borderId="1" xfId="18" applyFont="1" applyBorder="1" applyAlignment="1">
      <alignment horizontal="center" vertical="center" wrapText="1"/>
    </xf>
    <xf numFmtId="2" fontId="42" fillId="0" borderId="1" xfId="18" applyNumberFormat="1" applyFont="1" applyBorder="1" applyAlignment="1">
      <alignment horizontal="center" vertical="center" wrapText="1"/>
    </xf>
    <xf numFmtId="4" fontId="42" fillId="0" borderId="1" xfId="18" applyNumberFormat="1" applyFont="1" applyBorder="1" applyAlignment="1">
      <alignment horizontal="right" vertical="center" wrapText="1"/>
    </xf>
    <xf numFmtId="2" fontId="47" fillId="0" borderId="0" xfId="18" applyNumberFormat="1" applyFont="1" applyAlignment="1">
      <alignment horizontal="left" vertical="center" wrapText="1"/>
    </xf>
    <xf numFmtId="49" fontId="43" fillId="0" borderId="1" xfId="18" applyNumberFormat="1" applyFont="1" applyBorder="1" applyAlignment="1">
      <alignment horizontal="center" vertical="center" wrapText="1"/>
    </xf>
    <xf numFmtId="2" fontId="48" fillId="0" borderId="0" xfId="18" applyNumberFormat="1" applyFont="1" applyAlignment="1">
      <alignment wrapText="1"/>
    </xf>
    <xf numFmtId="0" fontId="42" fillId="0" borderId="1" xfId="18" applyFont="1" applyBorder="1" applyAlignment="1">
      <alignment horizontal="justify" vertical="center" wrapText="1"/>
    </xf>
    <xf numFmtId="2" fontId="43" fillId="0" borderId="0" xfId="18" applyNumberFormat="1" applyFont="1" applyAlignment="1">
      <alignment wrapText="1"/>
    </xf>
    <xf numFmtId="166" fontId="42" fillId="0" borderId="1" xfId="18" applyNumberFormat="1" applyFont="1" applyBorder="1" applyAlignment="1">
      <alignment horizontal="center" vertical="center" wrapText="1"/>
    </xf>
    <xf numFmtId="2" fontId="42" fillId="0" borderId="0" xfId="18" applyNumberFormat="1" applyFont="1" applyAlignment="1">
      <alignment horizontal="center" wrapText="1"/>
    </xf>
    <xf numFmtId="0" fontId="43" fillId="0" borderId="1" xfId="18" applyFont="1" applyBorder="1" applyAlignment="1">
      <alignment horizontal="left" vertical="center" wrapText="1"/>
    </xf>
    <xf numFmtId="2" fontId="43" fillId="0" borderId="1" xfId="18" applyNumberFormat="1" applyFont="1" applyBorder="1" applyAlignment="1">
      <alignment horizontal="center" vertical="center" wrapText="1"/>
    </xf>
    <xf numFmtId="49" fontId="42" fillId="0" borderId="9" xfId="18" applyNumberFormat="1" applyFont="1" applyBorder="1" applyAlignment="1">
      <alignment horizontal="center" vertical="center" wrapText="1"/>
    </xf>
    <xf numFmtId="4" fontId="43" fillId="0" borderId="1" xfId="18" applyNumberFormat="1" applyFont="1" applyBorder="1" applyAlignment="1">
      <alignment horizontal="right" wrapText="1"/>
    </xf>
    <xf numFmtId="49" fontId="42" fillId="0" borderId="0" xfId="18" applyNumberFormat="1" applyFont="1" applyAlignment="1">
      <alignment horizontal="center" vertical="top" wrapText="1"/>
    </xf>
    <xf numFmtId="2" fontId="42" fillId="0" borderId="0" xfId="18" applyNumberFormat="1" applyFont="1" applyAlignment="1">
      <alignment horizontal="center" vertical="center" wrapText="1"/>
    </xf>
    <xf numFmtId="4" fontId="42" fillId="0" borderId="0" xfId="18" applyNumberFormat="1" applyFont="1" applyAlignment="1">
      <alignment horizontal="right" wrapText="1"/>
    </xf>
    <xf numFmtId="4" fontId="42" fillId="0" borderId="0" xfId="18" applyNumberFormat="1" applyFont="1" applyAlignment="1">
      <alignment horizontal="right" vertical="center" wrapText="1"/>
    </xf>
    <xf numFmtId="0" fontId="37" fillId="0" borderId="0" xfId="1" applyFont="1" applyAlignment="1">
      <alignment horizontal="center" vertical="top" wrapText="1"/>
    </xf>
    <xf numFmtId="0" fontId="37" fillId="0" borderId="0" xfId="1" applyFont="1" applyAlignment="1">
      <alignment vertical="top" wrapText="1"/>
    </xf>
    <xf numFmtId="2" fontId="42" fillId="0" borderId="1" xfId="18" applyNumberFormat="1" applyFont="1" applyBorder="1" applyAlignment="1">
      <alignment horizontal="left" vertical="center" wrapText="1"/>
    </xf>
    <xf numFmtId="2" fontId="42" fillId="3" borderId="1" xfId="18" applyNumberFormat="1" applyFont="1" applyFill="1" applyBorder="1" applyAlignment="1">
      <alignment horizontal="left" vertical="center" wrapText="1"/>
    </xf>
    <xf numFmtId="2" fontId="9" fillId="3" borderId="1" xfId="18" applyNumberFormat="1" applyFont="1" applyFill="1" applyBorder="1" applyAlignment="1">
      <alignment horizontal="center" vertical="center" wrapText="1"/>
    </xf>
    <xf numFmtId="0" fontId="42" fillId="3" borderId="1" xfId="18" applyFont="1" applyFill="1" applyBorder="1" applyAlignment="1">
      <alignment horizontal="center" vertical="center" wrapText="1"/>
    </xf>
    <xf numFmtId="0" fontId="9" fillId="3" borderId="1" xfId="18" applyFont="1" applyFill="1" applyBorder="1" applyAlignment="1">
      <alignment vertical="center"/>
    </xf>
    <xf numFmtId="49" fontId="42" fillId="0" borderId="3" xfId="18" applyNumberFormat="1" applyFont="1" applyBorder="1" applyAlignment="1">
      <alignment horizontal="center" vertical="center" wrapText="1"/>
    </xf>
    <xf numFmtId="0" fontId="42" fillId="0" borderId="3" xfId="18" applyFont="1" applyBorder="1" applyAlignment="1">
      <alignment horizontal="center" vertical="center" wrapText="1"/>
    </xf>
    <xf numFmtId="4" fontId="42" fillId="0" borderId="3" xfId="18" applyNumberFormat="1" applyFont="1" applyBorder="1" applyAlignment="1">
      <alignment horizontal="right" vertical="center" wrapText="1"/>
    </xf>
    <xf numFmtId="4" fontId="43" fillId="0" borderId="2" xfId="18" applyNumberFormat="1" applyFont="1" applyBorder="1" applyAlignment="1">
      <alignment horizontal="right" vertical="center" wrapText="1"/>
    </xf>
    <xf numFmtId="0" fontId="42" fillId="0" borderId="19" xfId="18" applyFont="1" applyBorder="1" applyAlignment="1">
      <alignment horizontal="center" vertical="center" wrapText="1"/>
    </xf>
    <xf numFmtId="4" fontId="42" fillId="0" borderId="20" xfId="18" applyNumberFormat="1" applyFont="1" applyBorder="1" applyAlignment="1">
      <alignment horizontal="right" vertical="center" wrapText="1"/>
    </xf>
    <xf numFmtId="0" fontId="42" fillId="0" borderId="10" xfId="18" applyFont="1" applyBorder="1" applyAlignment="1">
      <alignment horizontal="center" vertical="center" wrapText="1"/>
    </xf>
    <xf numFmtId="2" fontId="9" fillId="0" borderId="10" xfId="18" applyNumberFormat="1" applyFont="1" applyBorder="1" applyAlignment="1">
      <alignment horizontal="center" vertical="center" wrapText="1"/>
    </xf>
    <xf numFmtId="4" fontId="42" fillId="0" borderId="21" xfId="18" applyNumberFormat="1" applyFont="1" applyBorder="1" applyAlignment="1">
      <alignment horizontal="right" vertical="center" wrapText="1"/>
    </xf>
    <xf numFmtId="2" fontId="42" fillId="0" borderId="2" xfId="18" applyNumberFormat="1" applyFont="1" applyBorder="1" applyAlignment="1">
      <alignment horizontal="center" vertical="center" wrapText="1"/>
    </xf>
    <xf numFmtId="0" fontId="42" fillId="0" borderId="2" xfId="18" applyFont="1" applyBorder="1" applyAlignment="1">
      <alignment horizontal="center" vertical="center" wrapText="1"/>
    </xf>
    <xf numFmtId="0" fontId="42" fillId="3" borderId="1" xfId="18" applyFont="1" applyFill="1" applyBorder="1" applyAlignment="1">
      <alignment vertical="center" wrapText="1"/>
    </xf>
    <xf numFmtId="0" fontId="42" fillId="3" borderId="3" xfId="18" applyFont="1" applyFill="1" applyBorder="1" applyAlignment="1">
      <alignment horizontal="justify" vertical="center" wrapText="1"/>
    </xf>
    <xf numFmtId="2" fontId="42" fillId="3" borderId="3" xfId="18" applyNumberFormat="1" applyFont="1" applyFill="1" applyBorder="1" applyAlignment="1">
      <alignment horizontal="center" vertical="center" wrapText="1"/>
    </xf>
    <xf numFmtId="0" fontId="42" fillId="3" borderId="2" xfId="18" applyFont="1" applyFill="1" applyBorder="1" applyAlignment="1">
      <alignment horizontal="justify" vertical="center" wrapText="1"/>
    </xf>
    <xf numFmtId="49" fontId="42" fillId="3" borderId="3" xfId="18" applyNumberFormat="1" applyFont="1" applyFill="1" applyBorder="1" applyAlignment="1">
      <alignment horizontal="center" vertical="center" wrapText="1"/>
    </xf>
    <xf numFmtId="0" fontId="42" fillId="3" borderId="3" xfId="18" applyFont="1" applyFill="1" applyBorder="1" applyAlignment="1">
      <alignment horizontal="center" vertical="center" wrapText="1"/>
    </xf>
    <xf numFmtId="2" fontId="9" fillId="3" borderId="19" xfId="18" applyNumberFormat="1" applyFont="1" applyFill="1" applyBorder="1" applyAlignment="1">
      <alignment horizontal="center" vertical="center" wrapText="1"/>
    </xf>
    <xf numFmtId="2" fontId="42" fillId="3" borderId="1" xfId="18" applyNumberFormat="1" applyFont="1" applyFill="1" applyBorder="1" applyAlignment="1">
      <alignment horizontal="center" vertical="center" wrapText="1"/>
    </xf>
    <xf numFmtId="0" fontId="43" fillId="0" borderId="7" xfId="18" applyFont="1" applyBorder="1" applyAlignment="1">
      <alignment vertical="center" wrapText="1"/>
    </xf>
    <xf numFmtId="0" fontId="43" fillId="0" borderId="8" xfId="18" applyFont="1" applyBorder="1" applyAlignment="1">
      <alignment vertical="center" wrapText="1"/>
    </xf>
    <xf numFmtId="0" fontId="43" fillId="0" borderId="9" xfId="18" applyFont="1" applyBorder="1" applyAlignment="1">
      <alignment vertical="center" wrapText="1"/>
    </xf>
    <xf numFmtId="0" fontId="43" fillId="0" borderId="6" xfId="18" applyFont="1" applyBorder="1" applyAlignment="1">
      <alignment horizontal="left" vertical="center" wrapText="1"/>
    </xf>
    <xf numFmtId="0" fontId="43" fillId="0" borderId="10" xfId="18" applyFont="1" applyBorder="1" applyAlignment="1">
      <alignment horizontal="left" vertical="center" wrapText="1"/>
    </xf>
    <xf numFmtId="0" fontId="43" fillId="0" borderId="21" xfId="18" applyFont="1" applyBorder="1" applyAlignment="1">
      <alignment horizontal="left" vertical="center" wrapText="1"/>
    </xf>
    <xf numFmtId="49" fontId="43" fillId="0" borderId="2" xfId="18" applyNumberFormat="1" applyFont="1" applyBorder="1" applyAlignment="1">
      <alignment horizontal="center" vertical="center" wrapText="1"/>
    </xf>
    <xf numFmtId="2" fontId="43" fillId="0" borderId="7" xfId="18" applyNumberFormat="1" applyFont="1" applyBorder="1" applyAlignment="1">
      <alignment vertical="center" wrapText="1"/>
    </xf>
    <xf numFmtId="2" fontId="43" fillId="0" borderId="8" xfId="18" applyNumberFormat="1" applyFont="1" applyBorder="1" applyAlignment="1">
      <alignment vertical="center" wrapText="1"/>
    </xf>
    <xf numFmtId="2" fontId="43" fillId="0" borderId="9" xfId="18" applyNumberFormat="1" applyFont="1" applyBorder="1" applyAlignment="1">
      <alignment vertical="center" wrapText="1"/>
    </xf>
    <xf numFmtId="4" fontId="9" fillId="0" borderId="19" xfId="6" applyNumberFormat="1" applyFont="1" applyBorder="1"/>
    <xf numFmtId="4" fontId="9" fillId="0" borderId="0" xfId="7" applyNumberFormat="1" applyFont="1"/>
    <xf numFmtId="4" fontId="42" fillId="0" borderId="0" xfId="3" applyNumberFormat="1" applyFont="1" applyAlignment="1">
      <alignment wrapText="1"/>
    </xf>
    <xf numFmtId="4" fontId="37" fillId="2" borderId="0" xfId="10" applyNumberFormat="1" applyFont="1" applyFill="1" applyAlignment="1">
      <alignment vertical="center"/>
    </xf>
    <xf numFmtId="4" fontId="9" fillId="0" borderId="1" xfId="12" applyFont="1" applyBorder="1" applyAlignment="1">
      <alignment horizontal="center" vertical="center" wrapText="1"/>
    </xf>
    <xf numFmtId="4" fontId="37" fillId="0" borderId="1" xfId="8" applyNumberFormat="1" applyFont="1" applyBorder="1" applyAlignment="1">
      <alignment horizontal="center" vertical="center" wrapText="1"/>
    </xf>
    <xf numFmtId="4" fontId="37" fillId="0" borderId="1" xfId="7" applyNumberFormat="1" applyFont="1" applyBorder="1" applyAlignment="1">
      <alignment horizontal="center" vertical="center" wrapText="1"/>
    </xf>
    <xf numFmtId="4" fontId="37" fillId="0" borderId="1" xfId="7" applyNumberFormat="1" applyFont="1" applyBorder="1" applyAlignment="1">
      <alignment horizontal="center" vertical="center"/>
    </xf>
    <xf numFmtId="4" fontId="9" fillId="0" borderId="1" xfId="7" applyNumberFormat="1" applyFont="1" applyBorder="1" applyAlignment="1">
      <alignment horizontal="center" vertical="center"/>
    </xf>
    <xf numFmtId="49" fontId="4" fillId="0" borderId="0" xfId="0" applyNumberFormat="1" applyFont="1" applyAlignment="1">
      <alignment horizontal="right" wrapText="1"/>
    </xf>
    <xf numFmtId="0" fontId="0" fillId="0" borderId="0" xfId="0" applyAlignment="1">
      <alignment horizontal="right"/>
    </xf>
    <xf numFmtId="0" fontId="37" fillId="0" borderId="1" xfId="7" applyFont="1" applyBorder="1" applyAlignment="1">
      <alignment vertical="center" wrapText="1"/>
    </xf>
    <xf numFmtId="4" fontId="37" fillId="0" borderId="1" xfId="7" applyNumberFormat="1" applyFont="1" applyBorder="1" applyAlignment="1">
      <alignment vertical="center" wrapText="1"/>
    </xf>
    <xf numFmtId="49" fontId="12" fillId="0" borderId="17" xfId="3" applyNumberFormat="1" applyFont="1" applyBorder="1" applyAlignment="1">
      <alignment horizontal="right" vertical="top" wrapText="1"/>
    </xf>
    <xf numFmtId="0" fontId="12" fillId="0" borderId="14" xfId="3" applyFont="1" applyBorder="1" applyAlignment="1">
      <alignment horizontal="left" vertical="top" wrapText="1"/>
    </xf>
    <xf numFmtId="0" fontId="12" fillId="0" borderId="0" xfId="3" applyFont="1" applyAlignment="1">
      <alignment horizontal="left" vertical="top" wrapText="1"/>
    </xf>
    <xf numFmtId="0" fontId="20" fillId="0" borderId="14" xfId="3" applyBorder="1" applyAlignment="1">
      <alignment horizontal="left" vertical="top" wrapText="1"/>
    </xf>
    <xf numFmtId="0" fontId="4" fillId="0" borderId="14" xfId="3" applyFont="1" applyBorder="1" applyAlignment="1">
      <alignment horizontal="left" vertical="top" wrapText="1"/>
    </xf>
    <xf numFmtId="4" fontId="20" fillId="0" borderId="16" xfId="3" applyNumberFormat="1" applyBorder="1" applyAlignment="1">
      <alignment horizontal="right" vertical="top" wrapText="1"/>
    </xf>
    <xf numFmtId="0" fontId="4" fillId="0" borderId="0" xfId="3" applyFont="1"/>
    <xf numFmtId="3" fontId="4" fillId="0" borderId="0" xfId="3" applyNumberFormat="1" applyFont="1" applyAlignment="1">
      <alignment horizontal="center"/>
    </xf>
    <xf numFmtId="3" fontId="4" fillId="0" borderId="0" xfId="3" applyNumberFormat="1" applyFont="1"/>
    <xf numFmtId="0" fontId="20" fillId="0" borderId="0" xfId="3"/>
    <xf numFmtId="49" fontId="12" fillId="0" borderId="6" xfId="3" applyNumberFormat="1" applyFont="1" applyBorder="1" applyAlignment="1">
      <alignment horizontal="right" vertical="top" wrapText="1"/>
    </xf>
    <xf numFmtId="0" fontId="49" fillId="0" borderId="2" xfId="3" applyFont="1" applyBorder="1" applyAlignment="1">
      <alignment horizontal="left" vertical="top" wrapText="1"/>
    </xf>
    <xf numFmtId="0" fontId="12" fillId="0" borderId="10" xfId="3" applyFont="1" applyBorder="1" applyAlignment="1">
      <alignment horizontal="left" vertical="top" wrapText="1"/>
    </xf>
    <xf numFmtId="0" fontId="12" fillId="0" borderId="2" xfId="3" applyFont="1" applyBorder="1" applyAlignment="1">
      <alignment horizontal="left" vertical="top" wrapText="1"/>
    </xf>
    <xf numFmtId="0" fontId="4" fillId="0" borderId="2" xfId="3" applyFont="1" applyBorder="1" applyAlignment="1">
      <alignment horizontal="left" vertical="top" wrapText="1"/>
    </xf>
    <xf numFmtId="4" fontId="20" fillId="0" borderId="21" xfId="3" applyNumberFormat="1" applyBorder="1" applyAlignment="1">
      <alignment horizontal="right" vertical="top" wrapText="1"/>
    </xf>
    <xf numFmtId="0" fontId="49" fillId="0" borderId="14" xfId="3" applyFont="1" applyBorder="1" applyAlignment="1">
      <alignment horizontal="left" vertical="top" wrapText="1"/>
    </xf>
    <xf numFmtId="0" fontId="20" fillId="0" borderId="0" xfId="3" applyAlignment="1">
      <alignment horizontal="left" vertical="top" wrapText="1"/>
    </xf>
    <xf numFmtId="0" fontId="4" fillId="0" borderId="0" xfId="3" applyFont="1" applyAlignment="1">
      <alignment horizontal="left" vertical="top" wrapText="1"/>
    </xf>
    <xf numFmtId="0" fontId="9" fillId="0" borderId="19" xfId="3" applyFont="1" applyBorder="1" applyAlignment="1">
      <alignment horizontal="left" vertical="top" wrapText="1"/>
    </xf>
    <xf numFmtId="4" fontId="38" fillId="0" borderId="20" xfId="3" applyNumberFormat="1" applyFont="1" applyBorder="1" applyAlignment="1">
      <alignment horizontal="right" vertical="top" wrapText="1"/>
    </xf>
    <xf numFmtId="0" fontId="4" fillId="0" borderId="10" xfId="3" applyFont="1" applyBorder="1" applyAlignment="1">
      <alignment horizontal="left" vertical="top" wrapText="1"/>
    </xf>
    <xf numFmtId="0" fontId="40" fillId="0" borderId="3" xfId="3" applyFont="1" applyBorder="1" applyAlignment="1">
      <alignment horizontal="left" vertical="top" wrapText="1"/>
    </xf>
    <xf numFmtId="0" fontId="37" fillId="0" borderId="3" xfId="5" applyFont="1" applyBorder="1" applyAlignment="1">
      <alignment vertical="top" wrapText="1"/>
    </xf>
    <xf numFmtId="0" fontId="9" fillId="0" borderId="3" xfId="5" applyFont="1" applyBorder="1" applyAlignment="1">
      <alignment horizontal="center" vertical="top" wrapText="1"/>
    </xf>
    <xf numFmtId="0" fontId="38" fillId="0" borderId="19" xfId="3" applyFont="1" applyBorder="1" applyAlignment="1">
      <alignment horizontal="left" vertical="top" wrapText="1"/>
    </xf>
    <xf numFmtId="0" fontId="50" fillId="3" borderId="1" xfId="13" applyFont="1" applyFill="1" applyBorder="1" applyAlignment="1">
      <alignment horizontal="left" vertical="center" wrapText="1"/>
    </xf>
    <xf numFmtId="0" fontId="9" fillId="3" borderId="1" xfId="6" applyFont="1" applyFill="1" applyBorder="1" applyAlignment="1">
      <alignment horizontal="left" vertical="center" wrapText="1"/>
    </xf>
    <xf numFmtId="0" fontId="4" fillId="0" borderId="0" xfId="1"/>
    <xf numFmtId="0" fontId="4" fillId="0" borderId="0" xfId="1" applyAlignment="1">
      <alignment horizontal="right"/>
    </xf>
    <xf numFmtId="0" fontId="8" fillId="0" borderId="0" xfId="1" applyFont="1" applyAlignment="1">
      <alignment horizontal="right" vertical="top"/>
    </xf>
    <xf numFmtId="0" fontId="4" fillId="0" borderId="0" xfId="1" applyAlignment="1">
      <alignment horizontal="center" vertical="center"/>
    </xf>
    <xf numFmtId="0" fontId="4" fillId="0" borderId="0" xfId="1" applyAlignment="1">
      <alignment wrapText="1"/>
    </xf>
    <xf numFmtId="0" fontId="4" fillId="0" borderId="0" xfId="1" applyAlignment="1">
      <alignment horizontal="left" vertical="top" wrapText="1"/>
    </xf>
    <xf numFmtId="0" fontId="4" fillId="0" borderId="0" xfId="1" applyAlignment="1">
      <alignment vertical="top" wrapText="1"/>
    </xf>
    <xf numFmtId="0" fontId="7" fillId="0" borderId="18" xfId="1" applyFont="1" applyBorder="1" applyAlignment="1">
      <alignment horizontal="center" vertical="top" wrapText="1"/>
    </xf>
    <xf numFmtId="49" fontId="4" fillId="0" borderId="18" xfId="1" applyNumberFormat="1" applyBorder="1" applyAlignment="1">
      <alignment horizontal="center" wrapText="1"/>
    </xf>
    <xf numFmtId="0" fontId="4" fillId="0" borderId="18" xfId="1" applyBorder="1" applyAlignment="1">
      <alignment horizontal="center" wrapText="1"/>
    </xf>
    <xf numFmtId="49" fontId="12" fillId="0" borderId="3" xfId="1" applyNumberFormat="1" applyFont="1" applyBorder="1" applyAlignment="1">
      <alignment horizontal="right" vertical="top" wrapText="1"/>
    </xf>
    <xf numFmtId="0" fontId="4" fillId="0" borderId="3" xfId="1" applyBorder="1" applyAlignment="1">
      <alignment horizontal="left" vertical="top" wrapText="1"/>
    </xf>
    <xf numFmtId="49" fontId="12" fillId="0" borderId="13" xfId="1" applyNumberFormat="1" applyFont="1" applyBorder="1" applyAlignment="1">
      <alignment horizontal="right" vertical="top" wrapText="1"/>
    </xf>
    <xf numFmtId="0" fontId="12" fillId="0" borderId="13" xfId="1" applyFont="1" applyBorder="1" applyAlignment="1">
      <alignment horizontal="left" vertical="top" wrapText="1"/>
    </xf>
    <xf numFmtId="0" fontId="12" fillId="0" borderId="13" xfId="1" applyFont="1" applyBorder="1" applyAlignment="1">
      <alignment horizontal="right" vertical="top" wrapText="1"/>
    </xf>
    <xf numFmtId="49" fontId="12" fillId="0" borderId="12" xfId="1" applyNumberFormat="1" applyFont="1" applyBorder="1" applyAlignment="1">
      <alignment horizontal="right" vertical="top" wrapText="1"/>
    </xf>
    <xf numFmtId="0" fontId="4" fillId="0" borderId="12" xfId="1" applyBorder="1" applyAlignment="1">
      <alignment horizontal="left" vertical="top" wrapText="1"/>
    </xf>
    <xf numFmtId="0" fontId="4" fillId="0" borderId="12" xfId="1" applyBorder="1" applyAlignment="1">
      <alignment horizontal="right" vertical="top" wrapText="1"/>
    </xf>
    <xf numFmtId="49" fontId="12" fillId="0" borderId="2" xfId="1" applyNumberFormat="1" applyFont="1" applyBorder="1" applyAlignment="1">
      <alignment horizontal="right" vertical="top" wrapText="1"/>
    </xf>
    <xf numFmtId="0" fontId="12" fillId="0" borderId="2" xfId="1" applyFont="1" applyBorder="1" applyAlignment="1">
      <alignment horizontal="left" vertical="top" wrapText="1"/>
    </xf>
    <xf numFmtId="49" fontId="12" fillId="0" borderId="1" xfId="1" applyNumberFormat="1" applyFont="1" applyBorder="1" applyAlignment="1">
      <alignment horizontal="right" vertical="top" wrapText="1"/>
    </xf>
    <xf numFmtId="0" fontId="12" fillId="0" borderId="1" xfId="1" applyFont="1" applyBorder="1" applyAlignment="1">
      <alignment horizontal="left" vertical="top" wrapText="1"/>
    </xf>
    <xf numFmtId="0" fontId="4" fillId="0" borderId="0" xfId="1" applyAlignment="1">
      <alignment horizontal="left" vertical="top"/>
    </xf>
    <xf numFmtId="0" fontId="12" fillId="0" borderId="0" xfId="1" applyFont="1" applyAlignment="1">
      <alignment vertical="top" wrapText="1"/>
    </xf>
    <xf numFmtId="0" fontId="4" fillId="0" borderId="0" xfId="1" applyAlignment="1">
      <alignment horizontal="center" vertical="top" wrapText="1"/>
    </xf>
    <xf numFmtId="0" fontId="4" fillId="0" borderId="2" xfId="1" applyBorder="1" applyAlignment="1">
      <alignment horizontal="left" vertical="top" wrapText="1"/>
    </xf>
    <xf numFmtId="0" fontId="4" fillId="0" borderId="2" xfId="1" applyBorder="1" applyAlignment="1">
      <alignment horizontal="right" vertical="top" wrapText="1"/>
    </xf>
    <xf numFmtId="0" fontId="12" fillId="0" borderId="12" xfId="1" applyFont="1" applyBorder="1" applyAlignment="1">
      <alignment horizontal="left" vertical="top" wrapText="1"/>
    </xf>
    <xf numFmtId="0" fontId="12" fillId="0" borderId="12" xfId="1" applyFont="1" applyBorder="1" applyAlignment="1">
      <alignment horizontal="right" vertical="top" wrapText="1"/>
    </xf>
    <xf numFmtId="49" fontId="4" fillId="0" borderId="1" xfId="0" applyNumberFormat="1" applyFont="1" applyBorder="1" applyAlignment="1">
      <alignment horizontal="left" vertical="top" wrapText="1"/>
    </xf>
    <xf numFmtId="4" fontId="0" fillId="0" borderId="1" xfId="0" applyNumberFormat="1" applyBorder="1" applyAlignment="1">
      <alignment horizontal="right" vertical="center"/>
    </xf>
    <xf numFmtId="49" fontId="0" fillId="0" borderId="1" xfId="0" applyNumberFormat="1" applyBorder="1" applyAlignment="1">
      <alignment horizontal="right" vertical="center"/>
    </xf>
    <xf numFmtId="49" fontId="12" fillId="0" borderId="1" xfId="0" applyNumberFormat="1" applyFont="1" applyBorder="1" applyAlignment="1">
      <alignment horizontal="left" vertical="top" wrapText="1"/>
    </xf>
    <xf numFmtId="49" fontId="13" fillId="0" borderId="1" xfId="0" applyNumberFormat="1" applyFont="1" applyBorder="1" applyAlignment="1">
      <alignment horizontal="center" vertical="center" wrapText="1"/>
    </xf>
    <xf numFmtId="4" fontId="19" fillId="0" borderId="1" xfId="0" applyNumberFormat="1" applyFont="1" applyBorder="1" applyAlignment="1">
      <alignment horizontal="right" vertical="center"/>
    </xf>
    <xf numFmtId="3" fontId="13" fillId="0" borderId="1" xfId="0" applyNumberFormat="1" applyFont="1" applyBorder="1" applyAlignment="1">
      <alignment horizontal="right" vertical="center"/>
    </xf>
    <xf numFmtId="49" fontId="0" fillId="0" borderId="1" xfId="0" applyNumberFormat="1" applyBorder="1" applyAlignment="1">
      <alignment horizontal="center" vertical="center" wrapText="1"/>
    </xf>
    <xf numFmtId="164" fontId="0" fillId="0" borderId="1" xfId="0" applyNumberFormat="1" applyBorder="1" applyAlignment="1">
      <alignment horizontal="right" vertical="center"/>
    </xf>
    <xf numFmtId="0" fontId="12" fillId="0" borderId="1" xfId="0" applyFont="1" applyBorder="1" applyAlignment="1">
      <alignment horizontal="left" vertical="top" wrapText="1"/>
    </xf>
    <xf numFmtId="0" fontId="13" fillId="0" borderId="1" xfId="0" applyFont="1" applyBorder="1" applyAlignment="1">
      <alignment horizontal="left" vertical="top"/>
    </xf>
    <xf numFmtId="4" fontId="13" fillId="0" borderId="1" xfId="0" applyNumberFormat="1" applyFont="1" applyBorder="1" applyAlignment="1">
      <alignment horizontal="right" vertical="center"/>
    </xf>
    <xf numFmtId="0" fontId="12" fillId="0" borderId="0" xfId="1" applyFont="1" applyAlignment="1">
      <alignment horizontal="left" vertical="top" wrapText="1"/>
    </xf>
    <xf numFmtId="0" fontId="4" fillId="0" borderId="1" xfId="1" applyBorder="1" applyAlignment="1">
      <alignment horizontal="left" vertical="top" wrapText="1"/>
    </xf>
    <xf numFmtId="49" fontId="12" fillId="0" borderId="0" xfId="1" applyNumberFormat="1" applyFont="1" applyAlignment="1">
      <alignment horizontal="right" vertical="top" wrapText="1"/>
    </xf>
    <xf numFmtId="49" fontId="12" fillId="0" borderId="14" xfId="1" applyNumberFormat="1" applyFont="1" applyBorder="1" applyAlignment="1">
      <alignment horizontal="right" vertical="top" wrapText="1"/>
    </xf>
    <xf numFmtId="0" fontId="12" fillId="0" borderId="17" xfId="1" applyFont="1" applyBorder="1" applyAlignment="1">
      <alignment horizontal="left" vertical="top" wrapText="1"/>
    </xf>
    <xf numFmtId="0" fontId="12" fillId="0" borderId="16" xfId="1" applyFont="1" applyBorder="1" applyAlignment="1">
      <alignment horizontal="left" vertical="top" wrapText="1"/>
    </xf>
    <xf numFmtId="0" fontId="4" fillId="0" borderId="14" xfId="1" applyBorder="1" applyAlignment="1">
      <alignment horizontal="left" vertical="top" wrapText="1"/>
    </xf>
    <xf numFmtId="3" fontId="4" fillId="0" borderId="14" xfId="1" applyNumberFormat="1" applyBorder="1" applyAlignment="1">
      <alignment horizontal="right" vertical="top" wrapText="1"/>
    </xf>
    <xf numFmtId="0" fontId="53" fillId="4" borderId="0" xfId="26" applyFont="1" applyFill="1"/>
    <xf numFmtId="0" fontId="54" fillId="4" borderId="0" xfId="26" applyFont="1" applyFill="1"/>
    <xf numFmtId="0" fontId="0" fillId="0" borderId="0" xfId="27" applyFont="1" applyAlignment="1">
      <alignment vertical="center"/>
    </xf>
    <xf numFmtId="0" fontId="55" fillId="4" borderId="0" xfId="26" applyFont="1" applyFill="1" applyAlignment="1">
      <alignment vertical="top"/>
    </xf>
    <xf numFmtId="0" fontId="56" fillId="4" borderId="0" xfId="26" applyFont="1" applyFill="1" applyAlignment="1">
      <alignment vertical="top"/>
    </xf>
    <xf numFmtId="0" fontId="4" fillId="0" borderId="0" xfId="27" applyFont="1"/>
    <xf numFmtId="168" fontId="17" fillId="0" borderId="35" xfId="28" applyFont="1" applyBorder="1" applyAlignment="1" applyProtection="1">
      <alignment horizontal="center" vertical="center"/>
      <protection locked="0"/>
    </xf>
    <xf numFmtId="168" fontId="58" fillId="0" borderId="36" xfId="28" applyFont="1" applyBorder="1" applyAlignment="1" applyProtection="1">
      <alignment horizontal="center" vertical="center" wrapText="1"/>
      <protection locked="0"/>
    </xf>
    <xf numFmtId="168" fontId="58" fillId="0" borderId="37" xfId="28" applyFont="1" applyBorder="1" applyAlignment="1" applyProtection="1">
      <alignment horizontal="center" vertical="center" wrapText="1"/>
      <protection locked="0"/>
    </xf>
    <xf numFmtId="0" fontId="2" fillId="0" borderId="0" xfId="29"/>
    <xf numFmtId="168" fontId="10" fillId="0" borderId="38" xfId="28" applyFont="1" applyBorder="1" applyAlignment="1" applyProtection="1">
      <alignment horizontal="center" vertical="center"/>
      <protection locked="0"/>
    </xf>
    <xf numFmtId="0" fontId="10" fillId="0" borderId="3" xfId="29" applyFont="1" applyBorder="1" applyAlignment="1">
      <alignment horizontal="center"/>
    </xf>
    <xf numFmtId="0" fontId="61" fillId="4" borderId="40" xfId="27" applyFont="1" applyFill="1" applyBorder="1" applyAlignment="1">
      <alignment horizontal="left" vertical="center" wrapText="1" indent="2"/>
    </xf>
    <xf numFmtId="1" fontId="62" fillId="4" borderId="41" xfId="27" applyNumberFormat="1" applyFont="1" applyFill="1" applyBorder="1" applyAlignment="1">
      <alignment horizontal="center" vertical="center"/>
    </xf>
    <xf numFmtId="1" fontId="62" fillId="4" borderId="42" xfId="27" applyNumberFormat="1" applyFont="1" applyFill="1" applyBorder="1" applyAlignment="1">
      <alignment horizontal="center" vertical="center"/>
    </xf>
    <xf numFmtId="0" fontId="61" fillId="4" borderId="43" xfId="27" applyFont="1" applyFill="1" applyBorder="1"/>
    <xf numFmtId="168" fontId="58" fillId="0" borderId="44" xfId="28" applyFont="1" applyBorder="1" applyAlignment="1">
      <alignment vertical="center"/>
    </xf>
    <xf numFmtId="169" fontId="10" fillId="0" borderId="14" xfId="28" applyNumberFormat="1" applyFont="1" applyBorder="1" applyAlignment="1">
      <alignment horizontal="center" vertical="center"/>
    </xf>
    <xf numFmtId="169" fontId="10" fillId="0" borderId="0" xfId="28" applyNumberFormat="1" applyFont="1" applyAlignment="1">
      <alignment horizontal="center" vertical="center"/>
    </xf>
    <xf numFmtId="169" fontId="10" fillId="0" borderId="45" xfId="28" applyNumberFormat="1" applyFont="1" applyBorder="1" applyAlignment="1">
      <alignment horizontal="center" vertical="center"/>
    </xf>
    <xf numFmtId="168" fontId="17" fillId="0" borderId="44" xfId="28" applyFont="1" applyBorder="1" applyAlignment="1">
      <alignment vertical="center"/>
    </xf>
    <xf numFmtId="169" fontId="16" fillId="0" borderId="14" xfId="28" applyNumberFormat="1" applyFont="1" applyBorder="1" applyAlignment="1">
      <alignment horizontal="center" vertical="center"/>
    </xf>
    <xf numFmtId="169" fontId="16" fillId="0" borderId="0" xfId="28" applyNumberFormat="1" applyFont="1" applyAlignment="1">
      <alignment horizontal="center" vertical="center"/>
    </xf>
    <xf numFmtId="169" fontId="16" fillId="0" borderId="45" xfId="28" applyNumberFormat="1" applyFont="1" applyBorder="1" applyAlignment="1">
      <alignment horizontal="center" vertical="center"/>
    </xf>
    <xf numFmtId="168" fontId="63" fillId="0" borderId="44" xfId="28" applyFont="1" applyBorder="1" applyAlignment="1">
      <alignment vertical="center" wrapText="1"/>
    </xf>
    <xf numFmtId="0" fontId="61" fillId="4" borderId="46" xfId="27" applyFont="1" applyFill="1" applyBorder="1" applyAlignment="1">
      <alignment horizontal="left" vertical="center" wrapText="1" indent="2"/>
    </xf>
    <xf numFmtId="1" fontId="16" fillId="4" borderId="3" xfId="27" applyNumberFormat="1" applyFont="1" applyFill="1" applyBorder="1" applyAlignment="1">
      <alignment horizontal="center" vertical="center"/>
    </xf>
    <xf numFmtId="1" fontId="16" fillId="4" borderId="19" xfId="27" applyNumberFormat="1" applyFont="1" applyFill="1" applyBorder="1" applyAlignment="1">
      <alignment horizontal="center" vertical="center"/>
    </xf>
    <xf numFmtId="0" fontId="10" fillId="4" borderId="39" xfId="27" applyFont="1" applyFill="1" applyBorder="1"/>
    <xf numFmtId="168" fontId="17" fillId="2" borderId="38" xfId="28" applyFont="1" applyFill="1" applyBorder="1" applyAlignment="1">
      <alignment vertical="center"/>
    </xf>
    <xf numFmtId="0" fontId="2" fillId="2" borderId="0" xfId="29" applyFill="1"/>
    <xf numFmtId="168" fontId="17" fillId="2" borderId="44" xfId="28" applyFont="1" applyFill="1" applyBorder="1" applyAlignment="1">
      <alignment vertical="center"/>
    </xf>
    <xf numFmtId="169" fontId="16" fillId="0" borderId="2" xfId="28" applyNumberFormat="1" applyFont="1" applyBorder="1" applyAlignment="1">
      <alignment horizontal="center" vertical="center"/>
    </xf>
    <xf numFmtId="169" fontId="16" fillId="0" borderId="10" xfId="28" applyNumberFormat="1" applyFont="1" applyBorder="1" applyAlignment="1">
      <alignment horizontal="center" vertical="center"/>
    </xf>
    <xf numFmtId="169" fontId="16" fillId="0" borderId="47" xfId="28" applyNumberFormat="1" applyFont="1" applyBorder="1" applyAlignment="1">
      <alignment horizontal="center" vertical="center"/>
    </xf>
    <xf numFmtId="0" fontId="61" fillId="4" borderId="48" xfId="27" applyFont="1" applyFill="1" applyBorder="1" applyAlignment="1">
      <alignment horizontal="left" vertical="center" wrapText="1" indent="2"/>
    </xf>
    <xf numFmtId="1" fontId="16" fillId="4" borderId="14" xfId="27" applyNumberFormat="1" applyFont="1" applyFill="1" applyBorder="1" applyAlignment="1">
      <alignment horizontal="center" vertical="center"/>
    </xf>
    <xf numFmtId="1" fontId="16" fillId="4" borderId="0" xfId="27" applyNumberFormat="1" applyFont="1" applyFill="1" applyAlignment="1">
      <alignment horizontal="center" vertical="center"/>
    </xf>
    <xf numFmtId="0" fontId="10" fillId="4" borderId="45" xfId="27" applyFont="1" applyFill="1" applyBorder="1"/>
    <xf numFmtId="0" fontId="62" fillId="4" borderId="46" xfId="27" applyFont="1" applyFill="1" applyBorder="1" applyAlignment="1">
      <alignment horizontal="left" vertical="center" wrapText="1" indent="2"/>
    </xf>
    <xf numFmtId="0" fontId="16" fillId="4" borderId="39" xfId="27" applyFont="1" applyFill="1" applyBorder="1"/>
    <xf numFmtId="168" fontId="17" fillId="0" borderId="49" xfId="28" applyFont="1" applyBorder="1" applyAlignment="1">
      <alignment vertical="center"/>
    </xf>
    <xf numFmtId="169" fontId="16" fillId="0" borderId="50" xfId="28" applyNumberFormat="1" applyFont="1" applyBorder="1" applyAlignment="1">
      <alignment horizontal="center" vertical="center"/>
    </xf>
    <xf numFmtId="169" fontId="16" fillId="0" borderId="51" xfId="28" applyNumberFormat="1" applyFont="1" applyBorder="1" applyAlignment="1">
      <alignment horizontal="center" vertical="center"/>
    </xf>
    <xf numFmtId="169" fontId="16" fillId="0" borderId="52" xfId="28" applyNumberFormat="1" applyFont="1" applyBorder="1" applyAlignment="1">
      <alignment horizontal="center" vertical="center"/>
    </xf>
    <xf numFmtId="0" fontId="62" fillId="4" borderId="40" xfId="27" applyFont="1" applyFill="1" applyBorder="1" applyAlignment="1">
      <alignment horizontal="left" vertical="center" wrapText="1" indent="2"/>
    </xf>
    <xf numFmtId="1" fontId="16" fillId="4" borderId="41" xfId="27" applyNumberFormat="1" applyFont="1" applyFill="1" applyBorder="1" applyAlignment="1">
      <alignment horizontal="center" vertical="center"/>
    </xf>
    <xf numFmtId="1" fontId="16" fillId="4" borderId="42" xfId="27" applyNumberFormat="1" applyFont="1" applyFill="1" applyBorder="1" applyAlignment="1">
      <alignment horizontal="center" vertical="center"/>
    </xf>
    <xf numFmtId="0" fontId="16" fillId="4" borderId="43" xfId="27" applyFont="1" applyFill="1" applyBorder="1"/>
    <xf numFmtId="168" fontId="17" fillId="0" borderId="38" xfId="28" applyFont="1" applyBorder="1" applyAlignment="1">
      <alignment vertical="center"/>
    </xf>
    <xf numFmtId="1" fontId="10" fillId="4" borderId="14" xfId="27" applyNumberFormat="1" applyFont="1" applyFill="1" applyBorder="1" applyAlignment="1">
      <alignment horizontal="center" vertical="center"/>
    </xf>
    <xf numFmtId="1" fontId="10" fillId="4" borderId="0" xfId="27" applyNumberFormat="1" applyFont="1" applyFill="1" applyAlignment="1">
      <alignment horizontal="center" vertical="center"/>
    </xf>
    <xf numFmtId="0" fontId="62" fillId="4" borderId="48" xfId="27" applyFont="1" applyFill="1" applyBorder="1" applyAlignment="1">
      <alignment horizontal="left" vertical="center" wrapText="1" indent="2"/>
    </xf>
    <xf numFmtId="0" fontId="16" fillId="4" borderId="45" xfId="27" applyFont="1" applyFill="1" applyBorder="1"/>
    <xf numFmtId="169" fontId="10" fillId="0" borderId="17" xfId="28" applyNumberFormat="1" applyFont="1" applyBorder="1" applyAlignment="1">
      <alignment horizontal="center" vertical="center"/>
    </xf>
    <xf numFmtId="169" fontId="10" fillId="0" borderId="10" xfId="28" applyNumberFormat="1" applyFont="1" applyBorder="1" applyAlignment="1">
      <alignment horizontal="center" vertical="center"/>
    </xf>
    <xf numFmtId="169" fontId="10" fillId="0" borderId="47" xfId="28" applyNumberFormat="1" applyFont="1" applyBorder="1" applyAlignment="1">
      <alignment horizontal="center" vertical="center"/>
    </xf>
    <xf numFmtId="1" fontId="10" fillId="4" borderId="3" xfId="27" applyNumberFormat="1" applyFont="1" applyFill="1" applyBorder="1" applyAlignment="1">
      <alignment horizontal="center" vertical="center"/>
    </xf>
    <xf numFmtId="1" fontId="10" fillId="4" borderId="19" xfId="27" applyNumberFormat="1" applyFont="1" applyFill="1" applyBorder="1" applyAlignment="1">
      <alignment horizontal="center" vertical="center"/>
    </xf>
    <xf numFmtId="168" fontId="17" fillId="0" borderId="48" xfId="28" applyFont="1" applyBorder="1" applyAlignment="1">
      <alignment vertical="center"/>
    </xf>
    <xf numFmtId="1" fontId="10" fillId="4" borderId="41" xfId="27" applyNumberFormat="1" applyFont="1" applyFill="1" applyBorder="1" applyAlignment="1">
      <alignment horizontal="center" vertical="center"/>
    </xf>
    <xf numFmtId="1" fontId="10" fillId="4" borderId="42" xfId="27" applyNumberFormat="1" applyFont="1" applyFill="1" applyBorder="1" applyAlignment="1">
      <alignment horizontal="center" vertical="center"/>
    </xf>
    <xf numFmtId="0" fontId="10" fillId="4" borderId="43" xfId="27" applyFont="1" applyFill="1" applyBorder="1"/>
    <xf numFmtId="169" fontId="65" fillId="0" borderId="14" xfId="28" applyNumberFormat="1" applyFont="1" applyBorder="1" applyAlignment="1">
      <alignment horizontal="center" vertical="center"/>
    </xf>
    <xf numFmtId="168" fontId="17" fillId="0" borderId="53" xfId="28" applyFont="1" applyBorder="1" applyAlignment="1">
      <alignment vertical="center" wrapText="1"/>
    </xf>
    <xf numFmtId="1" fontId="61" fillId="4" borderId="3" xfId="27" applyNumberFormat="1" applyFont="1" applyFill="1" applyBorder="1" applyAlignment="1">
      <alignment horizontal="center" vertical="center"/>
    </xf>
    <xf numFmtId="1" fontId="61" fillId="4" borderId="19" xfId="27" applyNumberFormat="1" applyFont="1" applyFill="1" applyBorder="1" applyAlignment="1">
      <alignment horizontal="center" vertical="center"/>
    </xf>
    <xf numFmtId="0" fontId="61" fillId="4" borderId="39" xfId="27" applyFont="1" applyFill="1" applyBorder="1"/>
    <xf numFmtId="168" fontId="16" fillId="0" borderId="44" xfId="28" applyFont="1" applyBorder="1" applyAlignment="1">
      <alignment vertical="center"/>
    </xf>
    <xf numFmtId="168" fontId="16" fillId="0" borderId="38" xfId="28" applyFont="1" applyBorder="1" applyAlignment="1">
      <alignment vertical="center" wrapText="1"/>
    </xf>
    <xf numFmtId="1" fontId="61" fillId="4" borderId="14" xfId="27" applyNumberFormat="1" applyFont="1" applyFill="1" applyBorder="1" applyAlignment="1">
      <alignment horizontal="center" vertical="center"/>
    </xf>
    <xf numFmtId="1" fontId="61" fillId="4" borderId="0" xfId="27" applyNumberFormat="1" applyFont="1" applyFill="1" applyAlignment="1">
      <alignment horizontal="center" vertical="center"/>
    </xf>
    <xf numFmtId="0" fontId="61" fillId="4" borderId="45" xfId="27" applyFont="1" applyFill="1" applyBorder="1"/>
    <xf numFmtId="0" fontId="69" fillId="0" borderId="0" xfId="29" applyFont="1" applyAlignment="1">
      <alignment horizontal="left"/>
    </xf>
    <xf numFmtId="0" fontId="69" fillId="0" borderId="0" xfId="29" applyFont="1"/>
    <xf numFmtId="0" fontId="69" fillId="0" borderId="0" xfId="29" applyFont="1" applyAlignment="1">
      <alignment horizontal="left" wrapText="1"/>
    </xf>
    <xf numFmtId="167" fontId="69" fillId="0" borderId="0" xfId="29" applyNumberFormat="1" applyFont="1"/>
    <xf numFmtId="0" fontId="72" fillId="0" borderId="0" xfId="29" applyFont="1" applyAlignment="1">
      <alignment horizontal="left"/>
    </xf>
    <xf numFmtId="169" fontId="73" fillId="2" borderId="0" xfId="28" applyNumberFormat="1" applyFont="1" applyFill="1" applyAlignment="1">
      <alignment horizontal="center" vertical="center"/>
    </xf>
    <xf numFmtId="168" fontId="74" fillId="0" borderId="0" xfId="28" applyFont="1" applyAlignment="1">
      <alignment vertical="center"/>
    </xf>
    <xf numFmtId="169" fontId="75" fillId="0" borderId="0" xfId="28" applyNumberFormat="1" applyFont="1" applyAlignment="1">
      <alignment horizontal="center" vertical="center"/>
    </xf>
    <xf numFmtId="170" fontId="76" fillId="0" borderId="0" xfId="30" applyNumberFormat="1" applyFont="1" applyAlignment="1">
      <alignment horizontal="center" vertical="center"/>
    </xf>
    <xf numFmtId="4" fontId="4" fillId="0" borderId="3" xfId="1" applyNumberFormat="1" applyBorder="1" applyAlignment="1">
      <alignment horizontal="right" vertical="top" wrapText="1"/>
    </xf>
    <xf numFmtId="4" fontId="12" fillId="0" borderId="2" xfId="1" applyNumberFormat="1" applyFont="1" applyBorder="1" applyAlignment="1">
      <alignment horizontal="right" vertical="top" wrapText="1"/>
    </xf>
    <xf numFmtId="4" fontId="4" fillId="0" borderId="1" xfId="1" applyNumberFormat="1" applyBorder="1" applyAlignment="1">
      <alignment horizontal="right" vertical="top" wrapText="1"/>
    </xf>
    <xf numFmtId="4" fontId="12" fillId="0" borderId="1" xfId="1" applyNumberFormat="1" applyFont="1" applyBorder="1" applyAlignment="1">
      <alignment horizontal="right" vertical="top" wrapText="1"/>
    </xf>
    <xf numFmtId="4" fontId="12" fillId="0" borderId="0" xfId="1" applyNumberFormat="1" applyFont="1" applyAlignment="1">
      <alignment horizontal="right" vertical="top" wrapText="1"/>
    </xf>
    <xf numFmtId="49" fontId="0" fillId="0" borderId="10" xfId="0" applyNumberFormat="1" applyBorder="1"/>
    <xf numFmtId="0" fontId="41" fillId="0" borderId="0" xfId="22" quotePrefix="1" applyFont="1" applyAlignment="1">
      <alignment horizontal="left" vertical="top" wrapText="1"/>
    </xf>
    <xf numFmtId="0" fontId="42" fillId="0" borderId="0" xfId="3" applyFont="1" applyAlignment="1">
      <alignment wrapText="1"/>
    </xf>
    <xf numFmtId="0" fontId="16" fillId="0" borderId="0" xfId="0" applyFont="1" applyAlignment="1">
      <alignment wrapText="1"/>
    </xf>
    <xf numFmtId="0" fontId="17" fillId="0" borderId="0" xfId="0" applyFont="1" applyAlignment="1">
      <alignment vertical="top" wrapText="1"/>
    </xf>
    <xf numFmtId="0" fontId="10" fillId="0" borderId="0" xfId="0" applyFont="1" applyAlignment="1">
      <alignment horizontal="center"/>
    </xf>
    <xf numFmtId="0" fontId="15" fillId="0" borderId="0" xfId="0" applyFont="1" applyAlignment="1">
      <alignment wrapText="1"/>
    </xf>
    <xf numFmtId="0" fontId="8" fillId="0" borderId="0" xfId="0" applyFont="1" applyAlignment="1">
      <alignment vertical="top" wrapText="1"/>
    </xf>
    <xf numFmtId="49" fontId="4" fillId="0" borderId="0" xfId="0" applyNumberFormat="1" applyFont="1" applyAlignment="1">
      <alignment horizontal="center" vertical="center" wrapText="1"/>
    </xf>
    <xf numFmtId="0" fontId="8" fillId="0" borderId="0" xfId="0" applyFont="1" applyAlignment="1">
      <alignment horizontal="center" vertical="center"/>
    </xf>
    <xf numFmtId="0" fontId="4" fillId="0" borderId="3" xfId="0" applyFont="1" applyBorder="1" applyAlignment="1">
      <alignment horizontal="center" vertical="top" wrapText="1"/>
    </xf>
    <xf numFmtId="0" fontId="4" fillId="0" borderId="2" xfId="0" applyFont="1" applyBorder="1" applyAlignment="1">
      <alignment horizontal="center" vertical="top" wrapText="1"/>
    </xf>
    <xf numFmtId="49" fontId="0" fillId="0" borderId="5" xfId="0" applyNumberFormat="1" applyBorder="1" applyAlignment="1">
      <alignment horizontal="center" vertical="top" wrapText="1"/>
    </xf>
    <xf numFmtId="49" fontId="0" fillId="0" borderId="6" xfId="0" applyNumberFormat="1" applyBorder="1" applyAlignment="1">
      <alignment horizontal="center" vertical="top" wrapText="1"/>
    </xf>
    <xf numFmtId="49" fontId="16" fillId="0" borderId="0" xfId="0" applyNumberFormat="1" applyFont="1" applyAlignment="1">
      <alignment horizontal="left" wrapText="1"/>
    </xf>
    <xf numFmtId="0" fontId="41" fillId="0" borderId="0" xfId="23" quotePrefix="1" applyFont="1" applyAlignment="1">
      <alignment horizontal="left" vertical="top" wrapText="1"/>
    </xf>
    <xf numFmtId="0" fontId="43" fillId="0" borderId="0" xfId="3" applyFont="1" applyAlignment="1">
      <alignment wrapText="1"/>
    </xf>
    <xf numFmtId="0" fontId="37" fillId="0" borderId="0" xfId="25" quotePrefix="1" applyFont="1" applyAlignment="1">
      <alignment horizontal="left"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9" xfId="0" applyBorder="1" applyAlignment="1">
      <alignment horizontal="center" vertical="top"/>
    </xf>
    <xf numFmtId="0" fontId="19" fillId="0" borderId="0" xfId="0" applyFont="1"/>
    <xf numFmtId="0" fontId="31" fillId="0" borderId="0" xfId="0" applyFont="1"/>
    <xf numFmtId="0" fontId="7" fillId="0" borderId="0" xfId="0" applyFont="1" applyAlignment="1">
      <alignment horizontal="center"/>
    </xf>
    <xf numFmtId="0" fontId="4" fillId="0" borderId="0" xfId="0" applyFont="1" applyAlignment="1">
      <alignment horizontal="left" vertical="top" wrapText="1"/>
    </xf>
    <xf numFmtId="0" fontId="4" fillId="0" borderId="4" xfId="0" applyFont="1" applyBorder="1" applyAlignment="1">
      <alignment horizontal="left" vertical="center" wrapText="1"/>
    </xf>
    <xf numFmtId="0" fontId="37" fillId="0" borderId="0" xfId="3" applyFont="1" applyAlignment="1">
      <alignment horizontal="left" vertical="top"/>
    </xf>
    <xf numFmtId="0" fontId="37" fillId="0" borderId="0" xfId="25" applyFont="1" applyAlignment="1">
      <alignment horizontal="left" vertical="top"/>
    </xf>
    <xf numFmtId="0" fontId="37" fillId="0" borderId="0" xfId="3" applyFont="1" applyAlignment="1">
      <alignment vertical="top" wrapText="1"/>
    </xf>
    <xf numFmtId="0" fontId="38" fillId="0" borderId="0" xfId="3" applyFont="1"/>
    <xf numFmtId="0" fontId="26" fillId="0" borderId="0" xfId="4" applyFont="1" applyAlignment="1">
      <alignment horizontal="right" vertical="top" wrapText="1"/>
    </xf>
    <xf numFmtId="0" fontId="37" fillId="0" borderId="0" xfId="4" applyFont="1" applyAlignment="1">
      <alignment horizontal="center" vertical="top" wrapText="1"/>
    </xf>
    <xf numFmtId="0" fontId="9" fillId="0" borderId="0" xfId="4" applyFont="1" applyAlignment="1">
      <alignment horizontal="center" vertical="center"/>
    </xf>
    <xf numFmtId="0" fontId="37" fillId="0" borderId="0" xfId="3" applyFont="1" applyAlignment="1">
      <alignment horizontal="left" vertical="top" wrapText="1"/>
    </xf>
    <xf numFmtId="0" fontId="40" fillId="0" borderId="0" xfId="3" applyFont="1"/>
    <xf numFmtId="0" fontId="9" fillId="0" borderId="0" xfId="3" applyFont="1" applyAlignment="1">
      <alignment horizontal="right" wrapText="1"/>
    </xf>
    <xf numFmtId="0" fontId="9" fillId="0" borderId="0" xfId="3" applyFont="1" applyAlignment="1">
      <alignment horizontal="left" vertical="top" wrapText="1"/>
    </xf>
    <xf numFmtId="3" fontId="9" fillId="0" borderId="0" xfId="3" applyNumberFormat="1" applyFont="1" applyAlignment="1">
      <alignment horizontal="left" vertical="top" wrapText="1"/>
    </xf>
    <xf numFmtId="0" fontId="37" fillId="0" borderId="0" xfId="25" quotePrefix="1" applyFont="1" applyAlignment="1">
      <alignment horizontal="left" vertical="top" wrapText="1"/>
    </xf>
    <xf numFmtId="49" fontId="37" fillId="0" borderId="7" xfId="3" applyNumberFormat="1" applyFont="1" applyBorder="1" applyAlignment="1">
      <alignment horizontal="center" vertical="top" wrapText="1"/>
    </xf>
    <xf numFmtId="49" fontId="37" fillId="0" borderId="8" xfId="3" applyNumberFormat="1" applyFont="1" applyBorder="1" applyAlignment="1">
      <alignment horizontal="center" vertical="top" wrapText="1"/>
    </xf>
    <xf numFmtId="49" fontId="37" fillId="0" borderId="9" xfId="3" applyNumberFormat="1" applyFont="1" applyBorder="1" applyAlignment="1">
      <alignment horizontal="center" vertical="top" wrapText="1"/>
    </xf>
    <xf numFmtId="0" fontId="42" fillId="0" borderId="0" xfId="0" applyFont="1" applyAlignment="1">
      <alignment wrapText="1"/>
    </xf>
    <xf numFmtId="0" fontId="44" fillId="0" borderId="10" xfId="23" quotePrefix="1" applyFont="1" applyBorder="1" applyAlignment="1">
      <alignment horizontal="left" vertical="top" wrapText="1"/>
    </xf>
    <xf numFmtId="0" fontId="44" fillId="0" borderId="0" xfId="23" quotePrefix="1" applyFont="1" applyAlignment="1">
      <alignment horizontal="left" vertical="top" wrapText="1"/>
    </xf>
    <xf numFmtId="0" fontId="39" fillId="0" borderId="0" xfId="3" applyFont="1" applyAlignment="1">
      <alignment horizontal="left" vertical="top"/>
    </xf>
    <xf numFmtId="0" fontId="9" fillId="0" borderId="0" xfId="3" applyFont="1" applyAlignment="1">
      <alignment horizontal="center" vertical="center"/>
    </xf>
    <xf numFmtId="0" fontId="9" fillId="0" borderId="0" xfId="1" applyFont="1" applyAlignment="1">
      <alignment vertical="top" wrapText="1"/>
    </xf>
    <xf numFmtId="0" fontId="26" fillId="0" borderId="0" xfId="1" applyFont="1" applyAlignment="1">
      <alignment horizontal="right" vertical="top" wrapText="1"/>
    </xf>
    <xf numFmtId="0" fontId="37" fillId="0" borderId="0" xfId="1" applyFont="1" applyAlignment="1">
      <alignment horizontal="center" vertical="top" wrapText="1"/>
    </xf>
    <xf numFmtId="0" fontId="9" fillId="0" borderId="0" xfId="1" applyFont="1" applyAlignment="1">
      <alignment horizontal="center" vertical="center"/>
    </xf>
    <xf numFmtId="0" fontId="37" fillId="0" borderId="0" xfId="1" applyFont="1" applyAlignment="1">
      <alignment horizontal="left" vertical="top" wrapText="1"/>
    </xf>
    <xf numFmtId="0" fontId="39" fillId="0" borderId="0" xfId="1" applyFont="1" applyAlignment="1">
      <alignment horizontal="left" vertical="top" wrapText="1"/>
    </xf>
    <xf numFmtId="0" fontId="9" fillId="0" borderId="0" xfId="8" applyFont="1" applyAlignment="1">
      <alignment horizontal="left" vertical="top" wrapText="1"/>
    </xf>
    <xf numFmtId="0" fontId="37" fillId="2" borderId="17" xfId="9" applyFont="1" applyFill="1" applyBorder="1" applyAlignment="1" applyProtection="1">
      <alignment horizontal="left" vertical="center" wrapText="1"/>
      <protection locked="0"/>
    </xf>
    <xf numFmtId="0" fontId="37" fillId="2" borderId="0" xfId="9" applyFont="1" applyFill="1" applyAlignment="1" applyProtection="1">
      <alignment horizontal="left" vertical="center" wrapText="1"/>
      <protection locked="0"/>
    </xf>
    <xf numFmtId="0" fontId="37" fillId="3" borderId="0" xfId="9" quotePrefix="1" applyFont="1" applyFill="1" applyAlignment="1" applyProtection="1">
      <alignment horizontal="left" vertical="center" wrapText="1"/>
      <protection locked="0"/>
    </xf>
    <xf numFmtId="0" fontId="37" fillId="3" borderId="0" xfId="9" applyFont="1" applyFill="1" applyAlignment="1" applyProtection="1">
      <alignment horizontal="left" vertical="center" wrapText="1"/>
      <protection locked="0"/>
    </xf>
    <xf numFmtId="0" fontId="37" fillId="3" borderId="16" xfId="9" applyFont="1" applyFill="1" applyBorder="1" applyAlignment="1" applyProtection="1">
      <alignment horizontal="left" vertical="center" wrapText="1"/>
      <protection locked="0"/>
    </xf>
    <xf numFmtId="0" fontId="37" fillId="2" borderId="0" xfId="9" applyFont="1" applyFill="1" applyAlignment="1" applyProtection="1">
      <alignment horizontal="center" vertical="center" wrapText="1"/>
      <protection locked="0"/>
    </xf>
    <xf numFmtId="0" fontId="37" fillId="2" borderId="16" xfId="9" applyFont="1" applyFill="1" applyBorder="1" applyAlignment="1" applyProtection="1">
      <alignment horizontal="center" vertical="center" wrapText="1"/>
      <protection locked="0"/>
    </xf>
    <xf numFmtId="0" fontId="9" fillId="2" borderId="0" xfId="8" applyFont="1" applyFill="1" applyAlignment="1">
      <alignment horizontal="left" wrapText="1"/>
    </xf>
    <xf numFmtId="0" fontId="46" fillId="0" borderId="1" xfId="7" applyFont="1" applyBorder="1" applyAlignment="1">
      <alignment horizontal="center" vertical="center" wrapText="1"/>
    </xf>
    <xf numFmtId="0" fontId="37" fillId="0" borderId="1" xfId="7" applyFont="1" applyBorder="1" applyAlignment="1">
      <alignment horizontal="center" vertical="center" wrapText="1"/>
    </xf>
    <xf numFmtId="0" fontId="9" fillId="0" borderId="1" xfId="7" applyFont="1" applyBorder="1" applyAlignment="1">
      <alignment horizontal="center" vertical="center" wrapText="1"/>
    </xf>
    <xf numFmtId="0" fontId="37" fillId="0" borderId="1" xfId="7" applyFont="1" applyBorder="1" applyAlignment="1">
      <alignment horizontal="left" vertical="center" wrapText="1"/>
    </xf>
    <xf numFmtId="0" fontId="37" fillId="0" borderId="8" xfId="7" applyFont="1" applyBorder="1" applyAlignment="1">
      <alignment horizontal="left" vertical="center" wrapText="1"/>
    </xf>
    <xf numFmtId="0" fontId="37" fillId="0" borderId="9" xfId="7" applyFont="1" applyBorder="1" applyAlignment="1">
      <alignment horizontal="left" vertical="center" wrapText="1"/>
    </xf>
    <xf numFmtId="0" fontId="37" fillId="0" borderId="7" xfId="7" applyFont="1" applyBorder="1" applyAlignment="1">
      <alignment horizontal="left" vertical="center" wrapText="1"/>
    </xf>
    <xf numFmtId="0" fontId="9" fillId="3" borderId="7" xfId="7" applyFont="1" applyFill="1" applyBorder="1" applyAlignment="1">
      <alignment horizontal="left" vertical="center" wrapText="1"/>
    </xf>
    <xf numFmtId="0" fontId="9" fillId="3" borderId="8" xfId="7" applyFont="1" applyFill="1" applyBorder="1" applyAlignment="1">
      <alignment horizontal="left" vertical="center" wrapText="1"/>
    </xf>
    <xf numFmtId="0" fontId="9" fillId="3" borderId="9" xfId="7" applyFont="1" applyFill="1" applyBorder="1" applyAlignment="1">
      <alignment horizontal="left" vertical="center" wrapText="1"/>
    </xf>
    <xf numFmtId="0" fontId="9" fillId="2" borderId="17" xfId="8" applyFont="1" applyFill="1" applyBorder="1" applyAlignment="1">
      <alignment horizontal="left" wrapText="1"/>
    </xf>
    <xf numFmtId="0" fontId="37" fillId="0" borderId="1" xfId="7" applyFont="1" applyBorder="1" applyAlignment="1">
      <alignment horizontal="left" vertical="center"/>
    </xf>
    <xf numFmtId="0" fontId="9" fillId="0" borderId="7" xfId="7" applyFont="1" applyBorder="1" applyAlignment="1">
      <alignment horizontal="left" vertical="center" wrapText="1"/>
    </xf>
    <xf numFmtId="0" fontId="9" fillId="0" borderId="8" xfId="7" applyFont="1" applyBorder="1" applyAlignment="1">
      <alignment horizontal="left" vertical="center" wrapText="1"/>
    </xf>
    <xf numFmtId="0" fontId="9" fillId="0" borderId="9" xfId="7" applyFont="1" applyBorder="1" applyAlignment="1">
      <alignment horizontal="left" vertical="center" wrapText="1"/>
    </xf>
    <xf numFmtId="0" fontId="9" fillId="0" borderId="7" xfId="7" applyFont="1" applyBorder="1" applyAlignment="1">
      <alignment horizontal="center" vertical="center" wrapText="1"/>
    </xf>
    <xf numFmtId="0" fontId="9" fillId="0" borderId="9" xfId="7" applyFont="1" applyBorder="1" applyAlignment="1">
      <alignment horizontal="center" vertical="center" wrapText="1"/>
    </xf>
    <xf numFmtId="4" fontId="9" fillId="0" borderId="0" xfId="15" applyNumberFormat="1" applyFont="1" applyAlignment="1">
      <alignment horizontal="left"/>
    </xf>
    <xf numFmtId="0" fontId="37" fillId="0" borderId="1" xfId="7" applyFont="1" applyBorder="1" applyAlignment="1">
      <alignment horizontal="right" vertical="center" wrapText="1"/>
    </xf>
    <xf numFmtId="0" fontId="37" fillId="0" borderId="7" xfId="7" applyFont="1" applyBorder="1" applyAlignment="1">
      <alignment horizontal="center" vertical="center"/>
    </xf>
    <xf numFmtId="0" fontId="37" fillId="0" borderId="8" xfId="7" applyFont="1" applyBorder="1" applyAlignment="1">
      <alignment horizontal="center" vertical="center"/>
    </xf>
    <xf numFmtId="0" fontId="37" fillId="0" borderId="9" xfId="7" applyFont="1" applyBorder="1" applyAlignment="1">
      <alignment horizontal="center" vertical="center"/>
    </xf>
    <xf numFmtId="0" fontId="27" fillId="0" borderId="0" xfId="1" applyFont="1" applyAlignment="1">
      <alignment horizontal="left" vertical="top" wrapText="1"/>
    </xf>
    <xf numFmtId="0" fontId="37" fillId="0" borderId="0" xfId="1" applyFont="1" applyAlignment="1">
      <alignment horizontal="center" vertical="center" wrapText="1"/>
    </xf>
    <xf numFmtId="0" fontId="9" fillId="0" borderId="0" xfId="1" applyFont="1" applyAlignment="1">
      <alignment horizontal="left" vertical="top" wrapText="1"/>
    </xf>
    <xf numFmtId="0" fontId="9" fillId="0" borderId="1" xfId="1" applyFont="1" applyBorder="1" applyAlignment="1">
      <alignment horizontal="center" vertical="top" wrapText="1"/>
    </xf>
    <xf numFmtId="49" fontId="43" fillId="0" borderId="1" xfId="18" applyNumberFormat="1" applyFont="1" applyBorder="1" applyAlignment="1">
      <alignment horizontal="center" vertical="center" wrapText="1"/>
    </xf>
    <xf numFmtId="0" fontId="43" fillId="0" borderId="1" xfId="18" applyFont="1" applyBorder="1" applyAlignment="1">
      <alignment horizontal="center" vertical="center" wrapText="1"/>
    </xf>
    <xf numFmtId="4" fontId="43" fillId="0" borderId="1" xfId="18" applyNumberFormat="1" applyFont="1" applyBorder="1" applyAlignment="1">
      <alignment horizontal="right" vertical="center" wrapText="1"/>
    </xf>
    <xf numFmtId="0" fontId="9" fillId="0" borderId="0" xfId="24" quotePrefix="1" applyFont="1" applyAlignment="1">
      <alignment horizontal="left" wrapText="1"/>
    </xf>
    <xf numFmtId="0" fontId="9" fillId="0" borderId="0" xfId="1" quotePrefix="1" applyFont="1" applyAlignment="1">
      <alignment horizontal="left" vertical="top" wrapText="1"/>
    </xf>
    <xf numFmtId="2" fontId="43" fillId="0" borderId="1" xfId="18" applyNumberFormat="1" applyFont="1" applyBorder="1" applyAlignment="1">
      <alignment horizontal="center" vertical="center" wrapText="1"/>
    </xf>
    <xf numFmtId="2" fontId="37" fillId="0" borderId="1" xfId="18" applyNumberFormat="1" applyFont="1" applyBorder="1" applyAlignment="1">
      <alignment horizontal="center" vertical="center" wrapText="1"/>
    </xf>
    <xf numFmtId="49" fontId="42" fillId="0" borderId="1" xfId="18" applyNumberFormat="1" applyFont="1" applyBorder="1" applyAlignment="1">
      <alignment horizontal="center" vertical="center" wrapText="1"/>
    </xf>
    <xf numFmtId="0" fontId="42" fillId="3" borderId="1" xfId="18" applyFont="1" applyFill="1" applyBorder="1" applyAlignment="1">
      <alignment horizontal="left" vertical="center" wrapText="1"/>
    </xf>
    <xf numFmtId="0" fontId="42" fillId="0" borderId="1" xfId="18" applyFont="1" applyBorder="1" applyAlignment="1">
      <alignment horizontal="center" vertical="center" wrapText="1"/>
    </xf>
    <xf numFmtId="2" fontId="42" fillId="0" borderId="1" xfId="18" applyNumberFormat="1" applyFont="1" applyBorder="1" applyAlignment="1">
      <alignment horizontal="center" vertical="center" wrapText="1"/>
    </xf>
    <xf numFmtId="4" fontId="42" fillId="0" borderId="1" xfId="18" applyNumberFormat="1" applyFont="1" applyBorder="1" applyAlignment="1">
      <alignment horizontal="right" vertical="center" wrapText="1"/>
    </xf>
    <xf numFmtId="0" fontId="43" fillId="3" borderId="7" xfId="18" applyFont="1" applyFill="1" applyBorder="1" applyAlignment="1">
      <alignment horizontal="left" vertical="center" wrapText="1"/>
    </xf>
    <xf numFmtId="0" fontId="43" fillId="3" borderId="8" xfId="18" applyFont="1" applyFill="1" applyBorder="1" applyAlignment="1">
      <alignment horizontal="left" vertical="center" wrapText="1"/>
    </xf>
    <xf numFmtId="0" fontId="43" fillId="0" borderId="7" xfId="18" applyFont="1" applyBorder="1" applyAlignment="1">
      <alignment horizontal="left" vertical="top" wrapText="1"/>
    </xf>
    <xf numFmtId="0" fontId="43" fillId="0" borderId="8" xfId="18" applyFont="1" applyBorder="1" applyAlignment="1">
      <alignment horizontal="left" vertical="top" wrapText="1"/>
    </xf>
    <xf numFmtId="0" fontId="43" fillId="0" borderId="9" xfId="18" applyFont="1" applyBorder="1" applyAlignment="1">
      <alignment horizontal="left" vertical="top" wrapText="1"/>
    </xf>
    <xf numFmtId="0" fontId="37" fillId="0" borderId="7" xfId="18" applyFont="1" applyBorder="1" applyAlignment="1">
      <alignment horizontal="left" vertical="center"/>
    </xf>
    <xf numFmtId="0" fontId="37" fillId="0" borderId="8" xfId="18" applyFont="1" applyBorder="1" applyAlignment="1">
      <alignment horizontal="left" vertical="center"/>
    </xf>
    <xf numFmtId="0" fontId="37" fillId="0" borderId="9" xfId="18" applyFont="1" applyBorder="1" applyAlignment="1">
      <alignment horizontal="left" vertical="center"/>
    </xf>
    <xf numFmtId="0" fontId="42" fillId="0" borderId="7" xfId="18" applyFont="1" applyBorder="1" applyAlignment="1">
      <alignment horizontal="center" vertical="center" wrapText="1"/>
    </xf>
    <xf numFmtId="0" fontId="42" fillId="0" borderId="8" xfId="18" applyFont="1" applyBorder="1" applyAlignment="1">
      <alignment horizontal="center" vertical="center" wrapText="1"/>
    </xf>
    <xf numFmtId="0" fontId="42" fillId="0" borderId="9" xfId="18" applyFont="1" applyBorder="1" applyAlignment="1">
      <alignment horizontal="center" vertical="center" wrapText="1"/>
    </xf>
    <xf numFmtId="49" fontId="42" fillId="0" borderId="3" xfId="18" applyNumberFormat="1" applyFont="1" applyBorder="1" applyAlignment="1">
      <alignment horizontal="center" vertical="center" wrapText="1"/>
    </xf>
    <xf numFmtId="49" fontId="42" fillId="0" borderId="2" xfId="18" applyNumberFormat="1" applyFont="1" applyBorder="1" applyAlignment="1">
      <alignment horizontal="center" vertical="center" wrapText="1"/>
    </xf>
    <xf numFmtId="49" fontId="43" fillId="0" borderId="7" xfId="18" applyNumberFormat="1" applyFont="1" applyBorder="1" applyAlignment="1">
      <alignment horizontal="center" vertical="center" wrapText="1"/>
    </xf>
    <xf numFmtId="49" fontId="43" fillId="0" borderId="8" xfId="18" applyNumberFormat="1" applyFont="1" applyBorder="1" applyAlignment="1">
      <alignment horizontal="center" vertical="center" wrapText="1"/>
    </xf>
    <xf numFmtId="49" fontId="43" fillId="0" borderId="9" xfId="18" applyNumberFormat="1" applyFont="1" applyBorder="1" applyAlignment="1">
      <alignment horizontal="center" vertical="center" wrapText="1"/>
    </xf>
    <xf numFmtId="0" fontId="4" fillId="0" borderId="0" xfId="1" applyAlignment="1">
      <alignment wrapText="1"/>
    </xf>
    <xf numFmtId="0" fontId="52" fillId="0" borderId="19" xfId="1" applyFont="1" applyBorder="1" applyAlignment="1">
      <alignment horizontal="center" wrapText="1"/>
    </xf>
    <xf numFmtId="0" fontId="4" fillId="0" borderId="19" xfId="1" applyBorder="1" applyAlignment="1">
      <alignment horizontal="center" wrapText="1"/>
    </xf>
    <xf numFmtId="0" fontId="12" fillId="0" borderId="6" xfId="1" applyFont="1" applyBorder="1" applyAlignment="1">
      <alignment horizontal="left" vertical="top" wrapText="1"/>
    </xf>
    <xf numFmtId="0" fontId="12" fillId="0" borderId="21" xfId="1" applyFont="1" applyBorder="1" applyAlignment="1">
      <alignment horizontal="left" vertical="top" wrapText="1"/>
    </xf>
    <xf numFmtId="0" fontId="12" fillId="0" borderId="10" xfId="1" applyFont="1" applyBorder="1" applyAlignment="1">
      <alignment horizontal="left" vertical="top" wrapText="1"/>
    </xf>
    <xf numFmtId="0" fontId="4" fillId="0" borderId="7" xfId="1" applyBorder="1" applyAlignment="1">
      <alignment horizontal="left" vertical="top" wrapText="1"/>
    </xf>
    <xf numFmtId="0" fontId="4" fillId="0" borderId="9" xfId="1" applyBorder="1" applyAlignment="1">
      <alignment horizontal="left" vertical="top" wrapText="1"/>
    </xf>
    <xf numFmtId="0" fontId="4" fillId="0" borderId="8" xfId="1" applyBorder="1" applyAlignment="1">
      <alignment horizontal="left" vertical="top" wrapText="1"/>
    </xf>
    <xf numFmtId="0" fontId="12" fillId="0" borderId="7" xfId="1" applyFont="1" applyBorder="1" applyAlignment="1">
      <alignment horizontal="left" vertical="top" wrapText="1"/>
    </xf>
    <xf numFmtId="0" fontId="12" fillId="0" borderId="9" xfId="1" applyFont="1" applyBorder="1" applyAlignment="1">
      <alignment horizontal="left" vertical="top" wrapText="1"/>
    </xf>
    <xf numFmtId="0" fontId="12" fillId="0" borderId="8" xfId="1" applyFont="1" applyBorder="1" applyAlignment="1">
      <alignment horizontal="left" vertical="top" wrapText="1"/>
    </xf>
    <xf numFmtId="0" fontId="4" fillId="0" borderId="0" xfId="1" applyAlignment="1">
      <alignment horizontal="left" vertical="top" wrapText="1"/>
    </xf>
    <xf numFmtId="0" fontId="4" fillId="0" borderId="32" xfId="1" applyBorder="1" applyAlignment="1">
      <alignment horizontal="left" vertical="top" wrapText="1"/>
    </xf>
    <xf numFmtId="0" fontId="4" fillId="0" borderId="33" xfId="1" applyBorder="1" applyAlignment="1">
      <alignment horizontal="left" vertical="top" wrapText="1"/>
    </xf>
    <xf numFmtId="0" fontId="4" fillId="0" borderId="34" xfId="1" applyBorder="1" applyAlignment="1">
      <alignment horizontal="left" vertical="top" wrapText="1"/>
    </xf>
    <xf numFmtId="0" fontId="12" fillId="0" borderId="32" xfId="1" applyFont="1" applyBorder="1" applyAlignment="1">
      <alignment horizontal="left" vertical="top" wrapText="1"/>
    </xf>
    <xf numFmtId="0" fontId="12" fillId="0" borderId="33" xfId="1" applyFont="1" applyBorder="1" applyAlignment="1">
      <alignment horizontal="left" vertical="top" wrapText="1"/>
    </xf>
    <xf numFmtId="0" fontId="12" fillId="0" borderId="34" xfId="1" applyFont="1" applyBorder="1" applyAlignment="1">
      <alignment horizontal="left" vertical="top" wrapText="1"/>
    </xf>
    <xf numFmtId="0" fontId="4" fillId="0" borderId="6" xfId="1" applyBorder="1" applyAlignment="1">
      <alignment horizontal="left" vertical="top" wrapText="1"/>
    </xf>
    <xf numFmtId="0" fontId="4" fillId="0" borderId="21" xfId="1" applyBorder="1" applyAlignment="1">
      <alignment horizontal="left" vertical="top" wrapText="1"/>
    </xf>
    <xf numFmtId="9" fontId="4" fillId="0" borderId="6" xfId="1" applyNumberFormat="1" applyBorder="1" applyAlignment="1">
      <alignment horizontal="left" vertical="top" wrapText="1"/>
    </xf>
    <xf numFmtId="9" fontId="4" fillId="0" borderId="10" xfId="1" applyNumberFormat="1" applyBorder="1" applyAlignment="1">
      <alignment horizontal="left" vertical="top" wrapText="1"/>
    </xf>
    <xf numFmtId="9" fontId="4" fillId="0" borderId="21" xfId="1" applyNumberFormat="1" applyBorder="1" applyAlignment="1">
      <alignment horizontal="left" vertical="top" wrapText="1"/>
    </xf>
    <xf numFmtId="0" fontId="4" fillId="0" borderId="26" xfId="1" applyBorder="1" applyAlignment="1">
      <alignment horizontal="center" wrapText="1"/>
    </xf>
    <xf numFmtId="0" fontId="4" fillId="0" borderId="27" xfId="1" applyBorder="1" applyAlignment="1">
      <alignment horizontal="center" wrapText="1"/>
    </xf>
    <xf numFmtId="0" fontId="4" fillId="0" borderId="28" xfId="1" applyBorder="1" applyAlignment="1">
      <alignment horizontal="center" wrapText="1"/>
    </xf>
    <xf numFmtId="0" fontId="12" fillId="0" borderId="5" xfId="1" applyFont="1" applyBorder="1" applyAlignment="1">
      <alignment horizontal="left" vertical="top" wrapText="1"/>
    </xf>
    <xf numFmtId="0" fontId="12" fillId="0" borderId="20" xfId="1" applyFont="1" applyBorder="1" applyAlignment="1">
      <alignment horizontal="left" vertical="top" wrapText="1"/>
    </xf>
    <xf numFmtId="0" fontId="4" fillId="0" borderId="5" xfId="1" applyBorder="1" applyAlignment="1">
      <alignment horizontal="left" vertical="top" wrapText="1"/>
    </xf>
    <xf numFmtId="0" fontId="4" fillId="0" borderId="19" xfId="1" applyBorder="1" applyAlignment="1">
      <alignment horizontal="left" vertical="top" wrapText="1"/>
    </xf>
    <xf numFmtId="0" fontId="4" fillId="0" borderId="20" xfId="1" applyBorder="1" applyAlignment="1">
      <alignment horizontal="left" vertical="top" wrapText="1"/>
    </xf>
    <xf numFmtId="0" fontId="12" fillId="0" borderId="29" xfId="1" applyFont="1" applyBorder="1" applyAlignment="1">
      <alignment horizontal="left" vertical="top" wrapText="1"/>
    </xf>
    <xf numFmtId="0" fontId="12" fillId="0" borderId="30" xfId="1" applyFont="1" applyBorder="1" applyAlignment="1">
      <alignment horizontal="left" vertical="top" wrapText="1"/>
    </xf>
    <xf numFmtId="0" fontId="12" fillId="0" borderId="31" xfId="1" applyFont="1" applyBorder="1" applyAlignment="1">
      <alignment horizontal="left" vertical="top" wrapText="1"/>
    </xf>
    <xf numFmtId="0" fontId="7" fillId="0" borderId="23" xfId="1" applyFont="1" applyBorder="1" applyAlignment="1">
      <alignment horizontal="center" vertical="top" wrapText="1"/>
    </xf>
    <xf numFmtId="0" fontId="7" fillId="0" borderId="24" xfId="1" applyFont="1" applyBorder="1" applyAlignment="1">
      <alignment horizontal="center" vertical="top" wrapText="1"/>
    </xf>
    <xf numFmtId="0" fontId="7" fillId="0" borderId="25" xfId="1" applyFont="1" applyBorder="1" applyAlignment="1">
      <alignment horizontal="center" vertical="top" wrapText="1"/>
    </xf>
    <xf numFmtId="0" fontId="14" fillId="0" borderId="0" xfId="1" applyFont="1" applyAlignment="1">
      <alignment horizontal="left" vertical="top" wrapText="1"/>
    </xf>
    <xf numFmtId="0" fontId="51" fillId="0" borderId="0" xfId="1" applyFont="1" applyAlignment="1">
      <alignment horizontal="right" vertical="top" wrapText="1"/>
    </xf>
    <xf numFmtId="0" fontId="12" fillId="0" borderId="0" xfId="1" applyFont="1" applyAlignment="1">
      <alignment horizontal="center" vertical="top" wrapText="1"/>
    </xf>
    <xf numFmtId="0" fontId="4" fillId="0" borderId="0" xfId="1" applyAlignment="1">
      <alignment horizontal="center" vertical="center"/>
    </xf>
    <xf numFmtId="0" fontId="4" fillId="0" borderId="0" xfId="1" applyAlignment="1">
      <alignment horizontal="left" vertical="top"/>
    </xf>
    <xf numFmtId="0" fontId="12" fillId="0" borderId="0" xfId="1" applyFont="1" applyAlignment="1">
      <alignment horizontal="left" vertical="top" wrapText="1"/>
    </xf>
    <xf numFmtId="0" fontId="53" fillId="0" borderId="0" xfId="27" applyFont="1" applyAlignment="1">
      <alignment horizontal="left" vertical="center" wrapText="1"/>
    </xf>
    <xf numFmtId="0" fontId="60" fillId="0" borderId="19" xfId="29" applyFont="1" applyBorder="1" applyAlignment="1">
      <alignment horizontal="center"/>
    </xf>
    <xf numFmtId="0" fontId="60" fillId="0" borderId="39" xfId="29" applyFont="1" applyBorder="1" applyAlignment="1">
      <alignment horizontal="center"/>
    </xf>
    <xf numFmtId="0" fontId="71" fillId="0" borderId="0" xfId="29" applyFont="1" applyAlignment="1">
      <alignment horizontal="left" wrapText="1"/>
    </xf>
    <xf numFmtId="0" fontId="69" fillId="0" borderId="0" xfId="29" applyFont="1" applyAlignment="1">
      <alignment horizontal="left" wrapText="1"/>
    </xf>
  </cellXfs>
  <cellStyles count="31">
    <cellStyle name="_1" xfId="19" xr:uid="{00000000-0005-0000-0000-000000000000}"/>
    <cellStyle name="S3" xfId="23" xr:uid="{00000000-0005-0000-0000-000001000000}"/>
    <cellStyle name="S6 3" xfId="22" xr:uid="{00000000-0005-0000-0000-000002000000}"/>
    <cellStyle name="Гиперссылка" xfId="11" builtinId="8"/>
    <cellStyle name="Обычный" xfId="0" builtinId="0"/>
    <cellStyle name="Обычный 100" xfId="27" xr:uid="{00000000-0005-0000-0000-000005000000}"/>
    <cellStyle name="Обычный 140 3 2" xfId="29" xr:uid="{00000000-0005-0000-0000-000006000000}"/>
    <cellStyle name="Обычный 2" xfId="1" xr:uid="{00000000-0005-0000-0000-000007000000}"/>
    <cellStyle name="Обычный 2 2" xfId="4" xr:uid="{00000000-0005-0000-0000-000008000000}"/>
    <cellStyle name="Обычный 2 3" xfId="5" xr:uid="{00000000-0005-0000-0000-000009000000}"/>
    <cellStyle name="Обычный 2_ИИ Смета РВС50000№3_Клин" xfId="14" xr:uid="{00000000-0005-0000-0000-00000A000000}"/>
    <cellStyle name="Обычный 2_Смета ИЭИ МН Куйбышев-Унеча-Мозырь 813-823 км" xfId="7" xr:uid="{00000000-0005-0000-0000-00000B000000}"/>
    <cellStyle name="Обычный 2_Смета ИЭИ ППМН р.Суворощь" xfId="13" xr:uid="{00000000-0005-0000-0000-00000C000000}"/>
    <cellStyle name="Обычный 25" xfId="25" xr:uid="{00000000-0005-0000-0000-00000D000000}"/>
    <cellStyle name="Обычный 25 2" xfId="28" xr:uid="{00000000-0005-0000-0000-00000E000000}"/>
    <cellStyle name="Обычный 3" xfId="2" xr:uid="{00000000-0005-0000-0000-00000F000000}"/>
    <cellStyle name="Обычный 3 2" xfId="20" xr:uid="{00000000-0005-0000-0000-000010000000}"/>
    <cellStyle name="Обычный 4" xfId="3" xr:uid="{00000000-0005-0000-0000-000011000000}"/>
    <cellStyle name="Обычный 4 2" xfId="30" xr:uid="{00000000-0005-0000-0000-000012000000}"/>
    <cellStyle name="Обычный 5" xfId="8" xr:uid="{00000000-0005-0000-0000-000013000000}"/>
    <cellStyle name="Обычный 6" xfId="18" xr:uid="{00000000-0005-0000-0000-000014000000}"/>
    <cellStyle name="Обычный 7" xfId="26" xr:uid="{00000000-0005-0000-0000-000015000000}"/>
    <cellStyle name="Обычный_1080  сводный расчет" xfId="10" xr:uid="{00000000-0005-0000-0000-000016000000}"/>
    <cellStyle name="Обычный_6200_PRT 2" xfId="24" xr:uid="{00000000-0005-0000-0000-000017000000}"/>
    <cellStyle name="Обычный_6200_PRT 2 2" xfId="9" xr:uid="{00000000-0005-0000-0000-000018000000}"/>
    <cellStyle name="Обычный_С разделением Замена трубы_1917-1923 от экспер" xfId="16" xr:uid="{00000000-0005-0000-0000-000019000000}"/>
    <cellStyle name="Обычный_Сводная смета " xfId="15" xr:uid="{00000000-0005-0000-0000-00001A000000}"/>
    <cellStyle name="Обычный_Смета ИЭИ МН Куйбышев-Унеча-Мозырь 813-823 км" xfId="6" xr:uid="{00000000-0005-0000-0000-00001B000000}"/>
    <cellStyle name="Стиль 1" xfId="12" xr:uid="{00000000-0005-0000-0000-00001C000000}"/>
    <cellStyle name="Стиль 1_Хохряковская ЦПС" xfId="17" xr:uid="{00000000-0005-0000-0000-00001D000000}"/>
    <cellStyle name="Финансовый" xfId="21" builtinId="3"/>
  </cellStyles>
  <dxfs count="0"/>
  <tableStyles count="0" defaultTableStyle="TableStyleMedium9" defaultPivotStyle="PivotStyleLight16"/>
  <colors>
    <mruColors>
      <color rgb="FF99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jpeg"/></Relationships>
</file>

<file path=xl/drawings/_rels/drawing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7</xdr:col>
      <xdr:colOff>424815</xdr:colOff>
      <xdr:row>20</xdr:row>
      <xdr:rowOff>193040</xdr:rowOff>
    </xdr:from>
    <xdr:to>
      <xdr:col>15</xdr:col>
      <xdr:colOff>126719</xdr:colOff>
      <xdr:row>25</xdr:row>
      <xdr:rowOff>684131</xdr:rowOff>
    </xdr:to>
    <xdr:pic>
      <xdr:nvPicPr>
        <xdr:cNvPr id="2" name="Рисунок 1">
          <a:extLst>
            <a:ext uri="{FF2B5EF4-FFF2-40B4-BE49-F238E27FC236}">
              <a16:creationId xmlns:a16="http://schemas.microsoft.com/office/drawing/2014/main" id="{185C4642-59E8-40C8-9D6B-4FD23514A4CE}"/>
            </a:ext>
          </a:extLst>
        </xdr:cNvPr>
        <xdr:cNvPicPr>
          <a:picLocks noChangeAspect="1"/>
        </xdr:cNvPicPr>
      </xdr:nvPicPr>
      <xdr:blipFill>
        <a:blip xmlns:r="http://schemas.openxmlformats.org/officeDocument/2006/relationships" r:embed="rId1" cstate="print"/>
        <a:stretch>
          <a:fillRect/>
        </a:stretch>
      </xdr:blipFill>
      <xdr:spPr>
        <a:xfrm>
          <a:off x="7232015" y="5781040"/>
          <a:ext cx="7535264" cy="33460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xdr:colOff>
      <xdr:row>19</xdr:row>
      <xdr:rowOff>110619</xdr:rowOff>
    </xdr:from>
    <xdr:to>
      <xdr:col>11</xdr:col>
      <xdr:colOff>67944</xdr:colOff>
      <xdr:row>28</xdr:row>
      <xdr:rowOff>15240</xdr:rowOff>
    </xdr:to>
    <xdr:pic>
      <xdr:nvPicPr>
        <xdr:cNvPr id="3" name="Рисунок 2">
          <a:extLst>
            <a:ext uri="{FF2B5EF4-FFF2-40B4-BE49-F238E27FC236}">
              <a16:creationId xmlns:a16="http://schemas.microsoft.com/office/drawing/2014/main" id="{04A049FC-7979-4595-AB13-F7B8731181F6}"/>
            </a:ext>
          </a:extLst>
        </xdr:cNvPr>
        <xdr:cNvPicPr>
          <a:picLocks noChangeAspect="1"/>
        </xdr:cNvPicPr>
      </xdr:nvPicPr>
      <xdr:blipFill>
        <a:blip xmlns:r="http://schemas.openxmlformats.org/officeDocument/2006/relationships" r:embed="rId1" cstate="print"/>
        <a:stretch>
          <a:fillRect/>
        </a:stretch>
      </xdr:blipFill>
      <xdr:spPr>
        <a:xfrm>
          <a:off x="8107681" y="5063619"/>
          <a:ext cx="3329303" cy="61073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19050</xdr:colOff>
      <xdr:row>15</xdr:row>
      <xdr:rowOff>9525</xdr:rowOff>
    </xdr:from>
    <xdr:to>
      <xdr:col>14</xdr:col>
      <xdr:colOff>380376</xdr:colOff>
      <xdr:row>25</xdr:row>
      <xdr:rowOff>589938</xdr:rowOff>
    </xdr:to>
    <xdr:pic>
      <xdr:nvPicPr>
        <xdr:cNvPr id="2" name="Рисунок 1">
          <a:extLst>
            <a:ext uri="{FF2B5EF4-FFF2-40B4-BE49-F238E27FC236}">
              <a16:creationId xmlns:a16="http://schemas.microsoft.com/office/drawing/2014/main" id="{4224585B-77E0-4317-B889-D35551F1FDAF}"/>
            </a:ext>
          </a:extLst>
        </xdr:cNvPr>
        <xdr:cNvPicPr>
          <a:picLocks noChangeAspect="1"/>
        </xdr:cNvPicPr>
      </xdr:nvPicPr>
      <xdr:blipFill>
        <a:blip xmlns:r="http://schemas.openxmlformats.org/officeDocument/2006/relationships" r:embed="rId1" cstate="print"/>
        <a:stretch>
          <a:fillRect/>
        </a:stretch>
      </xdr:blipFill>
      <xdr:spPr>
        <a:xfrm>
          <a:off x="7315200" y="3248025"/>
          <a:ext cx="4990476" cy="6742857"/>
        </a:xfrm>
        <a:prstGeom prst="rect">
          <a:avLst/>
        </a:prstGeom>
      </xdr:spPr>
    </xdr:pic>
    <xdr:clientData/>
  </xdr:twoCellAnchor>
  <xdr:twoCellAnchor editAs="oneCell">
    <xdr:from>
      <xdr:col>8</xdr:col>
      <xdr:colOff>20955</xdr:colOff>
      <xdr:row>33</xdr:row>
      <xdr:rowOff>79375</xdr:rowOff>
    </xdr:from>
    <xdr:to>
      <xdr:col>14</xdr:col>
      <xdr:colOff>412760</xdr:colOff>
      <xdr:row>42</xdr:row>
      <xdr:rowOff>379847</xdr:rowOff>
    </xdr:to>
    <xdr:pic>
      <xdr:nvPicPr>
        <xdr:cNvPr id="3" name="Рисунок 2">
          <a:extLst>
            <a:ext uri="{FF2B5EF4-FFF2-40B4-BE49-F238E27FC236}">
              <a16:creationId xmlns:a16="http://schemas.microsoft.com/office/drawing/2014/main" id="{D0925C71-0CB9-4D11-AC04-2EA7C282B06E}"/>
            </a:ext>
          </a:extLst>
        </xdr:cNvPr>
        <xdr:cNvPicPr>
          <a:picLocks noChangeAspect="1"/>
        </xdr:cNvPicPr>
      </xdr:nvPicPr>
      <xdr:blipFill>
        <a:blip xmlns:r="http://schemas.openxmlformats.org/officeDocument/2006/relationships" r:embed="rId2" cstate="print"/>
        <a:stretch>
          <a:fillRect/>
        </a:stretch>
      </xdr:blipFill>
      <xdr:spPr>
        <a:xfrm>
          <a:off x="7529195" y="15075535"/>
          <a:ext cx="5146685" cy="7371832"/>
        </a:xfrm>
        <a:prstGeom prst="rect">
          <a:avLst/>
        </a:prstGeom>
      </xdr:spPr>
    </xdr:pic>
    <xdr:clientData/>
  </xdr:twoCellAnchor>
  <xdr:twoCellAnchor editAs="oneCell">
    <xdr:from>
      <xdr:col>8</xdr:col>
      <xdr:colOff>139700</xdr:colOff>
      <xdr:row>47</xdr:row>
      <xdr:rowOff>140335</xdr:rowOff>
    </xdr:from>
    <xdr:to>
      <xdr:col>14</xdr:col>
      <xdr:colOff>434359</xdr:colOff>
      <xdr:row>53</xdr:row>
      <xdr:rowOff>80120</xdr:rowOff>
    </xdr:to>
    <xdr:pic>
      <xdr:nvPicPr>
        <xdr:cNvPr id="4" name="Рисунок 3">
          <a:extLst>
            <a:ext uri="{FF2B5EF4-FFF2-40B4-BE49-F238E27FC236}">
              <a16:creationId xmlns:a16="http://schemas.microsoft.com/office/drawing/2014/main" id="{ECD38490-9A07-46F2-9A64-B623402AD1E4}"/>
            </a:ext>
          </a:extLst>
        </xdr:cNvPr>
        <xdr:cNvPicPr>
          <a:picLocks noChangeAspect="1"/>
        </xdr:cNvPicPr>
      </xdr:nvPicPr>
      <xdr:blipFill>
        <a:blip xmlns:r="http://schemas.openxmlformats.org/officeDocument/2006/relationships" r:embed="rId3" cstate="print"/>
        <a:stretch>
          <a:fillRect/>
        </a:stretch>
      </xdr:blipFill>
      <xdr:spPr>
        <a:xfrm>
          <a:off x="7647940" y="24199215"/>
          <a:ext cx="5049539" cy="41866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0</xdr:colOff>
      <xdr:row>16</xdr:row>
      <xdr:rowOff>0</xdr:rowOff>
    </xdr:from>
    <xdr:to>
      <xdr:col>39</xdr:col>
      <xdr:colOff>215428</xdr:colOff>
      <xdr:row>34</xdr:row>
      <xdr:rowOff>1356574</xdr:rowOff>
    </xdr:to>
    <xdr:pic>
      <xdr:nvPicPr>
        <xdr:cNvPr id="2" name="Рисунок 1">
          <a:extLst>
            <a:ext uri="{FF2B5EF4-FFF2-40B4-BE49-F238E27FC236}">
              <a16:creationId xmlns:a16="http://schemas.microsoft.com/office/drawing/2014/main" id="{38E3AC4B-67CC-4309-81E1-00EC4DAF3A9A}"/>
            </a:ext>
          </a:extLst>
        </xdr:cNvPr>
        <xdr:cNvPicPr>
          <a:picLocks noChangeAspect="1"/>
        </xdr:cNvPicPr>
      </xdr:nvPicPr>
      <xdr:blipFill>
        <a:blip xmlns:r="http://schemas.openxmlformats.org/officeDocument/2006/relationships" r:embed="rId1" cstate="print"/>
        <a:stretch>
          <a:fillRect/>
        </a:stretch>
      </xdr:blipFill>
      <xdr:spPr>
        <a:xfrm>
          <a:off x="17116425" y="4048125"/>
          <a:ext cx="18236728" cy="9955109"/>
        </a:xfrm>
        <a:prstGeom prst="rect">
          <a:avLst/>
        </a:prstGeom>
      </xdr:spPr>
    </xdr:pic>
    <xdr:clientData/>
  </xdr:twoCellAnchor>
  <xdr:twoCellAnchor editAs="oneCell">
    <xdr:from>
      <xdr:col>12</xdr:col>
      <xdr:colOff>345440</xdr:colOff>
      <xdr:row>15</xdr:row>
      <xdr:rowOff>162560</xdr:rowOff>
    </xdr:from>
    <xdr:to>
      <xdr:col>20</xdr:col>
      <xdr:colOff>106385</xdr:colOff>
      <xdr:row>31</xdr:row>
      <xdr:rowOff>197559</xdr:rowOff>
    </xdr:to>
    <xdr:pic>
      <xdr:nvPicPr>
        <xdr:cNvPr id="3" name="Рисунок 2">
          <a:extLst>
            <a:ext uri="{FF2B5EF4-FFF2-40B4-BE49-F238E27FC236}">
              <a16:creationId xmlns:a16="http://schemas.microsoft.com/office/drawing/2014/main" id="{CEF33EBF-84BF-CDD6-4FED-229F52ABC9E4}"/>
            </a:ext>
          </a:extLst>
        </xdr:cNvPr>
        <xdr:cNvPicPr>
          <a:picLocks noChangeAspect="1"/>
        </xdr:cNvPicPr>
      </xdr:nvPicPr>
      <xdr:blipFill>
        <a:blip xmlns:r="http://schemas.openxmlformats.org/officeDocument/2006/relationships" r:embed="rId2" cstate="print"/>
        <a:stretch>
          <a:fillRect/>
        </a:stretch>
      </xdr:blipFill>
      <xdr:spPr>
        <a:xfrm>
          <a:off x="9611360" y="4785360"/>
          <a:ext cx="7645105" cy="6435799"/>
        </a:xfrm>
        <a:prstGeom prst="rect">
          <a:avLst/>
        </a:prstGeom>
      </xdr:spPr>
    </xdr:pic>
    <xdr:clientData/>
  </xdr:twoCellAnchor>
  <xdr:twoCellAnchor editAs="oneCell">
    <xdr:from>
      <xdr:col>12</xdr:col>
      <xdr:colOff>375920</xdr:colOff>
      <xdr:row>32</xdr:row>
      <xdr:rowOff>10160</xdr:rowOff>
    </xdr:from>
    <xdr:to>
      <xdr:col>20</xdr:col>
      <xdr:colOff>73842</xdr:colOff>
      <xdr:row>40</xdr:row>
      <xdr:rowOff>136228</xdr:rowOff>
    </xdr:to>
    <xdr:pic>
      <xdr:nvPicPr>
        <xdr:cNvPr id="4" name="Рисунок 3">
          <a:extLst>
            <a:ext uri="{FF2B5EF4-FFF2-40B4-BE49-F238E27FC236}">
              <a16:creationId xmlns:a16="http://schemas.microsoft.com/office/drawing/2014/main" id="{9523B5D5-93E7-485A-8251-5DDE00247950}"/>
            </a:ext>
          </a:extLst>
        </xdr:cNvPr>
        <xdr:cNvPicPr>
          <a:picLocks noChangeAspect="1"/>
        </xdr:cNvPicPr>
      </xdr:nvPicPr>
      <xdr:blipFill>
        <a:blip xmlns:r="http://schemas.openxmlformats.org/officeDocument/2006/relationships" r:embed="rId3" cstate="print"/>
        <a:stretch>
          <a:fillRect/>
        </a:stretch>
      </xdr:blipFill>
      <xdr:spPr>
        <a:xfrm>
          <a:off x="9641840" y="11541760"/>
          <a:ext cx="7582082" cy="9188788"/>
        </a:xfrm>
        <a:prstGeom prst="rect">
          <a:avLst/>
        </a:prstGeom>
      </xdr:spPr>
    </xdr:pic>
    <xdr:clientData/>
  </xdr:twoCellAnchor>
  <xdr:twoCellAnchor editAs="oneCell">
    <xdr:from>
      <xdr:col>12</xdr:col>
      <xdr:colOff>304800</xdr:colOff>
      <xdr:row>69</xdr:row>
      <xdr:rowOff>1036320</xdr:rowOff>
    </xdr:from>
    <xdr:to>
      <xdr:col>19</xdr:col>
      <xdr:colOff>483294</xdr:colOff>
      <xdr:row>98</xdr:row>
      <xdr:rowOff>111760</xdr:rowOff>
    </xdr:to>
    <xdr:pic>
      <xdr:nvPicPr>
        <xdr:cNvPr id="8" name="Рисунок 7">
          <a:extLst>
            <a:ext uri="{FF2B5EF4-FFF2-40B4-BE49-F238E27FC236}">
              <a16:creationId xmlns:a16="http://schemas.microsoft.com/office/drawing/2014/main" id="{8B0D0D49-50B3-4525-ADFB-0B714D9D14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16440" y="39227760"/>
          <a:ext cx="7112694" cy="10058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112569</xdr:colOff>
      <xdr:row>13</xdr:row>
      <xdr:rowOff>34637</xdr:rowOff>
    </xdr:from>
    <xdr:to>
      <xdr:col>11</xdr:col>
      <xdr:colOff>352639</xdr:colOff>
      <xdr:row>28</xdr:row>
      <xdr:rowOff>581477</xdr:rowOff>
    </xdr:to>
    <xdr:pic>
      <xdr:nvPicPr>
        <xdr:cNvPr id="2" name="Рисунок 1">
          <a:extLst>
            <a:ext uri="{FF2B5EF4-FFF2-40B4-BE49-F238E27FC236}">
              <a16:creationId xmlns:a16="http://schemas.microsoft.com/office/drawing/2014/main" id="{6FE0FA5A-9AE7-4080-4621-311A7E5DD970}"/>
            </a:ext>
          </a:extLst>
        </xdr:cNvPr>
        <xdr:cNvPicPr>
          <a:picLocks noChangeAspect="1"/>
        </xdr:cNvPicPr>
      </xdr:nvPicPr>
      <xdr:blipFill>
        <a:blip xmlns:r="http://schemas.openxmlformats.org/officeDocument/2006/relationships" r:embed="rId1" cstate="print"/>
        <a:stretch>
          <a:fillRect/>
        </a:stretch>
      </xdr:blipFill>
      <xdr:spPr>
        <a:xfrm>
          <a:off x="8052955" y="2251364"/>
          <a:ext cx="5219048" cy="4780952"/>
        </a:xfrm>
        <a:prstGeom prst="rect">
          <a:avLst/>
        </a:prstGeom>
      </xdr:spPr>
    </xdr:pic>
    <xdr:clientData/>
  </xdr:twoCellAnchor>
  <xdr:twoCellAnchor editAs="oneCell">
    <xdr:from>
      <xdr:col>9</xdr:col>
      <xdr:colOff>701040</xdr:colOff>
      <xdr:row>36</xdr:row>
      <xdr:rowOff>132080</xdr:rowOff>
    </xdr:from>
    <xdr:to>
      <xdr:col>15</xdr:col>
      <xdr:colOff>163254</xdr:colOff>
      <xdr:row>80</xdr:row>
      <xdr:rowOff>56776</xdr:rowOff>
    </xdr:to>
    <xdr:pic>
      <xdr:nvPicPr>
        <xdr:cNvPr id="4" name="Рисунок 3">
          <a:extLst>
            <a:ext uri="{FF2B5EF4-FFF2-40B4-BE49-F238E27FC236}">
              <a16:creationId xmlns:a16="http://schemas.microsoft.com/office/drawing/2014/main" id="{C1B437DD-26C2-4A51-834A-D66F8FE4D3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90000" y="11033760"/>
          <a:ext cx="7112694" cy="10058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202406</xdr:colOff>
      <xdr:row>0</xdr:row>
      <xdr:rowOff>0</xdr:rowOff>
    </xdr:from>
    <xdr:to>
      <xdr:col>5</xdr:col>
      <xdr:colOff>714375</xdr:colOff>
      <xdr:row>2</xdr:row>
      <xdr:rowOff>7697</xdr:rowOff>
    </xdr:to>
    <xdr:pic>
      <xdr:nvPicPr>
        <xdr:cNvPr id="2" name="Рисунок 1">
          <a:extLst>
            <a:ext uri="{FF2B5EF4-FFF2-40B4-BE49-F238E27FC236}">
              <a16:creationId xmlns:a16="http://schemas.microsoft.com/office/drawing/2014/main" id="{FBEB5C1F-F882-43E9-A3DE-005768737097}"/>
            </a:ext>
          </a:extLst>
        </xdr:cNvPr>
        <xdr:cNvPicPr>
          <a:picLocks noChangeAspect="1"/>
        </xdr:cNvPicPr>
      </xdr:nvPicPr>
      <xdr:blipFill>
        <a:blip xmlns:r="http://schemas.openxmlformats.org/officeDocument/2006/relationships" r:embed="rId1" cstate="print"/>
        <a:stretch>
          <a:fillRect/>
        </a:stretch>
      </xdr:blipFill>
      <xdr:spPr>
        <a:xfrm>
          <a:off x="9632156" y="0"/>
          <a:ext cx="511969" cy="5601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ortachev\Analitzapiska\&#1041;&#1072;&#1083;&#1072;&#1085;&#1089;\An(EsMon)\SC_W\&#1055;&#1088;&#1086;&#1075;&#1085;&#1086;&#1079;\&#1055;&#1088;&#1086;&#1075;05_00(27.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pk.local\fs\MER_Departments\&#1044;03%20&#1044;&#1077;&#1087;&#1072;&#1088;&#1090;&#1072;&#1084;&#1077;&#1085;&#1090;%20&#1084;&#1072;&#1082;&#1088;&#1086;&#1101;&#1082;&#1086;&#1085;&#1086;&#1084;&#1080;&#1095;&#1077;&#1089;&#1082;&#1086;&#1075;&#1086;%20&#1072;&#1085;&#1072;&#1083;&#1080;&#1079;&#1072;%20&#1080;%20&#1087;&#1088;&#1086;&#1075;&#1085;&#1086;&#1079;&#1080;&#1088;&#1086;&#1074;&#1072;&#1085;&#1080;&#1103;\DEPOSIT\&#1044;&#1072;&#1085;&#1085;&#1099;&#1077;\&#1041;&#1072;&#1079;&#1099;\&#1088;&#1077;&#1072;&#1083;.&#1055;&#1088;&#1086;&#1084;&#1099;&#1096;&#1083;&#1077;&#1085;&#1085;&#1086;&#1089;&#1090;&#1100;\Data_Industrial%20PR_&#1052;&#1072;&#1082;&#1077;&#1090;%202020_&#1045;&#1042;_+&#1055;&#1056;_.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Y:\DEPOSIT\&#1044;&#1072;&#1085;&#1085;&#1099;&#1077;\&#1041;&#1072;&#1079;&#1099;\&#1088;&#1077;&#1072;&#1083;.&#1055;&#1088;&#1086;&#1084;&#1099;&#1096;&#1083;&#1077;&#1085;&#1085;&#1086;&#1089;&#1090;&#1100;\Data_Industrial%20production.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Y:\DOCS_7_PRICES\&#1042;&#1042;&#1055;\2.%20&#1055;&#1088;&#1086;&#1075;&#1085;&#1086;&#1079;%20(Calc)\2020\0.%20&#1042;&#1074;&#1086;&#1076;&#1085;&#1099;&#1077;\&#1041;&#1072;&#1079;&#1086;&#1074;&#1099;&#1081;\&#1057;&#1088;&#1077;&#1076;&#1085;&#1077;&#1089;&#1088;&#1086;&#1095;&#1082;&#1072;\200820\200820_CALC_&#1042;&#1042;&#1055;%20&#1076;&#1086;%2030.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ushinaon\Documents%20and%20Settings\Ievleva\Local%20Settings\Temporary%20Internet%20Files\Content.Outlook\XTAUZLZV\&#1072;&#1074;&#1075;-&#1089;&#1077;&#1085;&#1090;2011\&#1089;&#1088;&#1072;&#1074;&#1085;&#1077;&#1085;&#1080;&#1077;%20&#1080;&#1085;&#1074;&#1077;&#1089;&#1090;&#1087;&#1083;&#1072;&#1085;&#1086;&#1074;%20&#1082;&#1086;&#1084;&#1087;&#1072;&#1085;&#1080;&#1081;%20&#1058;&#1069;&#1050;&#1072;_10&#1072;&#1074;&#1075;20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dep03n\&#1057;&#1077;&#1090;&#1077;&#1074;&#1086;&#1081;%20&#1076;&#1080;&#1089;&#1082;%20Z\portachev\&#1057;&#1090;&#1072;&#1090;&#1080;&#1089;&#1090;&#1080;&#1082;&#1072;%20&#1094;&#1077;&#1085;%20&#1080;%20&#1092;&#1080;&#1085;&#1072;&#1085;&#1089;&#1086;&#1074;\&#1052;&#1086;&#1080;%20&#1076;&#1086;&#1082;&#1091;&#1084;&#1077;&#1085;&#1090;&#1099;\&#1052;&#1054;&#1041;\06-03-06\Var2.7%20(version%201).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multilat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opovev\&#1073;&#1072;&#1079;&#1072;%20&#1076;&#1072;&#1085;&#1085;&#1099;&#1093;\&#1044;&#1086;&#1093;&#1086;&#1076;&#1099;\&#1053;&#1072;&#1083;&#1086;&#1075;&#1086;&#1074;&#1099;&#1077;%20&#1076;&#1086;&#1093;&#1086;&#1076;&#1099;\&#1054;&#1090;&#1087;&#1088;&#1072;&#1074;&#1083;&#1077;&#1085;&#1086;\27_03_06\Documents%20and%20Settings\&#1040;&#1076;&#1084;&#1080;&#1085;&#1080;&#1089;&#1090;&#1088;&#1072;&#1090;&#1086;&#1088;\&#1052;&#1086;&#1080;%20&#1076;&#1086;&#1082;&#1091;&#1084;&#1077;&#1085;&#1090;&#1099;\&#1043;.&#1052;.&#1043;&#1088;&#1077;&#1073;&#1077;&#1085;&#1100;\&#1044;&#1086;&#1093;&#1086;&#1076;&#1099;\&#1092;&#1077;&#1074;&#1088;06\DOCUME~1\Admin\LOCALS~1\Temp\OutPutReports\Media\TablesYearToYea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ortachev\Analitzapiska\Documents%20and%20Settings\Nahimovskay\Local%20Settings\Temporary%20Internet%20Files\OLK35\&#1050;&#1086;&#1087;&#1080;&#1103;%20V2.200721&#1072;&#1087;&#1088;&#1077;&#1083;&#1103;&#1091;&#1090;&#1086;&#1095;&#108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1041;&#1072;&#1083;&#1072;&#1085;&#1089;\An(EsMon)\7.02.01\V&#1045;&#1052;_2001.5.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opovev\&#1073;&#1072;&#1079;&#1072;%20&#1076;&#1072;&#1085;&#1085;&#1099;&#1093;\&#1054;&#1090;&#1087;&#1088;&#1072;&#1074;&#1083;&#1077;&#1085;&#1086;\&#1086;&#1090;&#1087;&#1088;&#1072;&#1074;&#1083;&#1077;&#1085;&#1086;_14_03_2006\FIN\&#1044;&#1086;&#1093;&#1086;&#1076;&#1099;%20&#1073;&#1102;&#1076;&#1078;&#1077;&#1090;&#1085;&#1086;&#1081;%20&#1089;&#1080;&#1089;&#1090;&#1077;&#1084;&#1099;\&#1055;&#1088;&#1086;&#1075;&#1085;&#1086;&#1079;\&#1089;&#1074;&#1086;&#1076;%20&#1076;&#1086;&#1093;&#1086;&#1076;&#1086;&#1074;\2005-2007\&#1072;&#1074;&#1075;&#1091;&#1089;&#1090;%2004\OutPutReports\Media\TablesYearToYe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Nahimovskay\Documents\2016-def\&#1092;&#1077;&#1074;&#1088;&#1072;&#1083;&#1100;\v%20&#1073;&#1072;&#1079;&#1072;%205%2002%202016-&#1085;&#1072;&#1093;-35%20+40-3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EPOSIT\&#1044;&#1072;&#1085;&#1085;&#1099;&#1077;\&#1041;&#1072;&#1079;&#1099;\&#1088;&#1077;&#1072;&#1083;.&#1055;&#1088;&#1086;&#1084;&#1099;&#1096;&#1083;&#1077;&#1085;&#1085;&#1086;&#1089;&#1090;&#1100;\Data_Industrial%20P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dep03n\&#1057;&#1077;&#1090;&#1077;&#1074;&#1086;&#1081;%20&#1076;&#1080;&#1089;&#1082;%20Z\srvdep03n\&#1057;&#1077;&#1090;&#1077;&#1074;&#1086;&#1081;%20&#1076;&#1080;&#1089;&#1082;%20Z\Documents%20and%20Settings\Ievleva\Local%20Settings\Temporary%20Internet%20Files\Content.Outlook\XTAUZLZV\&#1072;&#1074;&#1075;-&#1089;&#1077;&#1085;&#1090;2011\&#1089;&#1088;&#1072;&#1074;&#1085;&#1077;&#1085;&#1080;&#1077;%20&#1080;&#1085;&#1074;&#1077;&#1089;&#1090;&#1087;&#1083;&#1072;&#1085;&#1086;&#1074;%20&#1082;&#1086;&#1084;&#1087;&#1072;&#1085;&#1080;&#1081;%20&#1058;&#1069;&#1050;&#1072;_10&#1072;&#1074;&#1075;20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opovev\&#1073;&#1072;&#1079;&#1072;%20&#1076;&#1072;&#1085;&#1085;&#1099;&#1093;\&#1055;&#1086;&#1103;&#1089;&#1085;&#1080;&#1090;&#1077;&#1083;&#1100;&#1085;&#1099;&#1077;%20&#1079;&#1072;&#1087;&#1080;&#1089;&#1082;&#1080;\4%20&#1072;&#1074;&#1075;&#1091;&#1089;&#1090;&#1072;%202006\Documents%20and%20Settings\Ustinov\Local%20Settings\Temporary%20Internet%20Files\OLK2B0\&#1054;&#1090;&#1087;&#1088;&#1072;&#1074;&#1083;&#1077;&#1085;&#1086;\brp\&#1043;&#1059;&#1060;&#1050;\GUF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opovev\&#1073;&#1072;&#1079;&#1072;%20&#1076;&#1072;&#1085;&#1085;&#1099;&#1093;\&#1044;&#1086;&#1093;&#1086;&#1076;&#1099;\&#1053;&#1072;&#1083;&#1086;&#1075;&#1086;&#1074;&#1099;&#1077;%20&#1076;&#1086;&#1093;&#1086;&#1076;&#1099;\&#1053;&#1044;&#1057;\&#1054;&#1090;&#1087;&#1088;&#1072;&#1074;&#1083;&#1077;&#1085;&#1086;\27_03_06\Documents%20and%20Settings\&#1040;&#1076;&#1084;&#1080;&#1085;&#1080;&#1089;&#1090;&#1088;&#1072;&#1090;&#1086;&#1088;\&#1052;&#1086;&#1080;%20&#1076;&#1086;&#1082;&#1091;&#1084;&#1077;&#1085;&#1090;&#1099;\&#1043;.&#1052;.&#1043;&#1088;&#1077;&#1073;&#1077;&#1085;&#1100;\&#1044;&#1086;&#1093;&#1086;&#1076;&#1099;\&#1092;&#1077;&#1074;&#1088;06\DOCUME~1\Admin\LOCALS~1\Temp\OutPutReports\Media\TablesYearToYe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pk.local\fs\DOCS_1_SVOD\&#1055;&#1077;&#1090;&#1088;&#1086;&#1074;\&#1054;&#1090;&#1095;&#1077;&#1090;&#1099;\&#1055;&#1088;&#1086;&#1084;&#1099;&#1096;&#1083;&#1077;&#1085;&#1085;&#1086;&#1089;&#1090;&#1100;\Data_Industrial%20PR_&#1052;&#1072;&#1082;&#1077;&#1090;%202020_&#1045;&#1042;_+&#1055;&#1056;_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1052;&#1086;&#1080;%20&#1076;&#1086;&#1082;&#1091;&#1084;&#1077;&#1085;&#1090;&#1099;\&#1052;&#1054;&#1041;\06-03-06\Var2.7%20(version%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ortachev\Analitzapiska\&#1041;&#1072;&#1083;&#1072;&#1085;&#1089;\An(EsMon)\7.02.01\&#1061;&#1072;&#1085;&#1086;&#1074;&#1072;\&#1043;&#1088;(27.07.00)5&#1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ГНОЗ_1"/>
      <sheetName val="Гр5(о)"/>
      <sheetName val="2002(v2)"/>
      <sheetName val="ПР_627"/>
      <sheetName val="топография"/>
      <sheetName val="1кв."/>
      <sheetName val="2кв."/>
      <sheetName val="3кв."/>
      <sheetName val="4кв."/>
      <sheetName val="ТИТУЛ"/>
      <sheetName val="6.14"/>
      <sheetName val="ОБЩЕСТВА"/>
      <sheetName val="1.  Исходная инф. и свод"/>
      <sheetName val="план индексы"/>
      <sheetName val="Исходные данные"/>
      <sheetName val="доходы ТЭК СПБ (всего 17095,7)"/>
      <sheetName val="доходы ТЭК СПБ (всего 16463,2)"/>
      <sheetName val="доходы транзит"/>
      <sheetName val="Анализ пл.усл."/>
      <sheetName val="платные услуги"/>
      <sheetName val="Доходы за подключение"/>
      <sheetName val="т_эн и тр"/>
      <sheetName val="Эл-эн ВСЕГО"/>
      <sheetName val="Топливо ВСЕГО заявка сл 16463,2"/>
      <sheetName val="Топливо ВСЕГО 16463,2"/>
      <sheetName val="Топливо ВСЕГО заявка сл 17095,7"/>
      <sheetName val="Вода ВСЕГО 16463,2"/>
      <sheetName val="Вода ВСЕГО 17095,7"/>
      <sheetName val="Покупка"/>
      <sheetName val="Смета 2013"/>
      <sheetName val="Смета 2013 транзит"/>
      <sheetName val="расх на подключение"/>
      <sheetName val="доходы ТЭК СПБ (город 16431)"/>
      <sheetName val="доходы ТЭК СПБ (город 17064,4)"/>
      <sheetName val="доходы ТЭК СПБ (Заневка 48)"/>
      <sheetName val="доходы Кащенко"/>
      <sheetName val="расчет разницы амортиз"/>
      <sheetName val="1999-veca"/>
      <sheetName val="Заголовок"/>
      <sheetName val="Приложение 3"/>
      <sheetName val="Справочники"/>
      <sheetName val="Данные"/>
      <sheetName val="2002(v1)"/>
      <sheetName val="Параметры"/>
      <sheetName val="Лист1"/>
      <sheetName val="Текущие цены"/>
      <sheetName val="рабочий"/>
      <sheetName val="окраска"/>
      <sheetName val="тар"/>
      <sheetName val="т1.15(смета8а)"/>
      <sheetName val="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MoM"/>
      <sheetName val="Лист1"/>
      <sheetName val="YoY"/>
      <sheetName val="YtD"/>
      <sheetName val="Tab"/>
      <sheetName val="A&amp;Q data"/>
      <sheetName val="Report_tab"/>
      <sheetName val="RepTab MoM"/>
      <sheetName val="для БАРа"/>
      <sheetName val="ta"/>
      <sheetName val="Charts (2)"/>
      <sheetName val="Charts"/>
      <sheetName val="пп"/>
      <sheetName val="мониторинг 778"/>
      <sheetName val="инфографика"/>
      <sheetName val="обработка"/>
      <sheetName val="обработка (2)"/>
      <sheetName val="добыча"/>
      <sheetName val="добыча (2)"/>
      <sheetName val="Очистка от календаря"/>
      <sheetName val="Charts_sa"/>
      <sheetName val="Переменные"/>
      <sheetName val="табл для монит"/>
      <sheetName val="графики для монит"/>
      <sheetName val="CEIC Data"/>
      <sheetName val="Лист2"/>
      <sheetName val="Лист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B1" t="str">
            <v>_m</v>
          </cell>
        </row>
        <row r="2">
          <cell r="B2" t="str">
            <v>_q</v>
          </cell>
        </row>
        <row r="3">
          <cell r="B3" t="str">
            <v>_y</v>
          </cell>
        </row>
      </sheetData>
      <sheetData sheetId="23"/>
      <sheetData sheetId="24"/>
      <sheetData sheetId="25"/>
      <sheetData sheetId="26"/>
      <sheetData sheetId="2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CEIC Data"/>
      <sheetName val="input_mom_m"/>
      <sheetName val="input_yoy_m"/>
      <sheetName val="input_ytd_m"/>
      <sheetName val="input_y_HYBRID"/>
      <sheetName val="Final_q"/>
      <sheetName val="Final_y"/>
      <sheetName val="Final_m"/>
      <sheetName val="Charts"/>
      <sheetName val="Output tables"/>
      <sheetName val="графики для монит"/>
      <sheetName val="табл для монит"/>
      <sheetName val="D-out t"/>
      <sheetName val="D-out sa"/>
      <sheetName val="D-in"/>
      <sheetName val="Оглавление для удобства"/>
      <sheetName val="Переменные"/>
      <sheetName val="Инструкции"/>
      <sheetName val="Klimovets 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2">
          <cell r="B12" t="str">
            <v>_q</v>
          </cell>
        </row>
      </sheetData>
      <sheetData sheetId="18"/>
      <sheetData sheetId="1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ition_отправка"/>
      <sheetName val="Макро Выход"/>
      <sheetName val="проверялка"/>
      <sheetName val="Изм!!!"/>
      <sheetName val="Свод"/>
      <sheetName val="Лист1"/>
      <sheetName val="Э-И"/>
      <sheetName val="ЕХ"/>
      <sheetName val="IM"/>
      <sheetName val="9.Экспорт"/>
      <sheetName val="Исп"/>
      <sheetName val="1.ВВП (исп.дин.)"/>
      <sheetName val="2.ВВП (исп.вкл.)"/>
      <sheetName val="1.ВВП (ИД)"/>
      <sheetName val="4.ВВП (исп.свод.)"/>
      <sheetName val="8.Ст-ра (эк.им.)"/>
      <sheetName val="ФТС"/>
      <sheetName val="ТЭК г"/>
      <sheetName val="ТЭК кв"/>
      <sheetName val="Ц Газ"/>
      <sheetName val="Ц Газ (к печ)"/>
      <sheetName val="Сч Пр-ва"/>
      <sheetName val="ИПП А печ"/>
      <sheetName val="ИПП А расчет"/>
      <sheetName val="5.ВВП (произв.)"/>
      <sheetName val="5а.ВВП (произв.-стр-ра)"/>
      <sheetName val="5б.ВВП (номин)"/>
      <sheetName val="Курс"/>
      <sheetName val="Акцизы"/>
      <sheetName val="3.ВВП (исп.стр.)"/>
      <sheetName val="6.ВВП (дох.)"/>
      <sheetName val="7.Промышленность"/>
      <sheetName val="10.Импорт"/>
      <sheetName val="11.Внеш.торг"/>
      <sheetName val="13.Цен.газ"/>
      <sheetName val="Внеш.торг превью и счёт"/>
      <sheetName val="МОН"/>
      <sheetName val="налоги"/>
      <sheetName val="Дох"/>
      <sheetName val="ПБ "/>
      <sheetName val="ТЭК уточн"/>
      <sheetName val="Доходы (нак.)"/>
      <sheetName val="БС"/>
      <sheetName val="Образ дох Табл 35b (2)"/>
      <sheetName val="ввп струк в пред. ц."/>
      <sheetName val="Дох и налоги"/>
      <sheetName val="Дох и налоги Печ"/>
      <sheetName val="It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ЭК было-стало"/>
      <sheetName val="сравнение инвестпланов компаний"/>
      <sheetName val="VAT returns"/>
    </sheetNames>
    <definedNames>
      <definedName name="short" refersTo="#ССЫЛКА!"/>
      <definedName name="суда" refersTo="#ССЫЛКА!"/>
      <definedName name="ыяпр" refersTo="#ССЫЛКА!"/>
    </defined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екущие цены"/>
      <sheetName val="рабочий"/>
      <sheetName val="окраска"/>
      <sheetName val="Огл. Графиков"/>
      <sheetName val="МОБ03"/>
      <sheetName val="МОБ04"/>
      <sheetName val="МОБ04_старый"/>
      <sheetName val="2005сц"/>
      <sheetName val="Темпы промышл"/>
      <sheetName val="Temp"/>
      <sheetName val="Deflator"/>
      <sheetName val="Matrix"/>
      <sheetName val="Лист2"/>
      <sheetName val="Matrix (2)"/>
      <sheetName val="В_2оп_цены"/>
      <sheetName val="Лист4"/>
      <sheetName val="2005 - 2008 текущие цены"/>
      <sheetName val="Печать_V2"/>
      <sheetName val="Печ 2оп"/>
      <sheetName val="СводБВ"/>
      <sheetName val="Отр"/>
      <sheetName val="ОГУ"/>
      <sheetName val="ИОК"/>
      <sheetName val="Исходные данные"/>
      <sheetName val="Расчет"/>
      <sheetName val="Оглавление"/>
      <sheetName val="Печать Выпусков"/>
      <sheetName val="Печать ИОК"/>
      <sheetName val="Печать фондов"/>
      <sheetName val="Баланс ОФ"/>
      <sheetName val="Dealing_other bonds"/>
      <sheetName val="Проект"/>
      <sheetName val="Constants"/>
      <sheetName val="NIUs"/>
      <sheetName val="КлассНТМК"/>
      <sheetName val="Пр2"/>
      <sheetName val="Лист3"/>
      <sheetName val="Лист6"/>
      <sheetName val="факт возвр"/>
      <sheetName val="Лист20"/>
      <sheetName val="Лист8"/>
      <sheetName val="Лист16"/>
      <sheetName val="2010"/>
      <sheetName val="Лист17"/>
      <sheetName val="2010 (4)"/>
      <sheetName val="Лист18"/>
      <sheetName val="2010 (3)"/>
      <sheetName val="Лист14"/>
      <sheetName val="Лист19"/>
      <sheetName val="2010 (2)"/>
      <sheetName val="2011"/>
      <sheetName val="2012"/>
      <sheetName val="Лист22"/>
      <sheetName val="Лист21"/>
      <sheetName val="Лист23"/>
      <sheetName val="Лист25"/>
      <sheetName val="Лист24"/>
      <sheetName val="Лист26"/>
      <sheetName val="2002(v2)"/>
      <sheetName val="Гр5(о)"/>
      <sheetName val="Main"/>
      <sheetName val="ПРОГНОЗ_1"/>
      <sheetName val="rozvaha"/>
      <sheetName val="основн информ"/>
    </sheetNames>
    <sheetDataSet>
      <sheetData sheetId="0" refreshError="1">
        <row r="4">
          <cell r="Y4">
            <v>1</v>
          </cell>
          <cell r="Z4" t="e">
            <v>#REF!</v>
          </cell>
          <cell r="AA4" t="e">
            <v>#REF!</v>
          </cell>
          <cell r="AB4" t="e">
            <v>#REF!</v>
          </cell>
          <cell r="AC4" t="e">
            <v>#REF!</v>
          </cell>
          <cell r="AD4" t="e">
            <v>#REF!</v>
          </cell>
          <cell r="AE4" t="e">
            <v>#REF!</v>
          </cell>
          <cell r="AF4" t="e">
            <v>#REF!</v>
          </cell>
          <cell r="AG4" t="e">
            <v>#REF!</v>
          </cell>
          <cell r="AH4" t="e">
            <v>#REF!</v>
          </cell>
          <cell r="AI4" t="e">
            <v>#REF!</v>
          </cell>
          <cell r="AJ4" t="e">
            <v>#REF!</v>
          </cell>
          <cell r="AK4" t="e">
            <v>#REF!</v>
          </cell>
          <cell r="AL4" t="e">
            <v>#REF!</v>
          </cell>
          <cell r="AM4" t="e">
            <v>#REF!</v>
          </cell>
          <cell r="AN4" t="e">
            <v>#REF!</v>
          </cell>
          <cell r="AO4" t="e">
            <v>#REF!</v>
          </cell>
          <cell r="AP4" t="e">
            <v>#REF!</v>
          </cell>
        </row>
        <row r="5">
          <cell r="Y5">
            <v>1</v>
          </cell>
          <cell r="Z5" t="e">
            <v>#REF!</v>
          </cell>
          <cell r="AA5" t="e">
            <v>#REF!</v>
          </cell>
          <cell r="AB5" t="e">
            <v>#REF!</v>
          </cell>
          <cell r="AC5" t="e">
            <v>#REF!</v>
          </cell>
          <cell r="AD5" t="e">
            <v>#REF!</v>
          </cell>
          <cell r="AE5" t="e">
            <v>#REF!</v>
          </cell>
          <cell r="AF5" t="e">
            <v>#REF!</v>
          </cell>
          <cell r="AG5" t="e">
            <v>#REF!</v>
          </cell>
          <cell r="AH5" t="e">
            <v>#REF!</v>
          </cell>
          <cell r="AI5" t="e">
            <v>#REF!</v>
          </cell>
          <cell r="AJ5" t="e">
            <v>#REF!</v>
          </cell>
          <cell r="AK5" t="e">
            <v>#REF!</v>
          </cell>
          <cell r="AL5" t="e">
            <v>#REF!</v>
          </cell>
          <cell r="AM5" t="e">
            <v>#REF!</v>
          </cell>
          <cell r="AN5" t="e">
            <v>#REF!</v>
          </cell>
          <cell r="AO5" t="e">
            <v>#REF!</v>
          </cell>
          <cell r="AP5" t="e">
            <v>#REF!</v>
          </cell>
        </row>
        <row r="6">
          <cell r="Y6">
            <v>1</v>
          </cell>
          <cell r="Z6" t="e">
            <v>#REF!</v>
          </cell>
          <cell r="AA6" t="e">
            <v>#REF!</v>
          </cell>
          <cell r="AB6" t="e">
            <v>#REF!</v>
          </cell>
          <cell r="AC6" t="e">
            <v>#REF!</v>
          </cell>
          <cell r="AD6" t="e">
            <v>#REF!</v>
          </cell>
          <cell r="AE6" t="e">
            <v>#REF!</v>
          </cell>
          <cell r="AF6" t="e">
            <v>#REF!</v>
          </cell>
          <cell r="AG6" t="e">
            <v>#REF!</v>
          </cell>
          <cell r="AH6" t="e">
            <v>#REF!</v>
          </cell>
          <cell r="AI6" t="e">
            <v>#REF!</v>
          </cell>
          <cell r="AJ6" t="e">
            <v>#REF!</v>
          </cell>
          <cell r="AK6" t="e">
            <v>#REF!</v>
          </cell>
          <cell r="AL6" t="e">
            <v>#REF!</v>
          </cell>
          <cell r="AM6" t="e">
            <v>#REF!</v>
          </cell>
          <cell r="AN6" t="e">
            <v>#REF!</v>
          </cell>
          <cell r="AO6" t="e">
            <v>#REF!</v>
          </cell>
          <cell r="AP6" t="e">
            <v>#REF!</v>
          </cell>
        </row>
        <row r="7">
          <cell r="Y7">
            <v>1</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t="e">
            <v>#REF!</v>
          </cell>
          <cell r="AM7" t="e">
            <v>#REF!</v>
          </cell>
          <cell r="AN7" t="e">
            <v>#REF!</v>
          </cell>
          <cell r="AO7" t="e">
            <v>#REF!</v>
          </cell>
          <cell r="AP7" t="e">
            <v>#REF!</v>
          </cell>
        </row>
        <row r="8">
          <cell r="Y8">
            <v>1</v>
          </cell>
          <cell r="Z8" t="e">
            <v>#REF!</v>
          </cell>
          <cell r="AA8" t="e">
            <v>#REF!</v>
          </cell>
          <cell r="AB8" t="e">
            <v>#REF!</v>
          </cell>
          <cell r="AC8" t="e">
            <v>#REF!</v>
          </cell>
          <cell r="AD8" t="e">
            <v>#REF!</v>
          </cell>
          <cell r="AE8" t="e">
            <v>#REF!</v>
          </cell>
          <cell r="AF8" t="e">
            <v>#REF!</v>
          </cell>
          <cell r="AG8" t="e">
            <v>#REF!</v>
          </cell>
          <cell r="AH8" t="e">
            <v>#REF!</v>
          </cell>
          <cell r="AI8" t="e">
            <v>#REF!</v>
          </cell>
          <cell r="AJ8" t="e">
            <v>#REF!</v>
          </cell>
          <cell r="AK8" t="e">
            <v>#REF!</v>
          </cell>
          <cell r="AL8" t="e">
            <v>#REF!</v>
          </cell>
          <cell r="AM8" t="e">
            <v>#REF!</v>
          </cell>
          <cell r="AN8" t="e">
            <v>#REF!</v>
          </cell>
          <cell r="AO8" t="e">
            <v>#REF!</v>
          </cell>
          <cell r="AP8" t="e">
            <v>#REF!</v>
          </cell>
        </row>
        <row r="9">
          <cell r="Y9">
            <v>1</v>
          </cell>
          <cell r="Z9" t="e">
            <v>#REF!</v>
          </cell>
          <cell r="AA9" t="e">
            <v>#REF!</v>
          </cell>
          <cell r="AB9" t="e">
            <v>#REF!</v>
          </cell>
          <cell r="AC9" t="e">
            <v>#REF!</v>
          </cell>
          <cell r="AD9" t="e">
            <v>#REF!</v>
          </cell>
          <cell r="AE9" t="e">
            <v>#REF!</v>
          </cell>
          <cell r="AF9" t="e">
            <v>#REF!</v>
          </cell>
          <cell r="AG9" t="e">
            <v>#REF!</v>
          </cell>
          <cell r="AH9" t="e">
            <v>#REF!</v>
          </cell>
          <cell r="AI9" t="e">
            <v>#REF!</v>
          </cell>
          <cell r="AJ9" t="e">
            <v>#REF!</v>
          </cell>
          <cell r="AK9" t="e">
            <v>#REF!</v>
          </cell>
          <cell r="AL9" t="e">
            <v>#REF!</v>
          </cell>
          <cell r="AM9" t="e">
            <v>#REF!</v>
          </cell>
          <cell r="AN9" t="e">
            <v>#REF!</v>
          </cell>
          <cell r="AO9" t="e">
            <v>#REF!</v>
          </cell>
          <cell r="AP9" t="e">
            <v>#REF!</v>
          </cell>
        </row>
        <row r="10">
          <cell r="Y10">
            <v>1</v>
          </cell>
          <cell r="Z10" t="e">
            <v>#REF!</v>
          </cell>
          <cell r="AA10" t="e">
            <v>#REF!</v>
          </cell>
          <cell r="AB10" t="e">
            <v>#REF!</v>
          </cell>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cell r="AP10" t="e">
            <v>#REF!</v>
          </cell>
        </row>
        <row r="11">
          <cell r="Y11">
            <v>1</v>
          </cell>
          <cell r="Z11" t="e">
            <v>#REF!</v>
          </cell>
          <cell r="AA11" t="e">
            <v>#REF!</v>
          </cell>
          <cell r="AB11" t="e">
            <v>#REF!</v>
          </cell>
          <cell r="AC11" t="e">
            <v>#REF!</v>
          </cell>
          <cell r="AD11" t="e">
            <v>#REF!</v>
          </cell>
          <cell r="AE11" t="e">
            <v>#REF!</v>
          </cell>
          <cell r="AF11" t="e">
            <v>#REF!</v>
          </cell>
          <cell r="AG11" t="e">
            <v>#REF!</v>
          </cell>
          <cell r="AH11" t="e">
            <v>#REF!</v>
          </cell>
          <cell r="AI11" t="e">
            <v>#REF!</v>
          </cell>
          <cell r="AJ11" t="e">
            <v>#REF!</v>
          </cell>
          <cell r="AK11" t="e">
            <v>#REF!</v>
          </cell>
          <cell r="AL11" t="e">
            <v>#REF!</v>
          </cell>
          <cell r="AM11" t="e">
            <v>#REF!</v>
          </cell>
          <cell r="AN11" t="e">
            <v>#REF!</v>
          </cell>
          <cell r="AO11" t="e">
            <v>#REF!</v>
          </cell>
          <cell r="AP11" t="e">
            <v>#REF!</v>
          </cell>
        </row>
        <row r="12">
          <cell r="Y12">
            <v>1</v>
          </cell>
          <cell r="Z12" t="e">
            <v>#REF!</v>
          </cell>
          <cell r="AA12" t="e">
            <v>#REF!</v>
          </cell>
          <cell r="AB12" t="e">
            <v>#REF!</v>
          </cell>
          <cell r="AC12" t="e">
            <v>#REF!</v>
          </cell>
          <cell r="AD12" t="e">
            <v>#REF!</v>
          </cell>
          <cell r="AE12" t="e">
            <v>#REF!</v>
          </cell>
          <cell r="AF12" t="e">
            <v>#REF!</v>
          </cell>
          <cell r="AG12" t="e">
            <v>#REF!</v>
          </cell>
          <cell r="AH12" t="e">
            <v>#REF!</v>
          </cell>
          <cell r="AI12" t="e">
            <v>#REF!</v>
          </cell>
          <cell r="AJ12" t="e">
            <v>#REF!</v>
          </cell>
          <cell r="AK12" t="e">
            <v>#REF!</v>
          </cell>
          <cell r="AL12" t="e">
            <v>#REF!</v>
          </cell>
          <cell r="AM12" t="e">
            <v>#REF!</v>
          </cell>
          <cell r="AN12" t="e">
            <v>#REF!</v>
          </cell>
          <cell r="AO12" t="e">
            <v>#REF!</v>
          </cell>
          <cell r="AP12" t="e">
            <v>#REF!</v>
          </cell>
        </row>
        <row r="13">
          <cell r="Y13">
            <v>1</v>
          </cell>
          <cell r="Z13" t="e">
            <v>#REF!</v>
          </cell>
          <cell r="AA13" t="e">
            <v>#REF!</v>
          </cell>
          <cell r="AB13" t="e">
            <v>#REF!</v>
          </cell>
          <cell r="AC13" t="e">
            <v>#REF!</v>
          </cell>
          <cell r="AD13" t="e">
            <v>#REF!</v>
          </cell>
          <cell r="AE13" t="e">
            <v>#REF!</v>
          </cell>
          <cell r="AF13" t="e">
            <v>#REF!</v>
          </cell>
          <cell r="AG13" t="e">
            <v>#REF!</v>
          </cell>
          <cell r="AH13" t="e">
            <v>#REF!</v>
          </cell>
          <cell r="AI13" t="e">
            <v>#REF!</v>
          </cell>
          <cell r="AJ13" t="e">
            <v>#REF!</v>
          </cell>
          <cell r="AK13" t="e">
            <v>#REF!</v>
          </cell>
          <cell r="AL13" t="e">
            <v>#REF!</v>
          </cell>
          <cell r="AM13" t="e">
            <v>#REF!</v>
          </cell>
          <cell r="AN13" t="e">
            <v>#REF!</v>
          </cell>
          <cell r="AO13" t="e">
            <v>#REF!</v>
          </cell>
          <cell r="AP13" t="e">
            <v>#REF!</v>
          </cell>
        </row>
        <row r="14">
          <cell r="Y14">
            <v>1</v>
          </cell>
          <cell r="Z14" t="e">
            <v>#REF!</v>
          </cell>
          <cell r="AA14" t="e">
            <v>#REF!</v>
          </cell>
          <cell r="AB14" t="e">
            <v>#REF!</v>
          </cell>
          <cell r="AC14" t="e">
            <v>#REF!</v>
          </cell>
          <cell r="AD14" t="e">
            <v>#REF!</v>
          </cell>
          <cell r="AE14" t="e">
            <v>#REF!</v>
          </cell>
          <cell r="AF14" t="e">
            <v>#REF!</v>
          </cell>
          <cell r="AG14" t="e">
            <v>#REF!</v>
          </cell>
          <cell r="AH14" t="e">
            <v>#REF!</v>
          </cell>
          <cell r="AI14" t="e">
            <v>#REF!</v>
          </cell>
          <cell r="AJ14" t="e">
            <v>#REF!</v>
          </cell>
          <cell r="AK14" t="e">
            <v>#REF!</v>
          </cell>
          <cell r="AL14" t="e">
            <v>#REF!</v>
          </cell>
          <cell r="AM14" t="e">
            <v>#REF!</v>
          </cell>
          <cell r="AN14" t="e">
            <v>#REF!</v>
          </cell>
          <cell r="AO14" t="e">
            <v>#REF!</v>
          </cell>
          <cell r="AP14" t="e">
            <v>#REF!</v>
          </cell>
        </row>
        <row r="15">
          <cell r="Y15">
            <v>1</v>
          </cell>
          <cell r="Z15" t="e">
            <v>#REF!</v>
          </cell>
          <cell r="AA15" t="e">
            <v>#REF!</v>
          </cell>
          <cell r="AB15" t="e">
            <v>#REF!</v>
          </cell>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cell r="AP15" t="e">
            <v>#REF!</v>
          </cell>
        </row>
        <row r="16">
          <cell r="Y16">
            <v>1</v>
          </cell>
          <cell r="Z16" t="e">
            <v>#REF!</v>
          </cell>
          <cell r="AA16" t="e">
            <v>#REF!</v>
          </cell>
          <cell r="AB16" t="e">
            <v>#REF!</v>
          </cell>
          <cell r="AC16" t="e">
            <v>#REF!</v>
          </cell>
          <cell r="AD16" t="e">
            <v>#REF!</v>
          </cell>
          <cell r="AE16" t="e">
            <v>#REF!</v>
          </cell>
          <cell r="AF16" t="e">
            <v>#REF!</v>
          </cell>
          <cell r="AG16" t="e">
            <v>#REF!</v>
          </cell>
          <cell r="AH16" t="e">
            <v>#REF!</v>
          </cell>
          <cell r="AI16" t="e">
            <v>#REF!</v>
          </cell>
          <cell r="AJ16" t="e">
            <v>#REF!</v>
          </cell>
          <cell r="AK16" t="e">
            <v>#REF!</v>
          </cell>
          <cell r="AL16" t="e">
            <v>#REF!</v>
          </cell>
          <cell r="AM16" t="e">
            <v>#REF!</v>
          </cell>
          <cell r="AN16" t="e">
            <v>#REF!</v>
          </cell>
          <cell r="AO16" t="e">
            <v>#REF!</v>
          </cell>
          <cell r="AP16" t="e">
            <v>#REF!</v>
          </cell>
        </row>
        <row r="17">
          <cell r="Y17">
            <v>1</v>
          </cell>
          <cell r="Z17" t="e">
            <v>#REF!</v>
          </cell>
          <cell r="AA17" t="e">
            <v>#REF!</v>
          </cell>
          <cell r="AB17" t="e">
            <v>#REF!</v>
          </cell>
          <cell r="AC17" t="e">
            <v>#REF!</v>
          </cell>
          <cell r="AD17" t="e">
            <v>#REF!</v>
          </cell>
          <cell r="AE17" t="e">
            <v>#REF!</v>
          </cell>
          <cell r="AF17" t="e">
            <v>#REF!</v>
          </cell>
          <cell r="AG17" t="e">
            <v>#REF!</v>
          </cell>
          <cell r="AH17" t="e">
            <v>#REF!</v>
          </cell>
          <cell r="AI17" t="e">
            <v>#REF!</v>
          </cell>
          <cell r="AJ17" t="e">
            <v>#REF!</v>
          </cell>
          <cell r="AK17" t="e">
            <v>#REF!</v>
          </cell>
          <cell r="AL17" t="e">
            <v>#REF!</v>
          </cell>
          <cell r="AM17" t="e">
            <v>#REF!</v>
          </cell>
          <cell r="AN17" t="e">
            <v>#REF!</v>
          </cell>
          <cell r="AO17" t="e">
            <v>#REF!</v>
          </cell>
          <cell r="AP17" t="e">
            <v>#REF!</v>
          </cell>
        </row>
        <row r="18">
          <cell r="Y18">
            <v>1</v>
          </cell>
          <cell r="Z18" t="e">
            <v>#REF!</v>
          </cell>
          <cell r="AA18" t="e">
            <v>#REF!</v>
          </cell>
          <cell r="AB18" t="e">
            <v>#REF!</v>
          </cell>
          <cell r="AC18" t="e">
            <v>#REF!</v>
          </cell>
          <cell r="AD18" t="e">
            <v>#REF!</v>
          </cell>
          <cell r="AE18" t="e">
            <v>#REF!</v>
          </cell>
          <cell r="AF18" t="e">
            <v>#REF!</v>
          </cell>
          <cell r="AG18" t="e">
            <v>#REF!</v>
          </cell>
          <cell r="AH18" t="e">
            <v>#REF!</v>
          </cell>
          <cell r="AI18" t="e">
            <v>#REF!</v>
          </cell>
          <cell r="AJ18" t="e">
            <v>#REF!</v>
          </cell>
          <cell r="AK18" t="e">
            <v>#REF!</v>
          </cell>
          <cell r="AL18" t="e">
            <v>#REF!</v>
          </cell>
          <cell r="AM18" t="e">
            <v>#REF!</v>
          </cell>
          <cell r="AN18" t="e">
            <v>#REF!</v>
          </cell>
          <cell r="AO18" t="e">
            <v>#REF!</v>
          </cell>
          <cell r="AP18" t="e">
            <v>#REF!</v>
          </cell>
        </row>
        <row r="19">
          <cell r="Y19">
            <v>1</v>
          </cell>
          <cell r="Z19" t="e">
            <v>#REF!</v>
          </cell>
          <cell r="AA19" t="e">
            <v>#REF!</v>
          </cell>
          <cell r="AB19" t="e">
            <v>#REF!</v>
          </cell>
          <cell r="AC19" t="e">
            <v>#REF!</v>
          </cell>
          <cell r="AD19" t="e">
            <v>#REF!</v>
          </cell>
          <cell r="AE19" t="e">
            <v>#REF!</v>
          </cell>
          <cell r="AF19" t="e">
            <v>#REF!</v>
          </cell>
          <cell r="AG19" t="e">
            <v>#REF!</v>
          </cell>
          <cell r="AH19" t="e">
            <v>#REF!</v>
          </cell>
          <cell r="AI19" t="e">
            <v>#REF!</v>
          </cell>
          <cell r="AJ19" t="e">
            <v>#REF!</v>
          </cell>
          <cell r="AK19" t="e">
            <v>#REF!</v>
          </cell>
          <cell r="AL19" t="e">
            <v>#REF!</v>
          </cell>
          <cell r="AM19" t="e">
            <v>#REF!</v>
          </cell>
          <cell r="AN19" t="e">
            <v>#REF!</v>
          </cell>
          <cell r="AO19" t="e">
            <v>#REF!</v>
          </cell>
          <cell r="AP19" t="e">
            <v>#REF!</v>
          </cell>
        </row>
        <row r="20">
          <cell r="Y20">
            <v>1</v>
          </cell>
          <cell r="Z20" t="e">
            <v>#REF!</v>
          </cell>
          <cell r="AA20" t="e">
            <v>#REF!</v>
          </cell>
          <cell r="AB20" t="e">
            <v>#REF!</v>
          </cell>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cell r="AP20" t="e">
            <v>#REF!</v>
          </cell>
        </row>
        <row r="21">
          <cell r="Y21">
            <v>1</v>
          </cell>
          <cell r="Z21" t="e">
            <v>#REF!</v>
          </cell>
          <cell r="AA21" t="e">
            <v>#REF!</v>
          </cell>
          <cell r="AB21" t="e">
            <v>#REF!</v>
          </cell>
          <cell r="AC21" t="e">
            <v>#REF!</v>
          </cell>
          <cell r="AD21" t="e">
            <v>#REF!</v>
          </cell>
          <cell r="AE21" t="e">
            <v>#REF!</v>
          </cell>
          <cell r="AF21" t="e">
            <v>#REF!</v>
          </cell>
          <cell r="AG21" t="e">
            <v>#REF!</v>
          </cell>
          <cell r="AH21" t="e">
            <v>#REF!</v>
          </cell>
          <cell r="AI21" t="e">
            <v>#REF!</v>
          </cell>
          <cell r="AJ21" t="e">
            <v>#REF!</v>
          </cell>
          <cell r="AK21" t="e">
            <v>#REF!</v>
          </cell>
          <cell r="AL21" t="e">
            <v>#REF!</v>
          </cell>
          <cell r="AM21" t="e">
            <v>#REF!</v>
          </cell>
          <cell r="AN21" t="e">
            <v>#REF!</v>
          </cell>
          <cell r="AO21" t="e">
            <v>#REF!</v>
          </cell>
          <cell r="AP21" t="e">
            <v>#REF!</v>
          </cell>
        </row>
        <row r="22">
          <cell r="Y22">
            <v>1</v>
          </cell>
          <cell r="Z22" t="e">
            <v>#REF!</v>
          </cell>
          <cell r="AA22" t="e">
            <v>#REF!</v>
          </cell>
          <cell r="AB22" t="e">
            <v>#REF!</v>
          </cell>
          <cell r="AC22" t="e">
            <v>#REF!</v>
          </cell>
          <cell r="AD22" t="e">
            <v>#REF!</v>
          </cell>
          <cell r="AE22" t="e">
            <v>#REF!</v>
          </cell>
          <cell r="AF22" t="e">
            <v>#REF!</v>
          </cell>
          <cell r="AG22" t="e">
            <v>#REF!</v>
          </cell>
          <cell r="AH22" t="e">
            <v>#REF!</v>
          </cell>
          <cell r="AI22" t="e">
            <v>#REF!</v>
          </cell>
          <cell r="AJ22" t="e">
            <v>#REF!</v>
          </cell>
          <cell r="AK22" t="e">
            <v>#REF!</v>
          </cell>
          <cell r="AL22" t="e">
            <v>#REF!</v>
          </cell>
          <cell r="AM22" t="e">
            <v>#REF!</v>
          </cell>
          <cell r="AN22" t="e">
            <v>#REF!</v>
          </cell>
          <cell r="AO22" t="e">
            <v>#REF!</v>
          </cell>
          <cell r="AP22" t="e">
            <v>#REF!</v>
          </cell>
        </row>
        <row r="23">
          <cell r="Y23">
            <v>1</v>
          </cell>
          <cell r="Z23" t="e">
            <v>#REF!</v>
          </cell>
          <cell r="AA23" t="e">
            <v>#REF!</v>
          </cell>
          <cell r="AB23" t="e">
            <v>#REF!</v>
          </cell>
          <cell r="AC23" t="e">
            <v>#REF!</v>
          </cell>
          <cell r="AD23" t="e">
            <v>#REF!</v>
          </cell>
          <cell r="AE23" t="e">
            <v>#REF!</v>
          </cell>
          <cell r="AF23" t="e">
            <v>#REF!</v>
          </cell>
          <cell r="AG23" t="e">
            <v>#REF!</v>
          </cell>
          <cell r="AH23" t="e">
            <v>#REF!</v>
          </cell>
          <cell r="AI23" t="e">
            <v>#REF!</v>
          </cell>
          <cell r="AJ23" t="e">
            <v>#REF!</v>
          </cell>
          <cell r="AK23" t="e">
            <v>#REF!</v>
          </cell>
          <cell r="AL23" t="e">
            <v>#REF!</v>
          </cell>
          <cell r="AM23" t="e">
            <v>#REF!</v>
          </cell>
          <cell r="AN23" t="e">
            <v>#REF!</v>
          </cell>
          <cell r="AO23" t="e">
            <v>#REF!</v>
          </cell>
          <cell r="AP23" t="e">
            <v>#REF!</v>
          </cell>
        </row>
        <row r="24">
          <cell r="Y24">
            <v>1</v>
          </cell>
          <cell r="Z24" t="e">
            <v>#REF!</v>
          </cell>
          <cell r="AA24" t="e">
            <v>#REF!</v>
          </cell>
          <cell r="AB24" t="e">
            <v>#REF!</v>
          </cell>
          <cell r="AC24" t="e">
            <v>#REF!</v>
          </cell>
          <cell r="AD24" t="e">
            <v>#REF!</v>
          </cell>
          <cell r="AE24" t="e">
            <v>#REF!</v>
          </cell>
          <cell r="AF24" t="e">
            <v>#REF!</v>
          </cell>
          <cell r="AG24" t="e">
            <v>#REF!</v>
          </cell>
          <cell r="AH24" t="e">
            <v>#REF!</v>
          </cell>
          <cell r="AI24" t="e">
            <v>#REF!</v>
          </cell>
          <cell r="AJ24" t="e">
            <v>#REF!</v>
          </cell>
          <cell r="AK24" t="e">
            <v>#REF!</v>
          </cell>
          <cell r="AL24" t="e">
            <v>#REF!</v>
          </cell>
          <cell r="AM24" t="e">
            <v>#REF!</v>
          </cell>
          <cell r="AN24" t="e">
            <v>#REF!</v>
          </cell>
          <cell r="AO24" t="e">
            <v>#REF!</v>
          </cell>
          <cell r="AP24" t="e">
            <v>#REF!</v>
          </cell>
        </row>
        <row r="25">
          <cell r="Y25">
            <v>1</v>
          </cell>
          <cell r="Z25" t="e">
            <v>#REF!</v>
          </cell>
          <cell r="AA25" t="e">
            <v>#REF!</v>
          </cell>
          <cell r="AB25" t="e">
            <v>#REF!</v>
          </cell>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cell r="AP25" t="e">
            <v>#REF!</v>
          </cell>
        </row>
        <row r="26">
          <cell r="Y26">
            <v>1</v>
          </cell>
          <cell r="Z26" t="e">
            <v>#REF!</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cell r="AM26" t="e">
            <v>#REF!</v>
          </cell>
          <cell r="AN26" t="e">
            <v>#REF!</v>
          </cell>
          <cell r="AO26" t="e">
            <v>#REF!</v>
          </cell>
          <cell r="AP26" t="e">
            <v>#REF!</v>
          </cell>
        </row>
        <row r="27">
          <cell r="Y27">
            <v>1</v>
          </cell>
          <cell r="Z27" t="e">
            <v>#REF!</v>
          </cell>
          <cell r="AA27" t="e">
            <v>#REF!</v>
          </cell>
          <cell r="AB27" t="e">
            <v>#REF!</v>
          </cell>
          <cell r="AC27" t="e">
            <v>#REF!</v>
          </cell>
          <cell r="AD27" t="e">
            <v>#REF!</v>
          </cell>
          <cell r="AE27" t="e">
            <v>#REF!</v>
          </cell>
          <cell r="AF27" t="e">
            <v>#REF!</v>
          </cell>
          <cell r="AG27" t="e">
            <v>#REF!</v>
          </cell>
          <cell r="AH27" t="e">
            <v>#REF!</v>
          </cell>
          <cell r="AI27" t="e">
            <v>#REF!</v>
          </cell>
          <cell r="AJ27" t="e">
            <v>#REF!</v>
          </cell>
          <cell r="AK27" t="e">
            <v>#REF!</v>
          </cell>
          <cell r="AL27" t="e">
            <v>#REF!</v>
          </cell>
          <cell r="AM27" t="e">
            <v>#REF!</v>
          </cell>
          <cell r="AN27" t="e">
            <v>#REF!</v>
          </cell>
          <cell r="AO27" t="e">
            <v>#REF!</v>
          </cell>
          <cell r="AP27" t="e">
            <v>#REF!</v>
          </cell>
        </row>
        <row r="36">
          <cell r="Y36">
            <v>1</v>
          </cell>
          <cell r="Z36">
            <v>1</v>
          </cell>
          <cell r="AA36" t="e">
            <v>#REF!</v>
          </cell>
          <cell r="AB36" t="e">
            <v>#REF!</v>
          </cell>
          <cell r="AC36" t="e">
            <v>#REF!</v>
          </cell>
          <cell r="AD36" t="e">
            <v>#REF!</v>
          </cell>
          <cell r="AE36" t="e">
            <v>#REF!</v>
          </cell>
          <cell r="AF36" t="e">
            <v>#REF!</v>
          </cell>
          <cell r="AG36" t="e">
            <v>#REF!</v>
          </cell>
          <cell r="AH36" t="e">
            <v>#REF!</v>
          </cell>
          <cell r="AI36" t="e">
            <v>#REF!</v>
          </cell>
          <cell r="AJ36" t="e">
            <v>#REF!</v>
          </cell>
          <cell r="AK36" t="e">
            <v>#REF!</v>
          </cell>
          <cell r="AL36" t="e">
            <v>#REF!</v>
          </cell>
          <cell r="AM36" t="e">
            <v>#REF!</v>
          </cell>
          <cell r="AN36" t="e">
            <v>#REF!</v>
          </cell>
          <cell r="AO36" t="e">
            <v>#REF!</v>
          </cell>
          <cell r="AP36" t="e">
            <v>#REF!</v>
          </cell>
        </row>
        <row r="37">
          <cell r="Y37">
            <v>1</v>
          </cell>
          <cell r="Z37">
            <v>1</v>
          </cell>
          <cell r="AA37" t="e">
            <v>#REF!</v>
          </cell>
          <cell r="AB37" t="e">
            <v>#REF!</v>
          </cell>
          <cell r="AC37" t="e">
            <v>#REF!</v>
          </cell>
          <cell r="AD37" t="e">
            <v>#REF!</v>
          </cell>
          <cell r="AE37" t="e">
            <v>#REF!</v>
          </cell>
          <cell r="AF37" t="e">
            <v>#REF!</v>
          </cell>
          <cell r="AG37" t="e">
            <v>#REF!</v>
          </cell>
          <cell r="AH37" t="e">
            <v>#REF!</v>
          </cell>
          <cell r="AI37" t="e">
            <v>#REF!</v>
          </cell>
          <cell r="AJ37" t="e">
            <v>#REF!</v>
          </cell>
          <cell r="AK37" t="e">
            <v>#REF!</v>
          </cell>
          <cell r="AL37" t="e">
            <v>#REF!</v>
          </cell>
          <cell r="AM37" t="e">
            <v>#REF!</v>
          </cell>
          <cell r="AN37" t="e">
            <v>#REF!</v>
          </cell>
          <cell r="AO37" t="e">
            <v>#REF!</v>
          </cell>
          <cell r="AP37" t="e">
            <v>#REF!</v>
          </cell>
        </row>
        <row r="38">
          <cell r="Y38">
            <v>1</v>
          </cell>
          <cell r="Z38">
            <v>1</v>
          </cell>
          <cell r="AA38" t="e">
            <v>#REF!</v>
          </cell>
          <cell r="AB38" t="e">
            <v>#REF!</v>
          </cell>
          <cell r="AC38" t="e">
            <v>#REF!</v>
          </cell>
          <cell r="AD38" t="e">
            <v>#REF!</v>
          </cell>
          <cell r="AE38" t="e">
            <v>#REF!</v>
          </cell>
          <cell r="AF38" t="e">
            <v>#REF!</v>
          </cell>
          <cell r="AG38" t="e">
            <v>#REF!</v>
          </cell>
          <cell r="AH38" t="e">
            <v>#REF!</v>
          </cell>
          <cell r="AI38" t="e">
            <v>#REF!</v>
          </cell>
          <cell r="AJ38" t="e">
            <v>#REF!</v>
          </cell>
          <cell r="AK38" t="e">
            <v>#REF!</v>
          </cell>
          <cell r="AL38" t="e">
            <v>#REF!</v>
          </cell>
          <cell r="AM38" t="e">
            <v>#REF!</v>
          </cell>
          <cell r="AN38" t="e">
            <v>#REF!</v>
          </cell>
          <cell r="AO38" t="e">
            <v>#REF!</v>
          </cell>
          <cell r="AP38" t="e">
            <v>#REF!</v>
          </cell>
        </row>
        <row r="39">
          <cell r="Y39">
            <v>1</v>
          </cell>
          <cell r="Z39">
            <v>1</v>
          </cell>
          <cell r="AA39" t="e">
            <v>#REF!</v>
          </cell>
          <cell r="AB39" t="e">
            <v>#REF!</v>
          </cell>
          <cell r="AC39" t="e">
            <v>#REF!</v>
          </cell>
          <cell r="AD39" t="e">
            <v>#REF!</v>
          </cell>
          <cell r="AE39" t="e">
            <v>#REF!</v>
          </cell>
          <cell r="AF39" t="e">
            <v>#REF!</v>
          </cell>
          <cell r="AG39" t="e">
            <v>#REF!</v>
          </cell>
          <cell r="AH39" t="e">
            <v>#REF!</v>
          </cell>
          <cell r="AI39" t="e">
            <v>#REF!</v>
          </cell>
          <cell r="AJ39" t="e">
            <v>#REF!</v>
          </cell>
          <cell r="AK39" t="e">
            <v>#REF!</v>
          </cell>
          <cell r="AL39" t="e">
            <v>#REF!</v>
          </cell>
          <cell r="AM39" t="e">
            <v>#REF!</v>
          </cell>
          <cell r="AN39" t="e">
            <v>#REF!</v>
          </cell>
          <cell r="AO39" t="e">
            <v>#REF!</v>
          </cell>
          <cell r="AP39" t="e">
            <v>#REF!</v>
          </cell>
        </row>
        <row r="40">
          <cell r="Y40">
            <v>1</v>
          </cell>
          <cell r="Z40">
            <v>1</v>
          </cell>
          <cell r="AA40" t="e">
            <v>#REF!</v>
          </cell>
          <cell r="AB40" t="e">
            <v>#REF!</v>
          </cell>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cell r="AP40" t="e">
            <v>#REF!</v>
          </cell>
        </row>
        <row r="41">
          <cell r="Y41">
            <v>1</v>
          </cell>
          <cell r="Z41">
            <v>1</v>
          </cell>
          <cell r="AA41" t="e">
            <v>#REF!</v>
          </cell>
          <cell r="AB41" t="e">
            <v>#REF!</v>
          </cell>
          <cell r="AC41" t="e">
            <v>#REF!</v>
          </cell>
          <cell r="AD41" t="e">
            <v>#REF!</v>
          </cell>
          <cell r="AE41" t="e">
            <v>#REF!</v>
          </cell>
          <cell r="AF41" t="e">
            <v>#REF!</v>
          </cell>
          <cell r="AG41" t="e">
            <v>#REF!</v>
          </cell>
          <cell r="AH41" t="e">
            <v>#REF!</v>
          </cell>
          <cell r="AI41" t="e">
            <v>#REF!</v>
          </cell>
          <cell r="AJ41" t="e">
            <v>#REF!</v>
          </cell>
          <cell r="AK41" t="e">
            <v>#REF!</v>
          </cell>
          <cell r="AL41" t="e">
            <v>#REF!</v>
          </cell>
          <cell r="AM41" t="e">
            <v>#REF!</v>
          </cell>
          <cell r="AN41" t="e">
            <v>#REF!</v>
          </cell>
          <cell r="AO41" t="e">
            <v>#REF!</v>
          </cell>
          <cell r="AP41" t="e">
            <v>#REF!</v>
          </cell>
        </row>
        <row r="42">
          <cell r="Y42">
            <v>1</v>
          </cell>
          <cell r="Z42">
            <v>1</v>
          </cell>
          <cell r="AA42" t="e">
            <v>#REF!</v>
          </cell>
          <cell r="AB42" t="e">
            <v>#REF!</v>
          </cell>
          <cell r="AC42" t="e">
            <v>#REF!</v>
          </cell>
          <cell r="AD42" t="e">
            <v>#REF!</v>
          </cell>
          <cell r="AE42" t="e">
            <v>#REF!</v>
          </cell>
          <cell r="AF42" t="e">
            <v>#REF!</v>
          </cell>
          <cell r="AG42" t="e">
            <v>#REF!</v>
          </cell>
          <cell r="AH42" t="e">
            <v>#REF!</v>
          </cell>
          <cell r="AI42" t="e">
            <v>#REF!</v>
          </cell>
          <cell r="AJ42" t="e">
            <v>#REF!</v>
          </cell>
          <cell r="AK42" t="e">
            <v>#REF!</v>
          </cell>
          <cell r="AL42" t="e">
            <v>#REF!</v>
          </cell>
          <cell r="AM42" t="e">
            <v>#REF!</v>
          </cell>
          <cell r="AN42" t="e">
            <v>#REF!</v>
          </cell>
          <cell r="AO42" t="e">
            <v>#REF!</v>
          </cell>
          <cell r="AP42" t="e">
            <v>#REF!</v>
          </cell>
        </row>
        <row r="43">
          <cell r="Y43">
            <v>1</v>
          </cell>
          <cell r="Z43">
            <v>1</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cell r="AM43" t="e">
            <v>#REF!</v>
          </cell>
          <cell r="AN43" t="e">
            <v>#REF!</v>
          </cell>
          <cell r="AO43" t="e">
            <v>#REF!</v>
          </cell>
          <cell r="AP43" t="e">
            <v>#REF!</v>
          </cell>
        </row>
        <row r="44">
          <cell r="Y44">
            <v>1</v>
          </cell>
          <cell r="Z44">
            <v>1</v>
          </cell>
          <cell r="AA44" t="e">
            <v>#REF!</v>
          </cell>
          <cell r="AB44" t="e">
            <v>#REF!</v>
          </cell>
          <cell r="AC44" t="e">
            <v>#REF!</v>
          </cell>
          <cell r="AD44" t="e">
            <v>#REF!</v>
          </cell>
          <cell r="AE44" t="e">
            <v>#REF!</v>
          </cell>
          <cell r="AF44" t="e">
            <v>#REF!</v>
          </cell>
          <cell r="AG44" t="e">
            <v>#REF!</v>
          </cell>
          <cell r="AH44" t="e">
            <v>#REF!</v>
          </cell>
          <cell r="AI44" t="e">
            <v>#REF!</v>
          </cell>
          <cell r="AJ44" t="e">
            <v>#REF!</v>
          </cell>
          <cell r="AK44" t="e">
            <v>#REF!</v>
          </cell>
          <cell r="AL44" t="e">
            <v>#REF!</v>
          </cell>
          <cell r="AM44" t="e">
            <v>#REF!</v>
          </cell>
          <cell r="AN44" t="e">
            <v>#REF!</v>
          </cell>
          <cell r="AO44" t="e">
            <v>#REF!</v>
          </cell>
          <cell r="AP44" t="e">
            <v>#REF!</v>
          </cell>
        </row>
        <row r="45">
          <cell r="Y45">
            <v>1</v>
          </cell>
          <cell r="Z45">
            <v>1</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cell r="AP45" t="e">
            <v>#REF!</v>
          </cell>
        </row>
        <row r="46">
          <cell r="Y46">
            <v>1</v>
          </cell>
          <cell r="Z46">
            <v>1</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cell r="AM46" t="e">
            <v>#REF!</v>
          </cell>
          <cell r="AN46" t="e">
            <v>#REF!</v>
          </cell>
          <cell r="AO46" t="e">
            <v>#REF!</v>
          </cell>
          <cell r="AP46" t="e">
            <v>#REF!</v>
          </cell>
        </row>
        <row r="47">
          <cell r="Y47">
            <v>1</v>
          </cell>
          <cell r="Z47">
            <v>1</v>
          </cell>
          <cell r="AA47" t="e">
            <v>#REF!</v>
          </cell>
          <cell r="AB47" t="e">
            <v>#REF!</v>
          </cell>
          <cell r="AC47" t="e">
            <v>#REF!</v>
          </cell>
          <cell r="AD47" t="e">
            <v>#REF!</v>
          </cell>
          <cell r="AE47" t="e">
            <v>#REF!</v>
          </cell>
          <cell r="AF47" t="e">
            <v>#REF!</v>
          </cell>
          <cell r="AG47" t="e">
            <v>#REF!</v>
          </cell>
          <cell r="AH47" t="e">
            <v>#REF!</v>
          </cell>
          <cell r="AI47" t="e">
            <v>#REF!</v>
          </cell>
          <cell r="AJ47" t="e">
            <v>#REF!</v>
          </cell>
          <cell r="AK47" t="e">
            <v>#REF!</v>
          </cell>
          <cell r="AL47" t="e">
            <v>#REF!</v>
          </cell>
          <cell r="AM47" t="e">
            <v>#REF!</v>
          </cell>
          <cell r="AN47" t="e">
            <v>#REF!</v>
          </cell>
          <cell r="AO47" t="e">
            <v>#REF!</v>
          </cell>
          <cell r="AP47" t="e">
            <v>#REF!</v>
          </cell>
        </row>
        <row r="48">
          <cell r="Y48">
            <v>1</v>
          </cell>
          <cell r="Z48">
            <v>1</v>
          </cell>
          <cell r="AA48" t="e">
            <v>#REF!</v>
          </cell>
          <cell r="AB48" t="e">
            <v>#REF!</v>
          </cell>
          <cell r="AC48" t="e">
            <v>#REF!</v>
          </cell>
          <cell r="AD48" t="e">
            <v>#REF!</v>
          </cell>
          <cell r="AE48" t="e">
            <v>#REF!</v>
          </cell>
          <cell r="AF48" t="e">
            <v>#REF!</v>
          </cell>
          <cell r="AG48" t="e">
            <v>#REF!</v>
          </cell>
          <cell r="AH48" t="e">
            <v>#REF!</v>
          </cell>
          <cell r="AI48" t="e">
            <v>#REF!</v>
          </cell>
          <cell r="AJ48" t="e">
            <v>#REF!</v>
          </cell>
          <cell r="AK48" t="e">
            <v>#REF!</v>
          </cell>
          <cell r="AL48" t="e">
            <v>#REF!</v>
          </cell>
          <cell r="AM48" t="e">
            <v>#REF!</v>
          </cell>
          <cell r="AN48" t="e">
            <v>#REF!</v>
          </cell>
          <cell r="AO48" t="e">
            <v>#REF!</v>
          </cell>
          <cell r="AP48" t="e">
            <v>#REF!</v>
          </cell>
        </row>
        <row r="49">
          <cell r="Y49">
            <v>1</v>
          </cell>
          <cell r="Z49">
            <v>1</v>
          </cell>
          <cell r="AA49" t="e">
            <v>#REF!</v>
          </cell>
          <cell r="AB49" t="e">
            <v>#REF!</v>
          </cell>
          <cell r="AC49" t="e">
            <v>#REF!</v>
          </cell>
          <cell r="AD49" t="e">
            <v>#REF!</v>
          </cell>
          <cell r="AE49" t="e">
            <v>#REF!</v>
          </cell>
          <cell r="AF49" t="e">
            <v>#REF!</v>
          </cell>
          <cell r="AG49" t="e">
            <v>#REF!</v>
          </cell>
          <cell r="AH49" t="e">
            <v>#REF!</v>
          </cell>
          <cell r="AI49" t="e">
            <v>#REF!</v>
          </cell>
          <cell r="AJ49" t="e">
            <v>#REF!</v>
          </cell>
          <cell r="AK49" t="e">
            <v>#REF!</v>
          </cell>
          <cell r="AL49" t="e">
            <v>#REF!</v>
          </cell>
          <cell r="AM49" t="e">
            <v>#REF!</v>
          </cell>
          <cell r="AN49" t="e">
            <v>#REF!</v>
          </cell>
          <cell r="AO49" t="e">
            <v>#REF!</v>
          </cell>
          <cell r="AP49" t="e">
            <v>#REF!</v>
          </cell>
        </row>
        <row r="50">
          <cell r="Y50">
            <v>1</v>
          </cell>
          <cell r="Z50">
            <v>1</v>
          </cell>
          <cell r="AA50" t="e">
            <v>#REF!</v>
          </cell>
          <cell r="AB50" t="e">
            <v>#REF!</v>
          </cell>
          <cell r="AC50" t="e">
            <v>#REF!</v>
          </cell>
          <cell r="AD50" t="e">
            <v>#REF!</v>
          </cell>
          <cell r="AE50" t="e">
            <v>#REF!</v>
          </cell>
          <cell r="AF50" t="e">
            <v>#REF!</v>
          </cell>
          <cell r="AG50" t="e">
            <v>#REF!</v>
          </cell>
          <cell r="AH50" t="e">
            <v>#REF!</v>
          </cell>
          <cell r="AI50" t="e">
            <v>#REF!</v>
          </cell>
          <cell r="AJ50" t="e">
            <v>#REF!</v>
          </cell>
          <cell r="AK50" t="e">
            <v>#REF!</v>
          </cell>
          <cell r="AL50" t="e">
            <v>#REF!</v>
          </cell>
          <cell r="AM50" t="e">
            <v>#REF!</v>
          </cell>
          <cell r="AN50" t="e">
            <v>#REF!</v>
          </cell>
          <cell r="AO50" t="e">
            <v>#REF!</v>
          </cell>
          <cell r="AP50" t="e">
            <v>#REF!</v>
          </cell>
        </row>
        <row r="51">
          <cell r="Y51">
            <v>1</v>
          </cell>
          <cell r="Z51">
            <v>1</v>
          </cell>
          <cell r="AA51" t="e">
            <v>#REF!</v>
          </cell>
          <cell r="AB51" t="e">
            <v>#REF!</v>
          </cell>
          <cell r="AC51" t="e">
            <v>#REF!</v>
          </cell>
          <cell r="AD51" t="e">
            <v>#REF!</v>
          </cell>
          <cell r="AE51" t="e">
            <v>#REF!</v>
          </cell>
          <cell r="AF51" t="e">
            <v>#REF!</v>
          </cell>
          <cell r="AG51" t="e">
            <v>#REF!</v>
          </cell>
          <cell r="AH51" t="e">
            <v>#REF!</v>
          </cell>
          <cell r="AI51" t="e">
            <v>#REF!</v>
          </cell>
          <cell r="AJ51" t="e">
            <v>#REF!</v>
          </cell>
          <cell r="AK51" t="e">
            <v>#REF!</v>
          </cell>
          <cell r="AL51" t="e">
            <v>#REF!</v>
          </cell>
          <cell r="AM51" t="e">
            <v>#REF!</v>
          </cell>
          <cell r="AN51" t="e">
            <v>#REF!</v>
          </cell>
          <cell r="AO51" t="e">
            <v>#REF!</v>
          </cell>
          <cell r="AP51" t="e">
            <v>#REF!</v>
          </cell>
        </row>
        <row r="52">
          <cell r="Y52">
            <v>1</v>
          </cell>
          <cell r="Z52">
            <v>1</v>
          </cell>
          <cell r="AA52" t="e">
            <v>#REF!</v>
          </cell>
          <cell r="AB52" t="e">
            <v>#REF!</v>
          </cell>
          <cell r="AC52" t="e">
            <v>#REF!</v>
          </cell>
          <cell r="AD52" t="e">
            <v>#REF!</v>
          </cell>
          <cell r="AE52" t="e">
            <v>#REF!</v>
          </cell>
          <cell r="AF52" t="e">
            <v>#REF!</v>
          </cell>
          <cell r="AG52" t="e">
            <v>#REF!</v>
          </cell>
          <cell r="AH52" t="e">
            <v>#REF!</v>
          </cell>
          <cell r="AI52" t="e">
            <v>#REF!</v>
          </cell>
          <cell r="AJ52" t="e">
            <v>#REF!</v>
          </cell>
          <cell r="AK52" t="e">
            <v>#REF!</v>
          </cell>
          <cell r="AL52" t="e">
            <v>#REF!</v>
          </cell>
          <cell r="AM52" t="e">
            <v>#REF!</v>
          </cell>
          <cell r="AN52" t="e">
            <v>#REF!</v>
          </cell>
          <cell r="AO52" t="e">
            <v>#REF!</v>
          </cell>
          <cell r="AP52" t="e">
            <v>#REF!</v>
          </cell>
        </row>
        <row r="53">
          <cell r="Y53">
            <v>1</v>
          </cell>
          <cell r="Z53">
            <v>1</v>
          </cell>
          <cell r="AA53" t="e">
            <v>#REF!</v>
          </cell>
          <cell r="AB53" t="e">
            <v>#REF!</v>
          </cell>
          <cell r="AC53" t="e">
            <v>#REF!</v>
          </cell>
          <cell r="AD53" t="e">
            <v>#REF!</v>
          </cell>
          <cell r="AE53" t="e">
            <v>#REF!</v>
          </cell>
          <cell r="AF53" t="e">
            <v>#REF!</v>
          </cell>
          <cell r="AG53" t="e">
            <v>#REF!</v>
          </cell>
          <cell r="AH53" t="e">
            <v>#REF!</v>
          </cell>
          <cell r="AI53" t="e">
            <v>#REF!</v>
          </cell>
          <cell r="AJ53" t="e">
            <v>#REF!</v>
          </cell>
          <cell r="AK53" t="e">
            <v>#REF!</v>
          </cell>
          <cell r="AL53" t="e">
            <v>#REF!</v>
          </cell>
          <cell r="AM53" t="e">
            <v>#REF!</v>
          </cell>
          <cell r="AN53" t="e">
            <v>#REF!</v>
          </cell>
          <cell r="AO53" t="e">
            <v>#REF!</v>
          </cell>
          <cell r="AP53" t="e">
            <v>#REF!</v>
          </cell>
        </row>
        <row r="54">
          <cell r="Y54">
            <v>1</v>
          </cell>
          <cell r="Z54">
            <v>1</v>
          </cell>
          <cell r="AA54" t="e">
            <v>#REF!</v>
          </cell>
          <cell r="AB54" t="e">
            <v>#REF!</v>
          </cell>
          <cell r="AC54" t="e">
            <v>#REF!</v>
          </cell>
          <cell r="AD54" t="e">
            <v>#REF!</v>
          </cell>
          <cell r="AE54" t="e">
            <v>#REF!</v>
          </cell>
          <cell r="AF54" t="e">
            <v>#REF!</v>
          </cell>
          <cell r="AG54" t="e">
            <v>#REF!</v>
          </cell>
          <cell r="AH54" t="e">
            <v>#REF!</v>
          </cell>
          <cell r="AI54" t="e">
            <v>#REF!</v>
          </cell>
          <cell r="AJ54" t="e">
            <v>#REF!</v>
          </cell>
          <cell r="AK54" t="e">
            <v>#REF!</v>
          </cell>
          <cell r="AL54" t="e">
            <v>#REF!</v>
          </cell>
          <cell r="AM54" t="e">
            <v>#REF!</v>
          </cell>
          <cell r="AN54" t="e">
            <v>#REF!</v>
          </cell>
          <cell r="AO54" t="e">
            <v>#REF!</v>
          </cell>
          <cell r="AP54" t="e">
            <v>#REF!</v>
          </cell>
        </row>
        <row r="55">
          <cell r="Y55">
            <v>1</v>
          </cell>
          <cell r="Z55">
            <v>1</v>
          </cell>
          <cell r="AA55" t="e">
            <v>#REF!</v>
          </cell>
          <cell r="AB55" t="e">
            <v>#REF!</v>
          </cell>
          <cell r="AC55" t="e">
            <v>#REF!</v>
          </cell>
          <cell r="AD55" t="e">
            <v>#REF!</v>
          </cell>
          <cell r="AE55" t="e">
            <v>#REF!</v>
          </cell>
          <cell r="AF55" t="e">
            <v>#REF!</v>
          </cell>
          <cell r="AG55" t="e">
            <v>#REF!</v>
          </cell>
          <cell r="AH55" t="e">
            <v>#REF!</v>
          </cell>
          <cell r="AI55" t="e">
            <v>#REF!</v>
          </cell>
          <cell r="AJ55" t="e">
            <v>#REF!</v>
          </cell>
          <cell r="AK55" t="e">
            <v>#REF!</v>
          </cell>
          <cell r="AL55" t="e">
            <v>#REF!</v>
          </cell>
          <cell r="AM55" t="e">
            <v>#REF!</v>
          </cell>
          <cell r="AN55" t="e">
            <v>#REF!</v>
          </cell>
          <cell r="AO55" t="e">
            <v>#REF!</v>
          </cell>
          <cell r="AP55" t="e">
            <v>#REF!</v>
          </cell>
        </row>
        <row r="56">
          <cell r="Y56">
            <v>1</v>
          </cell>
          <cell r="Z56">
            <v>1</v>
          </cell>
          <cell r="AA56" t="e">
            <v>#REF!</v>
          </cell>
          <cell r="AB56" t="e">
            <v>#REF!</v>
          </cell>
          <cell r="AC56" t="e">
            <v>#REF!</v>
          </cell>
          <cell r="AD56" t="e">
            <v>#REF!</v>
          </cell>
          <cell r="AE56" t="e">
            <v>#REF!</v>
          </cell>
          <cell r="AF56" t="e">
            <v>#REF!</v>
          </cell>
          <cell r="AG56" t="e">
            <v>#REF!</v>
          </cell>
          <cell r="AH56" t="e">
            <v>#REF!</v>
          </cell>
          <cell r="AI56" t="e">
            <v>#REF!</v>
          </cell>
          <cell r="AJ56" t="e">
            <v>#REF!</v>
          </cell>
          <cell r="AK56" t="e">
            <v>#REF!</v>
          </cell>
          <cell r="AL56" t="e">
            <v>#REF!</v>
          </cell>
          <cell r="AM56" t="e">
            <v>#REF!</v>
          </cell>
          <cell r="AN56" t="e">
            <v>#REF!</v>
          </cell>
          <cell r="AO56" t="e">
            <v>#REF!</v>
          </cell>
          <cell r="AP56" t="e">
            <v>#REF!</v>
          </cell>
        </row>
        <row r="57">
          <cell r="Y57">
            <v>1</v>
          </cell>
          <cell r="Z57">
            <v>1</v>
          </cell>
          <cell r="AA57" t="e">
            <v>#REF!</v>
          </cell>
          <cell r="AB57" t="e">
            <v>#REF!</v>
          </cell>
          <cell r="AC57" t="e">
            <v>#REF!</v>
          </cell>
          <cell r="AD57" t="e">
            <v>#REF!</v>
          </cell>
          <cell r="AE57" t="e">
            <v>#REF!</v>
          </cell>
          <cell r="AF57" t="e">
            <v>#REF!</v>
          </cell>
          <cell r="AG57" t="e">
            <v>#REF!</v>
          </cell>
          <cell r="AH57" t="e">
            <v>#REF!</v>
          </cell>
          <cell r="AI57" t="e">
            <v>#REF!</v>
          </cell>
          <cell r="AJ57" t="e">
            <v>#REF!</v>
          </cell>
          <cell r="AK57" t="e">
            <v>#REF!</v>
          </cell>
          <cell r="AL57" t="e">
            <v>#REF!</v>
          </cell>
          <cell r="AM57" t="e">
            <v>#REF!</v>
          </cell>
          <cell r="AN57" t="e">
            <v>#REF!</v>
          </cell>
          <cell r="AO57" t="e">
            <v>#REF!</v>
          </cell>
          <cell r="AP57" t="e">
            <v>#REF!</v>
          </cell>
        </row>
        <row r="58">
          <cell r="Y58">
            <v>1</v>
          </cell>
          <cell r="Z58">
            <v>1</v>
          </cell>
          <cell r="AA58" t="e">
            <v>#REF!</v>
          </cell>
          <cell r="AB58" t="e">
            <v>#REF!</v>
          </cell>
          <cell r="AC58" t="e">
            <v>#REF!</v>
          </cell>
          <cell r="AD58" t="e">
            <v>#REF!</v>
          </cell>
          <cell r="AE58" t="e">
            <v>#REF!</v>
          </cell>
          <cell r="AF58" t="e">
            <v>#REF!</v>
          </cell>
          <cell r="AG58" t="e">
            <v>#REF!</v>
          </cell>
          <cell r="AH58" t="e">
            <v>#REF!</v>
          </cell>
          <cell r="AI58" t="e">
            <v>#REF!</v>
          </cell>
          <cell r="AJ58" t="e">
            <v>#REF!</v>
          </cell>
          <cell r="AK58" t="e">
            <v>#REF!</v>
          </cell>
          <cell r="AL58" t="e">
            <v>#REF!</v>
          </cell>
          <cell r="AM58" t="e">
            <v>#REF!</v>
          </cell>
          <cell r="AN58" t="e">
            <v>#REF!</v>
          </cell>
          <cell r="AO58" t="e">
            <v>#REF!</v>
          </cell>
          <cell r="AP58" t="e">
            <v>#REF!</v>
          </cell>
        </row>
      </sheetData>
      <sheetData sheetId="1" refreshError="1">
        <row r="121">
          <cell r="CI121">
            <v>1199.7543236906586</v>
          </cell>
        </row>
        <row r="202">
          <cell r="Y202">
            <v>581.24862850519014</v>
          </cell>
          <cell r="Z202">
            <v>574.47647604175859</v>
          </cell>
          <cell r="AA202">
            <v>570.49138240197692</v>
          </cell>
          <cell r="AB202">
            <v>566.11032975358398</v>
          </cell>
          <cell r="AC202">
            <v>561.3364034481574</v>
          </cell>
          <cell r="AD202">
            <v>556.17224967845414</v>
          </cell>
          <cell r="AE202">
            <v>550.62255161845201</v>
          </cell>
          <cell r="AF202">
            <v>544.59346276484337</v>
          </cell>
          <cell r="AG202">
            <v>536.58594921185443</v>
          </cell>
          <cell r="AH202">
            <v>526.35317614283144</v>
          </cell>
          <cell r="AI202">
            <v>513.68001975835</v>
          </cell>
          <cell r="AJ202">
            <v>498.59224315613307</v>
          </cell>
          <cell r="AK202">
            <v>481.01572278112383</v>
          </cell>
          <cell r="AL202">
            <v>460.91324498128921</v>
          </cell>
          <cell r="AM202">
            <v>438.43501632292578</v>
          </cell>
          <cell r="AN202">
            <v>413.5413946687641</v>
          </cell>
          <cell r="AO202">
            <v>386.25111755960506</v>
          </cell>
          <cell r="AP202">
            <v>356.58313732607485</v>
          </cell>
          <cell r="AS202">
            <v>0.47882842736883524</v>
          </cell>
          <cell r="AT202">
            <v>0.47882842736883524</v>
          </cell>
          <cell r="AU202">
            <v>0.47882842736883524</v>
          </cell>
          <cell r="AV202">
            <v>0.47882842736883524</v>
          </cell>
          <cell r="AW202">
            <v>0.47882842736883524</v>
          </cell>
          <cell r="AX202">
            <v>0.47882842736883524</v>
          </cell>
          <cell r="AY202">
            <v>0.47882842736883524</v>
          </cell>
          <cell r="AZ202">
            <v>0.47882842736883524</v>
          </cell>
          <cell r="BA202">
            <v>0.47882842736883524</v>
          </cell>
          <cell r="BB202">
            <v>0.47882842736883524</v>
          </cell>
          <cell r="BC202">
            <v>0.47882842736883524</v>
          </cell>
          <cell r="BD202">
            <v>0.47882842736883524</v>
          </cell>
          <cell r="BE202">
            <v>0.47882842736883524</v>
          </cell>
          <cell r="BF202">
            <v>0.47882842736883524</v>
          </cell>
          <cell r="BG202">
            <v>0.47882842736883524</v>
          </cell>
          <cell r="BH202">
            <v>0.47882842736883524</v>
          </cell>
          <cell r="BI202">
            <v>0.47882842736883524</v>
          </cell>
        </row>
        <row r="203">
          <cell r="Y203">
            <v>1323.5183470204013</v>
          </cell>
          <cell r="Z203">
            <v>1154.9395275177706</v>
          </cell>
          <cell r="AA203">
            <v>1075.9590671692022</v>
          </cell>
          <cell r="AB203">
            <v>996.80718371291835</v>
          </cell>
          <cell r="AC203">
            <v>918.23972449700773</v>
          </cell>
          <cell r="AD203">
            <v>840.09503113376581</v>
          </cell>
          <cell r="AE203">
            <v>763.26237310159013</v>
          </cell>
          <cell r="AF203">
            <v>687.59292229785626</v>
          </cell>
          <cell r="AG203">
            <v>600.98642451397461</v>
          </cell>
          <cell r="AH203">
            <v>506.68403273616946</v>
          </cell>
          <cell r="AI203">
            <v>409.30501843849987</v>
          </cell>
          <cell r="AJ203">
            <v>315.43780380386448</v>
          </cell>
          <cell r="AK203">
            <v>230.14560298126236</v>
          </cell>
          <cell r="AL203">
            <v>157.45246927342833</v>
          </cell>
          <cell r="AM203">
            <v>100.10989327230588</v>
          </cell>
          <cell r="AN203">
            <v>58.118859319145642</v>
          </cell>
          <cell r="AO203">
            <v>30.060306845708077</v>
          </cell>
          <cell r="AP203">
            <v>13.320261037713383</v>
          </cell>
          <cell r="AS203">
            <v>2.204522147103563</v>
          </cell>
          <cell r="AT203">
            <v>2.1604317041614918</v>
          </cell>
          <cell r="AU203">
            <v>2.1172230700782619</v>
          </cell>
          <cell r="AV203">
            <v>2.0748786086766966</v>
          </cell>
          <cell r="AW203">
            <v>2.0313061578944858</v>
          </cell>
          <cell r="AX203">
            <v>1.9866174224208071</v>
          </cell>
          <cell r="AY203">
            <v>1.9409252217051285</v>
          </cell>
          <cell r="AZ203">
            <v>1.8943430163842054</v>
          </cell>
          <cell r="BA203">
            <v>1.8469844409746003</v>
          </cell>
          <cell r="BB203">
            <v>1.7989628455092608</v>
          </cell>
          <cell r="BC203">
            <v>1.7503908486805106</v>
          </cell>
          <cell r="BD203">
            <v>1.7013799049174563</v>
          </cell>
          <cell r="BE203">
            <v>1.6520398876748501</v>
          </cell>
          <cell r="BF203">
            <v>1.6024786910446045</v>
          </cell>
          <cell r="BG203">
            <v>1.5528018516222217</v>
          </cell>
          <cell r="BH203">
            <v>1.5031121923703106</v>
          </cell>
          <cell r="BI203">
            <v>1.4535094900220902</v>
          </cell>
        </row>
        <row r="204">
          <cell r="Y204">
            <v>496.83233250215335</v>
          </cell>
          <cell r="Z204">
            <v>446.99976579956257</v>
          </cell>
          <cell r="AA204">
            <v>398.13820405471711</v>
          </cell>
          <cell r="AB204">
            <v>345.6866839511959</v>
          </cell>
          <cell r="AC204">
            <v>299.068708378363</v>
          </cell>
          <cell r="AD204">
            <v>257.34381436478134</v>
          </cell>
          <cell r="AE204">
            <v>220.21296327660954</v>
          </cell>
          <cell r="AF204">
            <v>187.13202909181206</v>
          </cell>
          <cell r="AG204">
            <v>155.66589360334132</v>
          </cell>
          <cell r="AH204">
            <v>126.24799488079466</v>
          </cell>
          <cell r="AI204">
            <v>99.371661594932263</v>
          </cell>
          <cell r="AJ204">
            <v>75.685537849570153</v>
          </cell>
          <cell r="AK204">
            <v>55.492368078647161</v>
          </cell>
          <cell r="AL204">
            <v>38.917879497792107</v>
          </cell>
          <cell r="AM204">
            <v>25.950583508652699</v>
          </cell>
          <cell r="AN204">
            <v>16.260766632464115</v>
          </cell>
          <cell r="AO204">
            <v>9.4198836508477033</v>
          </cell>
          <cell r="AP204">
            <v>4.9152725547690554</v>
          </cell>
          <cell r="AS204">
            <v>11.881821405713797</v>
          </cell>
          <cell r="AT204">
            <v>10.931275693256694</v>
          </cell>
          <cell r="AU204">
            <v>9.8381481239310258</v>
          </cell>
          <cell r="AV204">
            <v>8.854333311537923</v>
          </cell>
          <cell r="AW204">
            <v>7.9600456470725929</v>
          </cell>
          <cell r="AX204">
            <v>7.1481209910711883</v>
          </cell>
          <cell r="AY204">
            <v>6.411864528990856</v>
          </cell>
          <cell r="AZ204">
            <v>5.7450306179758073</v>
          </cell>
          <cell r="BA204">
            <v>5.1418024030883478</v>
          </cell>
          <cell r="BB204">
            <v>4.5967713483609831</v>
          </cell>
          <cell r="BC204">
            <v>4.1049168140863577</v>
          </cell>
          <cell r="BD204">
            <v>3.661585798165031</v>
          </cell>
          <cell r="BE204">
            <v>3.2624729461650426</v>
          </cell>
          <cell r="BF204">
            <v>2.9036009220868881</v>
          </cell>
          <cell r="BG204">
            <v>2.5813012197352436</v>
          </cell>
          <cell r="BH204">
            <v>2.2921954831248965</v>
          </cell>
          <cell r="BI204">
            <v>2.0331773935317834</v>
          </cell>
        </row>
        <row r="205">
          <cell r="Y205">
            <v>169.85144597855836</v>
          </cell>
          <cell r="Z205">
            <v>151.56117946760236</v>
          </cell>
          <cell r="AA205">
            <v>141.6035694616173</v>
          </cell>
          <cell r="AB205">
            <v>131.30272085468627</v>
          </cell>
          <cell r="AC205">
            <v>120.79977289724921</v>
          </cell>
          <cell r="AD205">
            <v>110.25821174670639</v>
          </cell>
          <cell r="AE205">
            <v>99.822217266224669</v>
          </cell>
          <cell r="AF205">
            <v>89.275481082788431</v>
          </cell>
          <cell r="AG205">
            <v>76.538971546252455</v>
          </cell>
          <cell r="AH205">
            <v>62.361572606558234</v>
          </cell>
          <cell r="AI205">
            <v>47.795187182966806</v>
          </cell>
          <cell r="AJ205">
            <v>33.927339815536968</v>
          </cell>
          <cell r="AK205">
            <v>21.790744104685665</v>
          </cell>
          <cell r="AL205">
            <v>12.31284982721097</v>
          </cell>
          <cell r="AM205">
            <v>5.9400510283703385</v>
          </cell>
          <cell r="AN205">
            <v>2.3293902686642785</v>
          </cell>
          <cell r="AO205">
            <v>0.6910528857546856</v>
          </cell>
          <cell r="AP205">
            <v>0.13677201934061681</v>
          </cell>
          <cell r="AS205">
            <v>1.9705270140669129</v>
          </cell>
          <cell r="AT205">
            <v>1.9707384191535851</v>
          </cell>
          <cell r="AU205">
            <v>1.9709498469205404</v>
          </cell>
          <cell r="AV205">
            <v>1.9709498469205404</v>
          </cell>
          <cell r="AW205">
            <v>1.9709498469205404</v>
          </cell>
          <cell r="AX205">
            <v>1.9709498469205404</v>
          </cell>
          <cell r="AY205">
            <v>1.9670079472266992</v>
          </cell>
          <cell r="AZ205">
            <v>1.9591399154377924</v>
          </cell>
          <cell r="BA205">
            <v>1.9473850759451656</v>
          </cell>
          <cell r="BB205">
            <v>1.9318059953376043</v>
          </cell>
          <cell r="BC205">
            <v>1.8970334874215273</v>
          </cell>
          <cell r="BD205">
            <v>1.8249462148995093</v>
          </cell>
          <cell r="BE205">
            <v>1.7008498722863425</v>
          </cell>
          <cell r="BF205">
            <v>1.5171580860794174</v>
          </cell>
          <cell r="BG205">
            <v>1.2774471084788692</v>
          </cell>
          <cell r="BH205">
            <v>0.99896363883047545</v>
          </cell>
          <cell r="BI205">
            <v>0.71126211084729829</v>
          </cell>
        </row>
        <row r="206">
          <cell r="Y206">
            <v>4.2</v>
          </cell>
          <cell r="Z206">
            <v>4.0848253329883075</v>
          </cell>
          <cell r="AA206">
            <v>4.023262737300362</v>
          </cell>
          <cell r="AB206">
            <v>3.954706891005177</v>
          </cell>
          <cell r="AC206">
            <v>3.8665729176547248</v>
          </cell>
          <cell r="AD206">
            <v>3.7725666996809473</v>
          </cell>
          <cell r="AE206">
            <v>3.673083124447718</v>
          </cell>
          <cell r="AF206">
            <v>3.559661868916856</v>
          </cell>
          <cell r="AG206">
            <v>3.4079025539505965</v>
          </cell>
          <cell r="AH206">
            <v>3.2172815596688915</v>
          </cell>
          <cell r="AI206">
            <v>2.9893437149492561</v>
          </cell>
          <cell r="AJ206">
            <v>2.7088737886057124</v>
          </cell>
          <cell r="AK206">
            <v>2.3646381808369692</v>
          </cell>
          <cell r="AL206">
            <v>1.9620943328869778</v>
          </cell>
          <cell r="AM206">
            <v>1.5262939780519231</v>
          </cell>
          <cell r="AN206">
            <v>1.0938471816974009</v>
          </cell>
          <cell r="AO206">
            <v>0.70748168795250899</v>
          </cell>
          <cell r="AP206">
            <v>0.40239676167190547</v>
          </cell>
          <cell r="AS206">
            <v>0.27076490683114501</v>
          </cell>
          <cell r="AT206">
            <v>0.27166447368036734</v>
          </cell>
          <cell r="AU206">
            <v>0.27256702917581299</v>
          </cell>
          <cell r="AV206">
            <v>0.27256702917581299</v>
          </cell>
          <cell r="AW206">
            <v>0.27256702917581299</v>
          </cell>
          <cell r="AX206">
            <v>0.27256702917581299</v>
          </cell>
          <cell r="AY206">
            <v>0.27202189511746139</v>
          </cell>
          <cell r="AZ206">
            <v>0.27093380753699153</v>
          </cell>
          <cell r="BA206">
            <v>0.26930820469176958</v>
          </cell>
          <cell r="BB206">
            <v>0.26715373905423545</v>
          </cell>
          <cell r="BC206">
            <v>0.2623449717512592</v>
          </cell>
          <cell r="BD206">
            <v>0.25237586282471136</v>
          </cell>
          <cell r="BE206">
            <v>0.23521430415263098</v>
          </cell>
          <cell r="BF206">
            <v>0.20981115930414682</v>
          </cell>
          <cell r="BG206">
            <v>0.17666099613409159</v>
          </cell>
          <cell r="BH206">
            <v>0.13814889897685959</v>
          </cell>
          <cell r="BI206">
            <v>9.8362016071523992E-2</v>
          </cell>
        </row>
        <row r="207">
          <cell r="Y207">
            <v>558.16999553323978</v>
          </cell>
          <cell r="Z207">
            <v>531.91991178857518</v>
          </cell>
          <cell r="AA207">
            <v>521.14137940985222</v>
          </cell>
          <cell r="AB207">
            <v>508.35684951647465</v>
          </cell>
          <cell r="AC207">
            <v>493.3875339890829</v>
          </cell>
          <cell r="AD207">
            <v>468.01774192061538</v>
          </cell>
          <cell r="AE207">
            <v>441.68866134188124</v>
          </cell>
          <cell r="AF207">
            <v>413.59344965183345</v>
          </cell>
          <cell r="AG207">
            <v>377.85183915844829</v>
          </cell>
          <cell r="AH207">
            <v>335.33291717212495</v>
          </cell>
          <cell r="AI207">
            <v>287.69025287066086</v>
          </cell>
          <cell r="AJ207">
            <v>235.9761089994204</v>
          </cell>
          <cell r="AK207">
            <v>182.16622606979948</v>
          </cell>
          <cell r="AL207">
            <v>130.048262306119</v>
          </cell>
          <cell r="AM207">
            <v>84.344839047099029</v>
          </cell>
          <cell r="AN207">
            <v>48.466781483806777</v>
          </cell>
          <cell r="AO207">
            <v>23.920139756857886</v>
          </cell>
          <cell r="AP207">
            <v>9.7223352798794043</v>
          </cell>
          <cell r="AS207">
            <v>2.4115469931183546</v>
          </cell>
          <cell r="AT207">
            <v>2.458844318018687</v>
          </cell>
          <cell r="AU207">
            <v>2.5070692785608348</v>
          </cell>
          <cell r="AV207">
            <v>2.5547035948534909</v>
          </cell>
          <cell r="AW207">
            <v>2.5559084912343706</v>
          </cell>
          <cell r="AX207">
            <v>2.5559084912343706</v>
          </cell>
          <cell r="AY207">
            <v>2.5507966742519019</v>
          </cell>
          <cell r="AZ207">
            <v>2.5405934875548941</v>
          </cell>
          <cell r="BA207">
            <v>2.5253499266295649</v>
          </cell>
          <cell r="BB207">
            <v>2.5051471272165284</v>
          </cell>
          <cell r="BC207">
            <v>2.4600544789266308</v>
          </cell>
          <cell r="BD207">
            <v>2.3665724087274187</v>
          </cell>
          <cell r="BE207">
            <v>2.205645484933954</v>
          </cell>
          <cell r="BF207">
            <v>1.9674357725610867</v>
          </cell>
          <cell r="BG207">
            <v>1.6565809204964348</v>
          </cell>
          <cell r="BH207">
            <v>1.2954462798282116</v>
          </cell>
          <cell r="BI207">
            <v>0.92235775123768637</v>
          </cell>
        </row>
        <row r="208">
          <cell r="Y208">
            <v>820.30555400377796</v>
          </cell>
          <cell r="Z208">
            <v>801.12414100856518</v>
          </cell>
          <cell r="AA208">
            <v>797.1754900663052</v>
          </cell>
          <cell r="AB208">
            <v>790.25379110155723</v>
          </cell>
          <cell r="AC208">
            <v>775.66393093055365</v>
          </cell>
          <cell r="AD208">
            <v>768.30694314892287</v>
          </cell>
          <cell r="AE208">
            <v>738.33539226469543</v>
          </cell>
          <cell r="AF208">
            <v>705.31620513793462</v>
          </cell>
          <cell r="AG208">
            <v>662.18584157073087</v>
          </cell>
          <cell r="AH208">
            <v>609.29741135195127</v>
          </cell>
          <cell r="AI208">
            <v>547.77555928349261</v>
          </cell>
          <cell r="AJ208">
            <v>476.47364563614872</v>
          </cell>
          <cell r="AK208">
            <v>395.58139448588247</v>
          </cell>
          <cell r="AL208">
            <v>308.8551853966004</v>
          </cell>
          <cell r="AM208">
            <v>223.36281511138495</v>
          </cell>
          <cell r="AN208">
            <v>146.65910159508314</v>
          </cell>
          <cell r="AO208">
            <v>85.351441980564914</v>
          </cell>
          <cell r="AP208">
            <v>42.686224098145125</v>
          </cell>
          <cell r="AS208">
            <v>2.7842964232354319</v>
          </cell>
          <cell r="AT208">
            <v>2.8478037793958699</v>
          </cell>
          <cell r="AU208">
            <v>2.9104554625425791</v>
          </cell>
          <cell r="AV208">
            <v>2.9541122944807174</v>
          </cell>
          <cell r="AW208">
            <v>3.0352589215630927</v>
          </cell>
          <cell r="AX208">
            <v>3.0352589215630927</v>
          </cell>
          <cell r="AY208">
            <v>3.0291884037199663</v>
          </cell>
          <cell r="AZ208">
            <v>3.0170716501050863</v>
          </cell>
          <cell r="BA208">
            <v>2.9989692202044558</v>
          </cell>
          <cell r="BB208">
            <v>2.9749774664428199</v>
          </cell>
          <cell r="BC208">
            <v>2.921427872046849</v>
          </cell>
          <cell r="BD208">
            <v>2.8104136129090684</v>
          </cell>
          <cell r="BE208">
            <v>2.6193054872312516</v>
          </cell>
          <cell r="BF208">
            <v>2.3364204946102762</v>
          </cell>
          <cell r="BG208">
            <v>1.9672660564618523</v>
          </cell>
          <cell r="BH208">
            <v>1.5384020561531682</v>
          </cell>
          <cell r="BI208">
            <v>1.0953422639810553</v>
          </cell>
        </row>
        <row r="209">
          <cell r="Y209">
            <v>653.6588003529464</v>
          </cell>
          <cell r="Z209">
            <v>635.23979687084932</v>
          </cell>
          <cell r="AA209">
            <v>628.52512854489532</v>
          </cell>
          <cell r="AB209">
            <v>618.00174509682574</v>
          </cell>
          <cell r="AC209">
            <v>601.44027861758013</v>
          </cell>
          <cell r="AD209">
            <v>582.05584163829019</v>
          </cell>
          <cell r="AE209">
            <v>556.96254126201347</v>
          </cell>
          <cell r="AF209">
            <v>529.55276022403882</v>
          </cell>
          <cell r="AG209">
            <v>493.98832189674272</v>
          </cell>
          <cell r="AH209">
            <v>450.69698274209389</v>
          </cell>
          <cell r="AI209">
            <v>400.78356605855691</v>
          </cell>
          <cell r="AJ209">
            <v>343.88839140835478</v>
          </cell>
          <cell r="AK209">
            <v>280.74091516646024</v>
          </cell>
          <cell r="AL209">
            <v>214.72779013132137</v>
          </cell>
          <cell r="AM209">
            <v>151.47913682530182</v>
          </cell>
          <cell r="AN209">
            <v>96.507635092948732</v>
          </cell>
          <cell r="AO209">
            <v>54.134991720627632</v>
          </cell>
          <cell r="AP209">
            <v>25.868166152604182</v>
          </cell>
          <cell r="AS209">
            <v>2.8062612881437472</v>
          </cell>
          <cell r="AT209">
            <v>2.862386513906622</v>
          </cell>
          <cell r="AU209">
            <v>2.9110470846430343</v>
          </cell>
          <cell r="AV209">
            <v>2.9401575554894648</v>
          </cell>
          <cell r="AW209">
            <v>2.9631747768844696</v>
          </cell>
          <cell r="AX209">
            <v>2.9631747768844696</v>
          </cell>
          <cell r="AY209">
            <v>2.9572484273307005</v>
          </cell>
          <cell r="AZ209">
            <v>2.9454194336213777</v>
          </cell>
          <cell r="BA209">
            <v>2.9277469170196495</v>
          </cell>
          <cell r="BB209">
            <v>2.9043249416834924</v>
          </cell>
          <cell r="BC209">
            <v>2.8520470927331893</v>
          </cell>
          <cell r="BD209">
            <v>2.743669303209328</v>
          </cell>
          <cell r="BE209">
            <v>2.5570997905910935</v>
          </cell>
          <cell r="BF209">
            <v>2.2809330132072549</v>
          </cell>
          <cell r="BG209">
            <v>1.9205455971205083</v>
          </cell>
          <cell r="BH209">
            <v>1.5018666569482371</v>
          </cell>
          <cell r="BI209">
            <v>1.0693290597471443</v>
          </cell>
        </row>
        <row r="210">
          <cell r="Y210">
            <v>1806.7514390135939</v>
          </cell>
          <cell r="Z210">
            <v>1879.6929356788958</v>
          </cell>
          <cell r="AA210">
            <v>1931.6114769447422</v>
          </cell>
          <cell r="AB210">
            <v>1960.5198147990429</v>
          </cell>
          <cell r="AC210">
            <v>1901.5865439388328</v>
          </cell>
          <cell r="AD210">
            <v>1837.2469668705055</v>
          </cell>
          <cell r="AE210">
            <v>1751.0200676819131</v>
          </cell>
          <cell r="AF210">
            <v>1657.5196781218121</v>
          </cell>
          <cell r="AG210">
            <v>1536.9227112090884</v>
          </cell>
          <cell r="AH210">
            <v>1391.11153350327</v>
          </cell>
          <cell r="AI210">
            <v>1224.3810875822319</v>
          </cell>
          <cell r="AJ210">
            <v>1037.1157106498683</v>
          </cell>
          <cell r="AK210">
            <v>833.2856848739068</v>
          </cell>
          <cell r="AL210">
            <v>625.00323432021264</v>
          </cell>
          <cell r="AM210">
            <v>430.57240207464622</v>
          </cell>
          <cell r="AN210">
            <v>266.49881848078064</v>
          </cell>
          <cell r="AO210">
            <v>144.26818750149909</v>
          </cell>
          <cell r="AP210">
            <v>65.943749373405737</v>
          </cell>
          <cell r="AS210">
            <v>2.6734322115764821</v>
          </cell>
          <cell r="AT210">
            <v>2.8399338783782442</v>
          </cell>
          <cell r="AU210">
            <v>2.990450373932291</v>
          </cell>
          <cell r="AV210">
            <v>3.0203548776716138</v>
          </cell>
          <cell r="AW210">
            <v>3.0501431141168038</v>
          </cell>
          <cell r="AX210">
            <v>3.0501431141168038</v>
          </cell>
          <cell r="AY210">
            <v>3.0440428278885703</v>
          </cell>
          <cell r="AZ210">
            <v>3.0318666565770158</v>
          </cell>
          <cell r="BA210">
            <v>3.0136754566375537</v>
          </cell>
          <cell r="BB210">
            <v>2.9895660529844532</v>
          </cell>
          <cell r="BC210">
            <v>2.9357538640307328</v>
          </cell>
          <cell r="BD210">
            <v>2.8241952171975648</v>
          </cell>
          <cell r="BE210">
            <v>2.6321499424281303</v>
          </cell>
          <cell r="BF210">
            <v>2.3478777486458919</v>
          </cell>
          <cell r="BG210">
            <v>1.9769130643598407</v>
          </cell>
          <cell r="BH210">
            <v>1.545946016329395</v>
          </cell>
          <cell r="BI210">
            <v>1.1007135636265288</v>
          </cell>
        </row>
        <row r="211">
          <cell r="Y211">
            <v>396.91979598081855</v>
          </cell>
          <cell r="Z211">
            <v>382.36500213281187</v>
          </cell>
          <cell r="AA211">
            <v>375.7701555311146</v>
          </cell>
          <cell r="AB211">
            <v>368.11265315808453</v>
          </cell>
          <cell r="AC211">
            <v>355.17970386599347</v>
          </cell>
          <cell r="AD211">
            <v>341.56631355104764</v>
          </cell>
          <cell r="AE211">
            <v>327.36667564543575</v>
          </cell>
          <cell r="AF211">
            <v>311.80787176151006</v>
          </cell>
          <cell r="AG211">
            <v>291.57024169601141</v>
          </cell>
          <cell r="AH211">
            <v>266.86800603466804</v>
          </cell>
          <cell r="AI211">
            <v>238.29220688375582</v>
          </cell>
          <cell r="AJ211">
            <v>205.51901233100634</v>
          </cell>
          <cell r="AK211">
            <v>168.84868279044625</v>
          </cell>
          <cell r="AL211">
            <v>130.15346865185637</v>
          </cell>
          <cell r="AM211">
            <v>92.683389588411274</v>
          </cell>
          <cell r="AN211">
            <v>59.726852590547217</v>
          </cell>
          <cell r="AO211">
            <v>33.974624692248369</v>
          </cell>
          <cell r="AP211">
            <v>16.518682629292236</v>
          </cell>
          <cell r="AS211">
            <v>3.0976499066924164</v>
          </cell>
          <cell r="AT211">
            <v>3.1348217055727252</v>
          </cell>
          <cell r="AU211">
            <v>3.1724395660395981</v>
          </cell>
          <cell r="AV211">
            <v>3.1724395660395981</v>
          </cell>
          <cell r="AW211">
            <v>3.1724395660395981</v>
          </cell>
          <cell r="AX211">
            <v>3.1724395660395981</v>
          </cell>
          <cell r="AY211">
            <v>3.1660946869075191</v>
          </cell>
          <cell r="AZ211">
            <v>3.1534303081598889</v>
          </cell>
          <cell r="BA211">
            <v>3.1345097263109296</v>
          </cell>
          <cell r="BB211">
            <v>3.1094336485004423</v>
          </cell>
          <cell r="BC211">
            <v>3.0534638428274343</v>
          </cell>
          <cell r="BD211">
            <v>2.9374322167999916</v>
          </cell>
          <cell r="BE211">
            <v>2.7376868260575922</v>
          </cell>
          <cell r="BF211">
            <v>2.4420166488433721</v>
          </cell>
          <cell r="BG211">
            <v>2.0561780183261189</v>
          </cell>
          <cell r="BH211">
            <v>1.6079312103310246</v>
          </cell>
          <cell r="BI211">
            <v>1.1448470217556892</v>
          </cell>
        </row>
        <row r="212">
          <cell r="Y212">
            <v>324.28402483758845</v>
          </cell>
          <cell r="Z212">
            <v>308.62477895591331</v>
          </cell>
          <cell r="AA212">
            <v>301.25235234114274</v>
          </cell>
          <cell r="AB212">
            <v>292.86141191078588</v>
          </cell>
          <cell r="AC212">
            <v>282.64165971186316</v>
          </cell>
          <cell r="AD212">
            <v>268.83277245951899</v>
          </cell>
          <cell r="AE212">
            <v>254.69256149856503</v>
          </cell>
          <cell r="AF212">
            <v>239.51222996631284</v>
          </cell>
          <cell r="AG212">
            <v>220.09781734699604</v>
          </cell>
          <cell r="AH212">
            <v>196.85524319346422</v>
          </cell>
          <cell r="AI212">
            <v>170.6031142126327</v>
          </cell>
          <cell r="AJ212">
            <v>141.73054521643715</v>
          </cell>
          <cell r="AK212">
            <v>111.16289254269877</v>
          </cell>
          <cell r="AL212">
            <v>80.935562243405357</v>
          </cell>
          <cell r="AM212">
            <v>53.773169404810943</v>
          </cell>
          <cell r="AN212">
            <v>31.834378123753364</v>
          </cell>
          <cell r="AO212">
            <v>16.308558434100778</v>
          </cell>
          <cell r="AP212">
            <v>6.9526315865628945</v>
          </cell>
          <cell r="AS212">
            <v>4.1435477874933087</v>
          </cell>
          <cell r="AT212">
            <v>4.1980744060771347</v>
          </cell>
          <cell r="AU212">
            <v>4.2533185624538552</v>
          </cell>
          <cell r="AV212">
            <v>4.2958517480783938</v>
          </cell>
          <cell r="AW212">
            <v>4.2942158563236035</v>
          </cell>
          <cell r="AX212">
            <v>4.2942158563236035</v>
          </cell>
          <cell r="AY212">
            <v>4.285627424610956</v>
          </cell>
          <cell r="AZ212">
            <v>4.2684849149125119</v>
          </cell>
          <cell r="BA212">
            <v>4.2428740054230367</v>
          </cell>
          <cell r="BB212">
            <v>4.2089310133796527</v>
          </cell>
          <cell r="BC212">
            <v>4.1331702551388192</v>
          </cell>
          <cell r="BD212">
            <v>3.9761097854435441</v>
          </cell>
          <cell r="BE212">
            <v>3.705734320033383</v>
          </cell>
          <cell r="BF212">
            <v>3.3055150134697771</v>
          </cell>
          <cell r="BG212">
            <v>2.783243641341552</v>
          </cell>
          <cell r="BH212">
            <v>2.1764965275290931</v>
          </cell>
          <cell r="BI212">
            <v>1.5496655276007136</v>
          </cell>
        </row>
        <row r="213">
          <cell r="Y213">
            <v>256.41998245933939</v>
          </cell>
          <cell r="Z213">
            <v>241.97836219947411</v>
          </cell>
          <cell r="AA213">
            <v>237.04764917663718</v>
          </cell>
          <cell r="AB213">
            <v>231.19291213965636</v>
          </cell>
          <cell r="AC213">
            <v>226.44953461891356</v>
          </cell>
          <cell r="AD213">
            <v>215.87510423415179</v>
          </cell>
          <cell r="AE213">
            <v>203.58298863339024</v>
          </cell>
          <cell r="AF213">
            <v>190.48079203461043</v>
          </cell>
          <cell r="AG213">
            <v>173.82901030585276</v>
          </cell>
          <cell r="AH213">
            <v>154.04313399164309</v>
          </cell>
          <cell r="AI213">
            <v>131.90612598249839</v>
          </cell>
          <cell r="AJ213">
            <v>107.93563525649557</v>
          </cell>
          <cell r="AK213">
            <v>83.073469299348901</v>
          </cell>
          <cell r="AL213">
            <v>59.085671058434983</v>
          </cell>
          <cell r="AM213">
            <v>38.145983776957209</v>
          </cell>
          <cell r="AN213">
            <v>21.79563506921361</v>
          </cell>
          <cell r="AO213">
            <v>10.680472544958809</v>
          </cell>
          <cell r="AP213">
            <v>4.3013807751872708</v>
          </cell>
          <cell r="AS213">
            <v>5.6263063060126193</v>
          </cell>
          <cell r="AT213">
            <v>5.7388324321328721</v>
          </cell>
          <cell r="AU213">
            <v>5.8536090807755299</v>
          </cell>
          <cell r="AV213">
            <v>6.0233637441180194</v>
          </cell>
          <cell r="AW213">
            <v>6.0602414813269059</v>
          </cell>
          <cell r="AX213">
            <v>6.0602414813269059</v>
          </cell>
          <cell r="AY213">
            <v>6.0481209983642517</v>
          </cell>
          <cell r="AZ213">
            <v>6.0239285143707946</v>
          </cell>
          <cell r="BA213">
            <v>5.98778494328457</v>
          </cell>
          <cell r="BB213">
            <v>5.9398826637382935</v>
          </cell>
          <cell r="BC213">
            <v>5.8329647757910044</v>
          </cell>
          <cell r="BD213">
            <v>5.6113121143109463</v>
          </cell>
          <cell r="BE213">
            <v>5.2297428905378016</v>
          </cell>
          <cell r="BF213">
            <v>4.6649306583597188</v>
          </cell>
          <cell r="BG213">
            <v>3.9278716143388825</v>
          </cell>
          <cell r="BH213">
            <v>3.0715956024130056</v>
          </cell>
          <cell r="BI213">
            <v>2.1869760689180593</v>
          </cell>
        </row>
        <row r="214">
          <cell r="Y214">
            <v>1807.5334262544441</v>
          </cell>
          <cell r="Z214">
            <v>1697.9697965305343</v>
          </cell>
          <cell r="AA214">
            <v>1646.6590774034373</v>
          </cell>
          <cell r="AB214">
            <v>1588.6826274012337</v>
          </cell>
          <cell r="AC214">
            <v>1521.1093439158185</v>
          </cell>
          <cell r="AD214">
            <v>1428.9920607144431</v>
          </cell>
          <cell r="AE214">
            <v>1334.7188659920016</v>
          </cell>
          <cell r="AF214">
            <v>1235.6184884331562</v>
          </cell>
          <cell r="AG214">
            <v>1111.253125152256</v>
          </cell>
          <cell r="AH214">
            <v>965.76245111098251</v>
          </cell>
          <cell r="AI214">
            <v>806.18961136895086</v>
          </cell>
          <cell r="AJ214">
            <v>638.7514293885913</v>
          </cell>
          <cell r="AK214">
            <v>472.134105319387</v>
          </cell>
          <cell r="AL214">
            <v>319.27309475928303</v>
          </cell>
          <cell r="AM214">
            <v>193.64737294994518</v>
          </cell>
          <cell r="AN214">
            <v>102.3334361805482</v>
          </cell>
          <cell r="AO214">
            <v>45.407460689372648</v>
          </cell>
          <cell r="AP214">
            <v>16.059838115439064</v>
          </cell>
          <cell r="AS214">
            <v>4.3155253965861835</v>
          </cell>
          <cell r="AT214">
            <v>4.3862842908321724</v>
          </cell>
          <cell r="AU214">
            <v>4.4582033731560422</v>
          </cell>
          <cell r="AV214">
            <v>4.5206182203802268</v>
          </cell>
          <cell r="AW214">
            <v>4.5218919927725576</v>
          </cell>
          <cell r="AX214">
            <v>4.5218919927725576</v>
          </cell>
          <cell r="AY214">
            <v>4.5128482087870125</v>
          </cell>
          <cell r="AZ214">
            <v>4.4947968159518643</v>
          </cell>
          <cell r="BA214">
            <v>4.4678280350561534</v>
          </cell>
          <cell r="BB214">
            <v>4.4320854107757039</v>
          </cell>
          <cell r="BC214">
            <v>4.3523078733817409</v>
          </cell>
          <cell r="BD214">
            <v>4.1869201741932347</v>
          </cell>
          <cell r="BE214">
            <v>3.9022096023480946</v>
          </cell>
          <cell r="BF214">
            <v>3.4807709652945</v>
          </cell>
          <cell r="BG214">
            <v>2.9308091527779685</v>
          </cell>
          <cell r="BH214">
            <v>2.2918927574723709</v>
          </cell>
          <cell r="BI214">
            <v>1.6318276433203274</v>
          </cell>
        </row>
        <row r="215">
          <cell r="Y215">
            <v>238.37982129321796</v>
          </cell>
          <cell r="Z215">
            <v>239.75298834722713</v>
          </cell>
          <cell r="AA215">
            <v>240.21153538088345</v>
          </cell>
          <cell r="AB215">
            <v>237.06171352532618</v>
          </cell>
          <cell r="AC215">
            <v>232.94243440324783</v>
          </cell>
          <cell r="AD215">
            <v>224.11528091775858</v>
          </cell>
          <cell r="AE215">
            <v>214.89969964735687</v>
          </cell>
          <cell r="AF215">
            <v>204.79257663395563</v>
          </cell>
          <cell r="AG215">
            <v>191.63638708709607</v>
          </cell>
          <cell r="AH215">
            <v>175.56481923271951</v>
          </cell>
          <cell r="AI215">
            <v>156.95487166912389</v>
          </cell>
          <cell r="AJ215">
            <v>135.57241891522969</v>
          </cell>
          <cell r="AK215">
            <v>111.58964764444126</v>
          </cell>
          <cell r="AL215">
            <v>86.212216488948073</v>
          </cell>
          <cell r="AM215">
            <v>61.561185720806201</v>
          </cell>
          <cell r="AN215">
            <v>39.80347785498271</v>
          </cell>
          <cell r="AO215">
            <v>22.733858523774611</v>
          </cell>
          <cell r="AP215">
            <v>11.109197545546289</v>
          </cell>
          <cell r="AS215">
            <v>3.2409741861128811</v>
          </cell>
          <cell r="AT215">
            <v>3.342728968087799</v>
          </cell>
          <cell r="AU215">
            <v>3.4067058206300174</v>
          </cell>
          <cell r="AV215">
            <v>3.4680265254013576</v>
          </cell>
          <cell r="AW215">
            <v>3.4680879074882145</v>
          </cell>
          <cell r="AX215">
            <v>3.4680879074882145</v>
          </cell>
          <cell r="AY215">
            <v>3.4611517316732381</v>
          </cell>
          <cell r="AZ215">
            <v>3.447307124746545</v>
          </cell>
          <cell r="BA215">
            <v>3.4266232819980655</v>
          </cell>
          <cell r="BB215">
            <v>3.3992102957420811</v>
          </cell>
          <cell r="BC215">
            <v>3.3380245104187236</v>
          </cell>
          <cell r="BD215">
            <v>3.2111795790228119</v>
          </cell>
          <cell r="BE215">
            <v>2.9928193676492607</v>
          </cell>
          <cell r="BF215">
            <v>2.6695948759431403</v>
          </cell>
          <cell r="BG215">
            <v>2.2477988855441238</v>
          </cell>
          <cell r="BH215">
            <v>1.7577787284955044</v>
          </cell>
          <cell r="BI215">
            <v>1.2515384546887987</v>
          </cell>
        </row>
        <row r="216">
          <cell r="Y216">
            <v>1454.7414738190216</v>
          </cell>
          <cell r="Z216">
            <v>1390.2523720942966</v>
          </cell>
          <cell r="AA216">
            <v>1338.9759549401645</v>
          </cell>
          <cell r="AB216">
            <v>1281.9546116544968</v>
          </cell>
          <cell r="AC216">
            <v>1215.8668233626979</v>
          </cell>
          <cell r="AD216">
            <v>1136.891019761782</v>
          </cell>
          <cell r="AE216">
            <v>1051.1661295898073</v>
          </cell>
          <cell r="AF216">
            <v>962.26221310588255</v>
          </cell>
          <cell r="AG216">
            <v>852.11486870173997</v>
          </cell>
          <cell r="AH216">
            <v>725.33407224532755</v>
          </cell>
          <cell r="AI216">
            <v>589.18383298958508</v>
          </cell>
          <cell r="AJ216">
            <v>450.83854822973825</v>
          </cell>
          <cell r="AK216">
            <v>318.8753614492926</v>
          </cell>
          <cell r="AL216">
            <v>203.97516114012046</v>
          </cell>
          <cell r="AM216">
            <v>115.39189554690599</v>
          </cell>
          <cell r="AN216">
            <v>55.806848772120006</v>
          </cell>
          <cell r="AO216">
            <v>22.063876493883093</v>
          </cell>
          <cell r="AP216">
            <v>6.6734189665480628</v>
          </cell>
          <cell r="AS216">
            <v>5.5381839207229184</v>
          </cell>
          <cell r="AT216">
            <v>5.6289899603933762</v>
          </cell>
          <cell r="AU216">
            <v>5.7212848882912137</v>
          </cell>
          <cell r="AV216">
            <v>5.7956615918389991</v>
          </cell>
          <cell r="AW216">
            <v>5.824093989287964</v>
          </cell>
          <cell r="AX216">
            <v>5.824093989287964</v>
          </cell>
          <cell r="AY216">
            <v>5.812445801309388</v>
          </cell>
          <cell r="AZ216">
            <v>5.7891960181041506</v>
          </cell>
          <cell r="BA216">
            <v>5.7544608419955257</v>
          </cell>
          <cell r="BB216">
            <v>5.7084251552595617</v>
          </cell>
          <cell r="BC216">
            <v>5.6056735024648896</v>
          </cell>
          <cell r="BD216">
            <v>5.3926579093712235</v>
          </cell>
          <cell r="BE216">
            <v>5.0259571715339799</v>
          </cell>
          <cell r="BF216">
            <v>4.4831537970083097</v>
          </cell>
          <cell r="BG216">
            <v>3.7748154970809962</v>
          </cell>
          <cell r="BH216">
            <v>2.9519057187173381</v>
          </cell>
          <cell r="BI216">
            <v>2.1017568717267441</v>
          </cell>
        </row>
        <row r="217">
          <cell r="Y217">
            <v>1106.8633126575778</v>
          </cell>
          <cell r="Z217">
            <v>1025.9305717826117</v>
          </cell>
          <cell r="AA217">
            <v>993.41040754720859</v>
          </cell>
          <cell r="AB217">
            <v>955.04144717631368</v>
          </cell>
          <cell r="AC217">
            <v>911.44347678247561</v>
          </cell>
          <cell r="AD217">
            <v>858.72549342866228</v>
          </cell>
          <cell r="AE217">
            <v>781.36128819987061</v>
          </cell>
          <cell r="AF217">
            <v>702.70719016745932</v>
          </cell>
          <cell r="AG217">
            <v>607.14829228197061</v>
          </cell>
          <cell r="AH217">
            <v>499.92657347773638</v>
          </cell>
          <cell r="AI217">
            <v>388.58540815255094</v>
          </cell>
          <cell r="AJ217">
            <v>280.93013351751551</v>
          </cell>
          <cell r="AK217">
            <v>184.76086297683582</v>
          </cell>
          <cell r="AL217">
            <v>107.66436425194212</v>
          </cell>
          <cell r="AM217">
            <v>54.063987982809671</v>
          </cell>
          <cell r="AN217">
            <v>22.372531185108318</v>
          </cell>
          <cell r="AO217">
            <v>7.1601430838380828</v>
          </cell>
          <cell r="AP217">
            <v>1.5944046511607466</v>
          </cell>
          <cell r="AS217">
            <v>2.3149676397170142</v>
          </cell>
          <cell r="AT217">
            <v>2.3913615718276757</v>
          </cell>
          <cell r="AU217">
            <v>2.4702765036979888</v>
          </cell>
          <cell r="AV217">
            <v>2.551795628320022</v>
          </cell>
          <cell r="AW217">
            <v>2.6219865812864538</v>
          </cell>
          <cell r="AX217">
            <v>2.6219865812864538</v>
          </cell>
          <cell r="AY217">
            <v>2.6167426081238809</v>
          </cell>
          <cell r="AZ217">
            <v>2.6062756376913856</v>
          </cell>
          <cell r="BA217">
            <v>2.5906379838652374</v>
          </cell>
          <cell r="BB217">
            <v>2.5699128799943156</v>
          </cell>
          <cell r="BC217">
            <v>2.5236544481544181</v>
          </cell>
          <cell r="BD217">
            <v>2.42775557912455</v>
          </cell>
          <cell r="BE217">
            <v>2.2626681997440805</v>
          </cell>
          <cell r="BF217">
            <v>2.0183000341717197</v>
          </cell>
          <cell r="BG217">
            <v>1.6994086287725876</v>
          </cell>
          <cell r="BH217">
            <v>1.3289375477001633</v>
          </cell>
          <cell r="BI217">
            <v>0.94620353396251589</v>
          </cell>
        </row>
        <row r="218">
          <cell r="Y218">
            <v>1567.5846848129866</v>
          </cell>
          <cell r="Z218">
            <v>1494.0237712727744</v>
          </cell>
          <cell r="AA218">
            <v>1456.7753593386615</v>
          </cell>
          <cell r="AB218">
            <v>1418.506371680138</v>
          </cell>
          <cell r="AC218">
            <v>1365.8030251507134</v>
          </cell>
          <cell r="AD218">
            <v>1294.7114069302518</v>
          </cell>
          <cell r="AE218">
            <v>1207.4518347758394</v>
          </cell>
          <cell r="AF218">
            <v>1115.9163289464072</v>
          </cell>
          <cell r="AG218">
            <v>1001.2691785042909</v>
          </cell>
          <cell r="AH218">
            <v>867.47609781602182</v>
          </cell>
          <cell r="AI218">
            <v>721.19674975098951</v>
          </cell>
          <cell r="AJ218">
            <v>568.45556855617872</v>
          </cell>
          <cell r="AK218">
            <v>417.43829327114207</v>
          </cell>
          <cell r="AL218">
            <v>279.97957004821359</v>
          </cell>
          <cell r="AM218">
            <v>168.08826141382428</v>
          </cell>
          <cell r="AN218">
            <v>87.68816044986076</v>
          </cell>
          <cell r="AO218">
            <v>38.268269707720584</v>
          </cell>
          <cell r="AP218">
            <v>13.238619760106909</v>
          </cell>
          <cell r="AS218">
            <v>0.45808321247464173</v>
          </cell>
          <cell r="AT218">
            <v>0.46861912636155845</v>
          </cell>
          <cell r="AU218">
            <v>0.48127184277332047</v>
          </cell>
          <cell r="AV218">
            <v>0.49137855147156018</v>
          </cell>
          <cell r="AW218">
            <v>0.49666330878179943</v>
          </cell>
          <cell r="AX218">
            <v>0.49666330878179943</v>
          </cell>
          <cell r="AY218">
            <v>0.49566998216423586</v>
          </cell>
          <cell r="AZ218">
            <v>0.49368730223557888</v>
          </cell>
          <cell r="BA218">
            <v>0.4907251784221654</v>
          </cell>
          <cell r="BB218">
            <v>0.48679937699478809</v>
          </cell>
          <cell r="BC218">
            <v>0.47803698820888191</v>
          </cell>
          <cell r="BD218">
            <v>0.45987158265694439</v>
          </cell>
          <cell r="BE218">
            <v>0.42860031503627216</v>
          </cell>
          <cell r="BF218">
            <v>0.38231148101235474</v>
          </cell>
          <cell r="BG218">
            <v>0.32190626701240266</v>
          </cell>
          <cell r="BH218">
            <v>0.2517307008036988</v>
          </cell>
          <cell r="BI218">
            <v>0.17923225897223349</v>
          </cell>
        </row>
        <row r="219">
          <cell r="Y219">
            <v>3920.9383887896388</v>
          </cell>
          <cell r="Z219">
            <v>3470.0767222026993</v>
          </cell>
          <cell r="AA219">
            <v>3242.6894693742729</v>
          </cell>
          <cell r="AB219">
            <v>2995.8549234374523</v>
          </cell>
          <cell r="AC219">
            <v>2674.2014249998056</v>
          </cell>
          <cell r="AD219">
            <v>2360.9717186012585</v>
          </cell>
          <cell r="AE219">
            <v>2061.0252908610305</v>
          </cell>
          <cell r="AF219">
            <v>1770.1525831888443</v>
          </cell>
          <cell r="AG219">
            <v>1433.6076594688275</v>
          </cell>
          <cell r="AH219">
            <v>1080.1214718467047</v>
          </cell>
          <cell r="AI219">
            <v>744.43945883066351</v>
          </cell>
          <cell r="AJ219">
            <v>459.10135984060787</v>
          </cell>
          <cell r="AK219">
            <v>244.63442206855464</v>
          </cell>
          <cell r="AL219">
            <v>107.5081670253121</v>
          </cell>
          <cell r="AM219">
            <v>36.795199656837653</v>
          </cell>
          <cell r="AN219">
            <v>8.7643735810824595</v>
          </cell>
          <cell r="AO219">
            <v>1.1443352136635694</v>
          </cell>
          <cell r="AP219">
            <v>2.515163354816875E-2</v>
          </cell>
          <cell r="AS219">
            <v>31.070134270090104</v>
          </cell>
          <cell r="AT219">
            <v>31.846887626842353</v>
          </cell>
          <cell r="AU219">
            <v>32.61121292988657</v>
          </cell>
          <cell r="AV219">
            <v>32.61121292988657</v>
          </cell>
          <cell r="AW219">
            <v>32.61121292988657</v>
          </cell>
          <cell r="AX219">
            <v>32.61121292988657</v>
          </cell>
          <cell r="AY219">
            <v>32.545990504026797</v>
          </cell>
          <cell r="AZ219">
            <v>32.415806542010692</v>
          </cell>
          <cell r="BA219">
            <v>32.221311702758626</v>
          </cell>
          <cell r="BB219">
            <v>31.963541209136558</v>
          </cell>
          <cell r="BC219">
            <v>31.388197467372098</v>
          </cell>
          <cell r="BD219">
            <v>30.195445963611956</v>
          </cell>
          <cell r="BE219">
            <v>28.14215563808634</v>
          </cell>
          <cell r="BF219">
            <v>25.102802829173012</v>
          </cell>
          <cell r="BG219">
            <v>21.136559982163671</v>
          </cell>
          <cell r="BH219">
            <v>16.528789906051987</v>
          </cell>
          <cell r="BI219">
            <v>11.768498413109011</v>
          </cell>
        </row>
        <row r="220">
          <cell r="Y220">
            <v>133.66592608149202</v>
          </cell>
          <cell r="Z220">
            <v>120.12140484544638</v>
          </cell>
          <cell r="AA220">
            <v>113.37619016384534</v>
          </cell>
          <cell r="AB220">
            <v>108.61511944917807</v>
          </cell>
          <cell r="AC220">
            <v>101.04812988894496</v>
          </cell>
          <cell r="AD220">
            <v>91.806222340785681</v>
          </cell>
          <cell r="AE220">
            <v>82.548696105359824</v>
          </cell>
          <cell r="AF220">
            <v>73.267663217093386</v>
          </cell>
          <cell r="AG220">
            <v>62.150787994164887</v>
          </cell>
          <cell r="AH220">
            <v>49.910363039507068</v>
          </cell>
          <cell r="AI220">
            <v>37.516354702306351</v>
          </cell>
          <cell r="AJ220">
            <v>25.963503158456678</v>
          </cell>
          <cell r="AK220">
            <v>16.133121970100508</v>
          </cell>
          <cell r="AL220">
            <v>8.7290265984982902</v>
          </cell>
          <cell r="AM220">
            <v>3.9774134907050804</v>
          </cell>
          <cell r="AN220">
            <v>1.4427818932764416</v>
          </cell>
          <cell r="AO220">
            <v>0.38225244268315633</v>
          </cell>
          <cell r="AP220">
            <v>6.2809218587169799E-2</v>
          </cell>
          <cell r="AS220">
            <v>6.7299707236868178</v>
          </cell>
          <cell r="AT220">
            <v>6.8309202845421195</v>
          </cell>
          <cell r="AU220">
            <v>7.094648940241278</v>
          </cell>
          <cell r="AV220">
            <v>7.2152579722253787</v>
          </cell>
          <cell r="AW220">
            <v>7.2272592008065351</v>
          </cell>
          <cell r="AX220">
            <v>7.2272592008065351</v>
          </cell>
          <cell r="AY220">
            <v>7.2128046824049221</v>
          </cell>
          <cell r="AZ220">
            <v>7.1839534636753024</v>
          </cell>
          <cell r="BA220">
            <v>7.1408497428932503</v>
          </cell>
          <cell r="BB220">
            <v>7.0837229449501038</v>
          </cell>
          <cell r="BC220">
            <v>6.956215931941002</v>
          </cell>
          <cell r="BD220">
            <v>6.6918797265272438</v>
          </cell>
          <cell r="BE220">
            <v>6.2368319051233909</v>
          </cell>
          <cell r="BF220">
            <v>5.5632540593700641</v>
          </cell>
          <cell r="BG220">
            <v>4.6842599179895936</v>
          </cell>
          <cell r="BH220">
            <v>3.6630912558678612</v>
          </cell>
          <cell r="BI220">
            <v>2.6081209741779161</v>
          </cell>
        </row>
        <row r="221">
          <cell r="Y221">
            <v>786.25921376206281</v>
          </cell>
          <cell r="Z221">
            <v>692.89862380992395</v>
          </cell>
          <cell r="AA221">
            <v>651.37950540481972</v>
          </cell>
          <cell r="AB221">
            <v>602.80381785229952</v>
          </cell>
          <cell r="AC221">
            <v>535.59814972254242</v>
          </cell>
          <cell r="AD221">
            <v>470.45476746496701</v>
          </cell>
          <cell r="AE221">
            <v>408.39170653588724</v>
          </cell>
          <cell r="AF221">
            <v>348.57378045274322</v>
          </cell>
          <cell r="AG221">
            <v>279.81130741476335</v>
          </cell>
          <cell r="AH221">
            <v>208.23341988238147</v>
          </cell>
          <cell r="AI221">
            <v>141.0975290010563</v>
          </cell>
          <cell r="AJ221">
            <v>85.036969104157336</v>
          </cell>
          <cell r="AK221">
            <v>43.911227521330389</v>
          </cell>
          <cell r="AL221">
            <v>18.46703841362207</v>
          </cell>
          <cell r="AM221">
            <v>5.930646913132497</v>
          </cell>
          <cell r="AN221">
            <v>1.2751513718960317</v>
          </cell>
          <cell r="AO221">
            <v>0.13459883877282525</v>
          </cell>
          <cell r="AP221">
            <v>-6.0755165991035944E-4</v>
          </cell>
          <cell r="AS221">
            <v>2.7592972879656843</v>
          </cell>
          <cell r="AT221">
            <v>2.8558726930444829</v>
          </cell>
          <cell r="AU221">
            <v>2.9415488738358175</v>
          </cell>
          <cell r="AV221">
            <v>2.9415488738358175</v>
          </cell>
          <cell r="AW221">
            <v>2.9415488738358175</v>
          </cell>
          <cell r="AX221">
            <v>2.9415488738358175</v>
          </cell>
          <cell r="AY221">
            <v>2.9356657760881459</v>
          </cell>
          <cell r="AZ221">
            <v>2.9239231129837933</v>
          </cell>
          <cell r="BA221">
            <v>2.9063795743058907</v>
          </cell>
          <cell r="BB221">
            <v>2.8831285377114435</v>
          </cell>
          <cell r="BC221">
            <v>2.8312322240326373</v>
          </cell>
          <cell r="BD221">
            <v>2.723645399519397</v>
          </cell>
          <cell r="BE221">
            <v>2.5384375123520777</v>
          </cell>
          <cell r="BF221">
            <v>2.2642862610180532</v>
          </cell>
          <cell r="BG221">
            <v>1.9065290317772006</v>
          </cell>
          <cell r="BH221">
            <v>1.4909057028497705</v>
          </cell>
          <cell r="BI221">
            <v>1.0615248604290362</v>
          </cell>
        </row>
        <row r="222">
          <cell r="Y222">
            <v>422.2974887072686</v>
          </cell>
          <cell r="Z222">
            <v>398.43151739847178</v>
          </cell>
          <cell r="AA222">
            <v>391.75409255246279</v>
          </cell>
          <cell r="AB222">
            <v>385.08814197367019</v>
          </cell>
          <cell r="AC222">
            <v>368.20221197762447</v>
          </cell>
          <cell r="AD222">
            <v>352.19143841086088</v>
          </cell>
          <cell r="AE222">
            <v>329.19274672386564</v>
          </cell>
          <cell r="AF222">
            <v>304.99239208775606</v>
          </cell>
          <cell r="AG222">
            <v>274.59424845619083</v>
          </cell>
          <cell r="AH222">
            <v>238.99148393014718</v>
          </cell>
          <cell r="AI222">
            <v>199.88464216603927</v>
          </cell>
          <cell r="AJ222">
            <v>158.75558600036194</v>
          </cell>
          <cell r="AK222">
            <v>117.70380659283899</v>
          </cell>
          <cell r="AL222">
            <v>79.90110548562113</v>
          </cell>
          <cell r="AM222">
            <v>48.693781183840514</v>
          </cell>
          <cell r="AN222">
            <v>25.887438540235021</v>
          </cell>
          <cell r="AO222">
            <v>11.575746004458846</v>
          </cell>
          <cell r="AP222">
            <v>4.1362750883897439</v>
          </cell>
          <cell r="AS222">
            <v>0.67673233597920668</v>
          </cell>
          <cell r="AT222">
            <v>0.69703430605858285</v>
          </cell>
          <cell r="AU222">
            <v>0.72143050677063325</v>
          </cell>
          <cell r="AV222">
            <v>0.73008767285188081</v>
          </cell>
          <cell r="AW222">
            <v>0.74307864342814867</v>
          </cell>
          <cell r="AX222">
            <v>0.74307864342814867</v>
          </cell>
          <cell r="AY222">
            <v>0.74159248614129236</v>
          </cell>
          <cell r="AZ222">
            <v>0.73862611619672724</v>
          </cell>
          <cell r="BA222">
            <v>0.73419435949954692</v>
          </cell>
          <cell r="BB222">
            <v>0.72832080462355053</v>
          </cell>
          <cell r="BC222">
            <v>0.71521103014032661</v>
          </cell>
          <cell r="BD222">
            <v>0.68803301099499414</v>
          </cell>
          <cell r="BE222">
            <v>0.64124676624733445</v>
          </cell>
          <cell r="BF222">
            <v>0.5719921154926223</v>
          </cell>
          <cell r="BG222">
            <v>0.48161736124478788</v>
          </cell>
          <cell r="BH222">
            <v>0.37662477649342402</v>
          </cell>
          <cell r="BI222">
            <v>0.26815684086331781</v>
          </cell>
        </row>
        <row r="223">
          <cell r="Y223">
            <v>1299.6451110609175</v>
          </cell>
          <cell r="Z223">
            <v>1181.0311666752646</v>
          </cell>
          <cell r="AA223">
            <v>1122.8065822122583</v>
          </cell>
          <cell r="AB223">
            <v>1059.5567876353607</v>
          </cell>
          <cell r="AC223">
            <v>976.30193173309067</v>
          </cell>
          <cell r="AD223">
            <v>892.61246302655059</v>
          </cell>
          <cell r="AE223">
            <v>809.62094849533355</v>
          </cell>
          <cell r="AF223">
            <v>725.56499258559893</v>
          </cell>
          <cell r="AG223">
            <v>623.83204159301795</v>
          </cell>
          <cell r="AH223">
            <v>510.25704013794962</v>
          </cell>
          <cell r="AI223">
            <v>393.10782025658295</v>
          </cell>
          <cell r="AJ223">
            <v>280.93971570575457</v>
          </cell>
          <cell r="AK223">
            <v>182.0301822482937</v>
          </cell>
          <cell r="AL223">
            <v>104.03780058774707</v>
          </cell>
          <cell r="AM223">
            <v>50.944501635711646</v>
          </cell>
          <cell r="AN223">
            <v>20.383325787253934</v>
          </cell>
          <cell r="AO223">
            <v>6.2220751460248751</v>
          </cell>
          <cell r="AP223">
            <v>1.2880519954853245</v>
          </cell>
          <cell r="AS223">
            <v>8.6006916200714176</v>
          </cell>
          <cell r="AT223">
            <v>8.7417119201190072</v>
          </cell>
          <cell r="AU223">
            <v>8.8850444441020642</v>
          </cell>
          <cell r="AV223">
            <v>8.8850444441020642</v>
          </cell>
          <cell r="AW223">
            <v>8.8850444441020642</v>
          </cell>
          <cell r="AX223">
            <v>8.8850444441020642</v>
          </cell>
          <cell r="AY223">
            <v>8.8672743552138602</v>
          </cell>
          <cell r="AZ223">
            <v>8.831805257793004</v>
          </cell>
          <cell r="BA223">
            <v>8.778814426246246</v>
          </cell>
          <cell r="BB223">
            <v>8.7085839108362766</v>
          </cell>
          <cell r="BC223">
            <v>8.551829400441223</v>
          </cell>
          <cell r="BD223">
            <v>8.2268598832244564</v>
          </cell>
          <cell r="BE223">
            <v>7.6674334111651925</v>
          </cell>
          <cell r="BF223">
            <v>6.8393506027593514</v>
          </cell>
          <cell r="BG223">
            <v>5.758733207523373</v>
          </cell>
          <cell r="BH223">
            <v>4.5033293682832767</v>
          </cell>
          <cell r="BI223">
            <v>3.2063705102176918</v>
          </cell>
        </row>
        <row r="224">
          <cell r="Y224">
            <v>280.44734179922801</v>
          </cell>
          <cell r="Z224">
            <v>261.852276303228</v>
          </cell>
          <cell r="AA224">
            <v>257.3278453781864</v>
          </cell>
          <cell r="AB224">
            <v>255.55598776832764</v>
          </cell>
          <cell r="AC224">
            <v>250.78968150748412</v>
          </cell>
          <cell r="AD224">
            <v>242.98428011306765</v>
          </cell>
          <cell r="AE224">
            <v>222.15404242603881</v>
          </cell>
          <cell r="AF224">
            <v>201.25588875749497</v>
          </cell>
          <cell r="AG224">
            <v>175.87831646265977</v>
          </cell>
          <cell r="AH224">
            <v>147.15513973792847</v>
          </cell>
          <cell r="AI224">
            <v>116.84718994218585</v>
          </cell>
          <cell r="AJ224">
            <v>87.517279347591852</v>
          </cell>
          <cell r="AK224">
            <v>61.173019310518093</v>
          </cell>
          <cell r="AL224">
            <v>39.358552732045297</v>
          </cell>
          <cell r="AM224">
            <v>22.990434557624255</v>
          </cell>
          <cell r="AN224">
            <v>11.865535330695376</v>
          </cell>
          <cell r="AO224">
            <v>5.1957218873427395</v>
          </cell>
          <cell r="AP224">
            <v>1.7979736945654001</v>
          </cell>
          <cell r="AS224">
            <v>1.996924142541971</v>
          </cell>
          <cell r="AT224">
            <v>2.0867857289563596</v>
          </cell>
          <cell r="AU224">
            <v>2.2188046028244122</v>
          </cell>
          <cell r="AV224">
            <v>2.3474952697882281</v>
          </cell>
          <cell r="AW224">
            <v>2.4696259927089108</v>
          </cell>
          <cell r="AX224">
            <v>2.4696259927089108</v>
          </cell>
          <cell r="AY224">
            <v>2.4696259927089108</v>
          </cell>
          <cell r="AZ224">
            <v>2.4696259927089108</v>
          </cell>
          <cell r="BA224">
            <v>2.4696259927089108</v>
          </cell>
          <cell r="BB224">
            <v>2.4696259927089108</v>
          </cell>
          <cell r="BC224">
            <v>2.4696259927089108</v>
          </cell>
          <cell r="BD224">
            <v>2.4696259927089108</v>
          </cell>
          <cell r="BE224">
            <v>2.4696259927089108</v>
          </cell>
          <cell r="BF224">
            <v>2.4696259927089108</v>
          </cell>
          <cell r="BG224">
            <v>2.4696259927089108</v>
          </cell>
          <cell r="BH224">
            <v>2.4696259927089108</v>
          </cell>
          <cell r="BI224">
            <v>2.4696259927089108</v>
          </cell>
        </row>
        <row r="240">
          <cell r="Y240">
            <v>581.24862850519014</v>
          </cell>
          <cell r="Z240">
            <v>582.99237439070566</v>
          </cell>
          <cell r="AA240">
            <v>591.73726000656609</v>
          </cell>
          <cell r="AB240">
            <v>608.85492611509119</v>
          </cell>
          <cell r="AC240">
            <v>623.40597341181262</v>
          </cell>
          <cell r="AD240">
            <v>636.4664776949752</v>
          </cell>
          <cell r="AE240">
            <v>649.16173256173249</v>
          </cell>
          <cell r="AF240">
            <v>10.269016866646844</v>
          </cell>
          <cell r="AG240">
            <v>11.661211243948237</v>
          </cell>
          <cell r="AH240">
            <v>11.845416187265004</v>
          </cell>
          <cell r="AI240">
            <v>11.341872253594167</v>
          </cell>
          <cell r="AJ240">
            <v>10.830774349221649</v>
          </cell>
          <cell r="AK240">
            <v>10.739660954282257</v>
          </cell>
          <cell r="AL240" t="e">
            <v>#REF!</v>
          </cell>
          <cell r="AM240" t="e">
            <v>#REF!</v>
          </cell>
          <cell r="AN240" t="e">
            <v>#REF!</v>
          </cell>
          <cell r="AO240" t="e">
            <v>#REF!</v>
          </cell>
          <cell r="AP240" t="e">
            <v>#REF!</v>
          </cell>
          <cell r="AR240">
            <v>0.47882842736883524</v>
          </cell>
          <cell r="AS240">
            <v>0.48840499591621195</v>
          </cell>
          <cell r="AT240">
            <v>0.49817309583453617</v>
          </cell>
          <cell r="AU240">
            <v>0.5081365577512269</v>
          </cell>
          <cell r="AV240">
            <v>0.51829928890625143</v>
          </cell>
          <cell r="AW240">
            <v>0.52866527468437652</v>
          </cell>
          <cell r="AX240">
            <v>0.53923858017806403</v>
          </cell>
          <cell r="AY240">
            <v>0.55002335178162531</v>
          </cell>
          <cell r="AZ240">
            <v>0.56102381881725782</v>
          </cell>
          <cell r="BA240">
            <v>0.57224429519360298</v>
          </cell>
          <cell r="BB240">
            <v>0.58368918109747503</v>
          </cell>
          <cell r="BC240">
            <v>0.59536296471942451</v>
          </cell>
          <cell r="BD240">
            <v>0.60727022401381303</v>
          </cell>
          <cell r="BE240">
            <v>0.61941562849408927</v>
          </cell>
          <cell r="BF240">
            <v>0.63180394106397109</v>
          </cell>
          <cell r="BG240">
            <v>0.64444001988525057</v>
          </cell>
          <cell r="BH240">
            <v>0.65732882028295558</v>
          </cell>
          <cell r="BI240">
            <v>0.67047539668861467</v>
          </cell>
        </row>
        <row r="241">
          <cell r="Y241">
            <v>1323.5183470204013</v>
          </cell>
          <cell r="Z241">
            <v>2791.3001938660263</v>
          </cell>
          <cell r="AA241">
            <v>2880.6218000697399</v>
          </cell>
          <cell r="AB241">
            <v>2961.057410910571</v>
          </cell>
          <cell r="AC241">
            <v>3019.9226628053543</v>
          </cell>
          <cell r="AD241">
            <v>3080.1650626415658</v>
          </cell>
          <cell r="AE241">
            <v>3123.087133342392</v>
          </cell>
          <cell r="AF241">
            <v>69.981057294890419</v>
          </cell>
          <cell r="AG241">
            <v>34.619280897917449</v>
          </cell>
          <cell r="AH241">
            <v>39.474164641130351</v>
          </cell>
          <cell r="AI241">
            <v>55.155430082093488</v>
          </cell>
          <cell r="AJ241">
            <v>49.597655248742072</v>
          </cell>
          <cell r="AK241">
            <v>50.254653296811227</v>
          </cell>
          <cell r="AL241" t="e">
            <v>#REF!</v>
          </cell>
          <cell r="AM241" t="e">
            <v>#REF!</v>
          </cell>
          <cell r="AN241" t="e">
            <v>#REF!</v>
          </cell>
          <cell r="AO241" t="e">
            <v>#REF!</v>
          </cell>
          <cell r="AP241" t="e">
            <v>#REF!</v>
          </cell>
          <cell r="AR241">
            <v>1.990680034736596</v>
          </cell>
          <cell r="AS241">
            <v>2.0304936354313279</v>
          </cell>
          <cell r="AT241">
            <v>2.0711035081399545</v>
          </cell>
          <cell r="AU241">
            <v>2.1125255783027534</v>
          </cell>
          <cell r="AV241">
            <v>2.1547760898688084</v>
          </cell>
          <cell r="AW241">
            <v>2.1978716116661845</v>
          </cell>
          <cell r="AX241">
            <v>2.2418290438995081</v>
          </cell>
          <cell r="AY241">
            <v>2.2866656247774984</v>
          </cell>
          <cell r="AZ241">
            <v>2.3323989372730485</v>
          </cell>
          <cell r="BA241">
            <v>2.3790469160185097</v>
          </cell>
          <cell r="BB241">
            <v>2.42662785433888</v>
          </cell>
          <cell r="BC241">
            <v>2.4751604114256578</v>
          </cell>
          <cell r="BD241">
            <v>2.524663619654171</v>
          </cell>
          <cell r="BE241">
            <v>2.5751568920472545</v>
          </cell>
          <cell r="BF241">
            <v>2.6266600298881997</v>
          </cell>
          <cell r="BG241">
            <v>2.6791932304859638</v>
          </cell>
          <cell r="BH241">
            <v>2.7327770950956833</v>
          </cell>
          <cell r="BI241">
            <v>2.7874326369975972</v>
          </cell>
        </row>
        <row r="242">
          <cell r="Y242">
            <v>496.83233250215335</v>
          </cell>
          <cell r="Z242">
            <v>510.74363781221365</v>
          </cell>
          <cell r="AA242">
            <v>516.36181782814788</v>
          </cell>
          <cell r="AB242">
            <v>528.18595677883832</v>
          </cell>
          <cell r="AC242">
            <v>536.56329077601788</v>
          </cell>
          <cell r="AD242">
            <v>554.25550255617964</v>
          </cell>
          <cell r="AE242">
            <v>573.64066824022848</v>
          </cell>
          <cell r="AF242">
            <v>3.4651109653313759</v>
          </cell>
          <cell r="AG242">
            <v>1.9828836021058813</v>
          </cell>
          <cell r="AH242">
            <v>0.88697118875496572</v>
          </cell>
          <cell r="AI242">
            <v>0.98682545709342684</v>
          </cell>
          <cell r="AJ242">
            <v>0.77124557346284106</v>
          </cell>
          <cell r="AK242">
            <v>0.78299279358203422</v>
          </cell>
          <cell r="AL242" t="e">
            <v>#REF!</v>
          </cell>
          <cell r="AM242" t="e">
            <v>#REF!</v>
          </cell>
          <cell r="AN242" t="e">
            <v>#REF!</v>
          </cell>
          <cell r="AO242" t="e">
            <v>#REF!</v>
          </cell>
          <cell r="AP242" t="e">
            <v>#REF!</v>
          </cell>
          <cell r="AR242">
            <v>7.8008447341311413</v>
          </cell>
          <cell r="AS242">
            <v>7.8008447341311413</v>
          </cell>
          <cell r="AT242">
            <v>7.8008447341311413</v>
          </cell>
          <cell r="AU242">
            <v>7.8008447341311413</v>
          </cell>
          <cell r="AV242">
            <v>7.8008447341311413</v>
          </cell>
          <cell r="AW242">
            <v>7.8008447341311413</v>
          </cell>
          <cell r="AX242">
            <v>7.8008447341311413</v>
          </cell>
          <cell r="AY242">
            <v>7.8008447341311413</v>
          </cell>
          <cell r="AZ242">
            <v>7.8008447341311413</v>
          </cell>
          <cell r="BA242">
            <v>7.8008447341311413</v>
          </cell>
          <cell r="BB242">
            <v>7.8008447341311413</v>
          </cell>
          <cell r="BC242">
            <v>7.8008447341311413</v>
          </cell>
          <cell r="BD242">
            <v>7.8008447341311413</v>
          </cell>
          <cell r="BE242">
            <v>7.8008447341311413</v>
          </cell>
          <cell r="BF242">
            <v>7.8008447341311413</v>
          </cell>
          <cell r="BG242">
            <v>7.8008447341311413</v>
          </cell>
          <cell r="BH242">
            <v>7.8008447341311413</v>
          </cell>
          <cell r="BI242">
            <v>7.8008447341311413</v>
          </cell>
        </row>
        <row r="243">
          <cell r="Y243">
            <v>169.85144597855836</v>
          </cell>
          <cell r="Z243">
            <v>179.0234240614005</v>
          </cell>
          <cell r="AA243">
            <v>182.42486911856707</v>
          </cell>
          <cell r="AB243">
            <v>188.80183855686005</v>
          </cell>
          <cell r="AC243">
            <v>196.15966405369616</v>
          </cell>
          <cell r="AD243">
            <v>203.4138173717393</v>
          </cell>
          <cell r="AE243">
            <v>208.49021726530702</v>
          </cell>
          <cell r="AF243">
            <v>19.285456611114078</v>
          </cell>
          <cell r="AG243">
            <v>7.8390813318833654</v>
          </cell>
          <cell r="AH243">
            <v>8.4412593093751802</v>
          </cell>
          <cell r="AI243">
            <v>8.8255160456766255</v>
          </cell>
          <cell r="AJ243">
            <v>9.3168389895155403</v>
          </cell>
          <cell r="AK243">
            <v>9.8108149426461857</v>
          </cell>
          <cell r="AL243" t="e">
            <v>#REF!</v>
          </cell>
          <cell r="AM243" t="e">
            <v>#REF!</v>
          </cell>
          <cell r="AN243" t="e">
            <v>#REF!</v>
          </cell>
          <cell r="AO243" t="e">
            <v>#REF!</v>
          </cell>
          <cell r="AP243" t="e">
            <v>#REF!</v>
          </cell>
          <cell r="AR243">
            <v>1.9709498469205404</v>
          </cell>
          <cell r="AS243">
            <v>2.0103688438589513</v>
          </cell>
          <cell r="AT243">
            <v>2.0505762207361302</v>
          </cell>
          <cell r="AU243">
            <v>2.0915877451508527</v>
          </cell>
          <cell r="AV243">
            <v>2.1334195000538698</v>
          </cell>
          <cell r="AW243">
            <v>2.1760878900549474</v>
          </cell>
          <cell r="AX243">
            <v>2.2196096478560463</v>
          </cell>
          <cell r="AY243">
            <v>2.2640018408131675</v>
          </cell>
          <cell r="AZ243">
            <v>2.3092818776294308</v>
          </cell>
          <cell r="BA243">
            <v>2.3554675151820197</v>
          </cell>
          <cell r="BB243">
            <v>2.4025768654856603</v>
          </cell>
          <cell r="BC243">
            <v>2.4506284027953735</v>
          </cell>
          <cell r="BD243">
            <v>2.499640970851281</v>
          </cell>
          <cell r="BE243">
            <v>2.5496337902683068</v>
          </cell>
          <cell r="BF243">
            <v>2.6006264660736731</v>
          </cell>
          <cell r="BG243">
            <v>2.6526389953951468</v>
          </cell>
          <cell r="BH243">
            <v>2.7056917753030496</v>
          </cell>
          <cell r="BI243">
            <v>2.7598056108091105</v>
          </cell>
        </row>
        <row r="244">
          <cell r="Y244">
            <v>4.2</v>
          </cell>
          <cell r="Z244">
            <v>4.6191644910206602</v>
          </cell>
          <cell r="AA244">
            <v>4.7577394257512795</v>
          </cell>
          <cell r="AB244">
            <v>4.8858091622858444</v>
          </cell>
          <cell r="AC244">
            <v>5.0271217965181112</v>
          </cell>
          <cell r="AD244">
            <v>5.1022207423223636</v>
          </cell>
          <cell r="AE244">
            <v>5.1784321160107414</v>
          </cell>
          <cell r="AF244">
            <v>0.21840925001241152</v>
          </cell>
          <cell r="AG244">
            <v>0.2382069022195609</v>
          </cell>
          <cell r="AH244">
            <v>0.2592654540991346</v>
          </cell>
          <cell r="AI244">
            <v>0.28407710642263201</v>
          </cell>
          <cell r="AJ244">
            <v>0.30818862368725297</v>
          </cell>
          <cell r="AK244">
            <v>0.33363347404264498</v>
          </cell>
          <cell r="AL244" t="e">
            <v>#REF!</v>
          </cell>
          <cell r="AM244" t="e">
            <v>#REF!</v>
          </cell>
          <cell r="AN244" t="e">
            <v>#REF!</v>
          </cell>
          <cell r="AO244" t="e">
            <v>#REF!</v>
          </cell>
          <cell r="AP244" t="e">
            <v>#REF!</v>
          </cell>
          <cell r="AR244">
            <v>0.27256702917581299</v>
          </cell>
          <cell r="AS244">
            <v>0.27801836975932925</v>
          </cell>
          <cell r="AT244">
            <v>0.28357873715451587</v>
          </cell>
          <cell r="AU244">
            <v>0.28925031189760619</v>
          </cell>
          <cell r="AV244">
            <v>0.29503531813555833</v>
          </cell>
          <cell r="AW244">
            <v>0.30093602449826951</v>
          </cell>
          <cell r="AX244">
            <v>0.30695474498823488</v>
          </cell>
          <cell r="AY244">
            <v>0.3130938398879996</v>
          </cell>
          <cell r="AZ244">
            <v>0.31935571668575963</v>
          </cell>
          <cell r="BA244">
            <v>0.32574283101947482</v>
          </cell>
          <cell r="BB244">
            <v>0.3322576876398643</v>
          </cell>
          <cell r="BC244">
            <v>0.33890284139266158</v>
          </cell>
          <cell r="BD244">
            <v>0.34568089822051484</v>
          </cell>
          <cell r="BE244">
            <v>0.35259451618492516</v>
          </cell>
          <cell r="BF244">
            <v>0.35964640650862367</v>
          </cell>
          <cell r="BG244">
            <v>0.36683933463879614</v>
          </cell>
          <cell r="BH244">
            <v>0.37417612133157208</v>
          </cell>
          <cell r="BI244">
            <v>0.38165964375820355</v>
          </cell>
        </row>
        <row r="245">
          <cell r="Y245">
            <v>558.16999553323978</v>
          </cell>
          <cell r="Z245">
            <v>586.07849530990177</v>
          </cell>
          <cell r="AA245">
            <v>600.73045769264922</v>
          </cell>
          <cell r="AB245">
            <v>617.50465599734537</v>
          </cell>
          <cell r="AC245">
            <v>636.60573751987818</v>
          </cell>
          <cell r="AD245">
            <v>656.32102123600794</v>
          </cell>
          <cell r="AE245">
            <v>677.30321526099101</v>
          </cell>
          <cell r="AF245">
            <v>44.340676445563574</v>
          </cell>
          <cell r="AG245">
            <v>30.980797043227252</v>
          </cell>
          <cell r="AH245">
            <v>29.946357860250878</v>
          </cell>
          <cell r="AI245">
            <v>30.176462736238811</v>
          </cell>
          <cell r="AJ245">
            <v>29.632721876394466</v>
          </cell>
          <cell r="AK245">
            <v>29.885129244099094</v>
          </cell>
          <cell r="AL245" t="e">
            <v>#REF!</v>
          </cell>
          <cell r="AM245" t="e">
            <v>#REF!</v>
          </cell>
          <cell r="AN245" t="e">
            <v>#REF!</v>
          </cell>
          <cell r="AO245" t="e">
            <v>#REF!</v>
          </cell>
          <cell r="AP245" t="e">
            <v>#REF!</v>
          </cell>
          <cell r="AR245">
            <v>2.5559084912343706</v>
          </cell>
          <cell r="AS245">
            <v>2.607026661059058</v>
          </cell>
          <cell r="AT245">
            <v>2.6591671942802391</v>
          </cell>
          <cell r="AU245">
            <v>2.7123505381658437</v>
          </cell>
          <cell r="AV245">
            <v>2.7665975489291608</v>
          </cell>
          <cell r="AW245">
            <v>2.821929499907744</v>
          </cell>
          <cell r="AX245">
            <v>2.8783680899058988</v>
          </cell>
          <cell r="AY245">
            <v>2.9359354517040166</v>
          </cell>
          <cell r="AZ245">
            <v>2.9946541607380968</v>
          </cell>
          <cell r="BA245">
            <v>3.0545472439528587</v>
          </cell>
          <cell r="BB245">
            <v>3.115638188831916</v>
          </cell>
          <cell r="BC245">
            <v>3.1779509526085543</v>
          </cell>
          <cell r="BD245">
            <v>3.2415099716607254</v>
          </cell>
          <cell r="BE245">
            <v>3.30634017109394</v>
          </cell>
          <cell r="BF245">
            <v>3.3724669745158189</v>
          </cell>
          <cell r="BG245">
            <v>3.4399163140061355</v>
          </cell>
          <cell r="BH245">
            <v>3.5087146402862581</v>
          </cell>
          <cell r="BI245">
            <v>3.5788889330919833</v>
          </cell>
        </row>
        <row r="246">
          <cell r="Y246">
            <v>820.30555400377796</v>
          </cell>
          <cell r="Z246">
            <v>849.83655394791401</v>
          </cell>
          <cell r="AA246">
            <v>875.33165056635153</v>
          </cell>
          <cell r="AB246">
            <v>890.97809851083503</v>
          </cell>
          <cell r="AC246">
            <v>911.37635670847237</v>
          </cell>
          <cell r="AD246">
            <v>951.47168362073614</v>
          </cell>
          <cell r="AE246">
            <v>994.28245161110522</v>
          </cell>
          <cell r="AF246">
            <v>33.51368362298669</v>
          </cell>
          <cell r="AG246">
            <v>38.759714013170054</v>
          </cell>
          <cell r="AH246">
            <v>41.99087345615547</v>
          </cell>
          <cell r="AI246">
            <v>43.830129175518579</v>
          </cell>
          <cell r="AJ246">
            <v>46.498170864621969</v>
          </cell>
          <cell r="AK246">
            <v>50.206730018871831</v>
          </cell>
          <cell r="AL246" t="e">
            <v>#REF!</v>
          </cell>
          <cell r="AM246" t="e">
            <v>#REF!</v>
          </cell>
          <cell r="AN246" t="e">
            <v>#REF!</v>
          </cell>
          <cell r="AO246" t="e">
            <v>#REF!</v>
          </cell>
          <cell r="AP246" t="e">
            <v>#REF!</v>
          </cell>
          <cell r="AR246">
            <v>3.0352589215630927</v>
          </cell>
          <cell r="AS246">
            <v>3.0959640999943545</v>
          </cell>
          <cell r="AT246">
            <v>3.1578833819942416</v>
          </cell>
          <cell r="AU246">
            <v>3.2210410496341266</v>
          </cell>
          <cell r="AV246">
            <v>3.2854618706268091</v>
          </cell>
          <cell r="AW246">
            <v>3.3511711080393454</v>
          </cell>
          <cell r="AX246">
            <v>3.4181945302001324</v>
          </cell>
          <cell r="AY246">
            <v>3.4865584208041351</v>
          </cell>
          <cell r="AZ246">
            <v>3.556289589220218</v>
          </cell>
          <cell r="BA246">
            <v>3.6274153810046226</v>
          </cell>
          <cell r="BB246">
            <v>3.6999636886247149</v>
          </cell>
          <cell r="BC246">
            <v>3.7739629623972091</v>
          </cell>
          <cell r="BD246">
            <v>3.8494422216451532</v>
          </cell>
          <cell r="BE246">
            <v>3.9264310660780564</v>
          </cell>
          <cell r="BF246">
            <v>4.0049596873996176</v>
          </cell>
          <cell r="BG246">
            <v>4.0850588811476101</v>
          </cell>
          <cell r="BH246">
            <v>4.1667600587705627</v>
          </cell>
          <cell r="BI246">
            <v>4.250095259945974</v>
          </cell>
        </row>
        <row r="247">
          <cell r="Y247">
            <v>653.6588003529464</v>
          </cell>
          <cell r="Z247">
            <v>702.02955157906445</v>
          </cell>
          <cell r="AA247">
            <v>735.72697005485952</v>
          </cell>
          <cell r="AB247">
            <v>776.230899493876</v>
          </cell>
          <cell r="AC247">
            <v>815.84106664401088</v>
          </cell>
          <cell r="AD247">
            <v>853.36819429132629</v>
          </cell>
          <cell r="AE247">
            <v>893.47486774387096</v>
          </cell>
          <cell r="AF247">
            <v>36.985554037239744</v>
          </cell>
          <cell r="AG247">
            <v>41.564283905635769</v>
          </cell>
          <cell r="AH247">
            <v>46.055063009363977</v>
          </cell>
          <cell r="AI247">
            <v>49.257843803896293</v>
          </cell>
          <cell r="AJ247">
            <v>53.198402226909636</v>
          </cell>
          <cell r="AK247">
            <v>56.964116396113674</v>
          </cell>
          <cell r="AL247" t="e">
            <v>#REF!</v>
          </cell>
          <cell r="AM247" t="e">
            <v>#REF!</v>
          </cell>
          <cell r="AN247" t="e">
            <v>#REF!</v>
          </cell>
          <cell r="AO247" t="e">
            <v>#REF!</v>
          </cell>
          <cell r="AP247" t="e">
            <v>#REF!</v>
          </cell>
          <cell r="AR247">
            <v>2.9631747768844696</v>
          </cell>
          <cell r="AS247">
            <v>3.0224382724221592</v>
          </cell>
          <cell r="AT247">
            <v>3.0828870378706026</v>
          </cell>
          <cell r="AU247">
            <v>3.1445447786280147</v>
          </cell>
          <cell r="AV247">
            <v>3.2074356742005752</v>
          </cell>
          <cell r="AW247">
            <v>3.2715843876845869</v>
          </cell>
          <cell r="AX247">
            <v>3.3370160754382789</v>
          </cell>
          <cell r="AY247">
            <v>3.4037563969470446</v>
          </cell>
          <cell r="AZ247">
            <v>3.4718315248859857</v>
          </cell>
          <cell r="BA247">
            <v>3.5412681553837055</v>
          </cell>
          <cell r="BB247">
            <v>3.6120935184913798</v>
          </cell>
          <cell r="BC247">
            <v>3.6843353888612076</v>
          </cell>
          <cell r="BD247">
            <v>3.7580220966384319</v>
          </cell>
          <cell r="BE247">
            <v>3.8331825385712004</v>
          </cell>
          <cell r="BF247">
            <v>3.9098461893426246</v>
          </cell>
          <cell r="BG247">
            <v>3.9880431131294771</v>
          </cell>
          <cell r="BH247">
            <v>4.0678039753920672</v>
          </cell>
          <cell r="BI247">
            <v>4.1491600548999088</v>
          </cell>
        </row>
        <row r="248">
          <cell r="Y248">
            <v>1806.7514390135939</v>
          </cell>
          <cell r="Z248">
            <v>2018.1413573781842</v>
          </cell>
          <cell r="AA248">
            <v>2159.4112523946574</v>
          </cell>
          <cell r="AB248">
            <v>2332.5382565568093</v>
          </cell>
          <cell r="AC248">
            <v>2533.5963257962649</v>
          </cell>
          <cell r="AD248">
            <v>2756.7516109818534</v>
          </cell>
          <cell r="AE248">
            <v>3005.0806394647925</v>
          </cell>
          <cell r="AF248">
            <v>86.964292248861128</v>
          </cell>
          <cell r="AG248">
            <v>97.683054608892789</v>
          </cell>
          <cell r="AH248">
            <v>109.43084321808868</v>
          </cell>
          <cell r="AI248">
            <v>116.56516967784086</v>
          </cell>
          <cell r="AJ248">
            <v>127.5860707105401</v>
          </cell>
          <cell r="AK248">
            <v>137.84756727670057</v>
          </cell>
          <cell r="AL248" t="e">
            <v>#REF!</v>
          </cell>
          <cell r="AM248" t="e">
            <v>#REF!</v>
          </cell>
          <cell r="AN248" t="e">
            <v>#REF!</v>
          </cell>
          <cell r="AO248" t="e">
            <v>#REF!</v>
          </cell>
          <cell r="AP248" t="e">
            <v>#REF!</v>
          </cell>
          <cell r="AR248">
            <v>3.0501431141168038</v>
          </cell>
          <cell r="AS248">
            <v>3.1111459763991398</v>
          </cell>
          <cell r="AT248">
            <v>3.1733688959271227</v>
          </cell>
          <cell r="AU248">
            <v>3.2368362738456651</v>
          </cell>
          <cell r="AV248">
            <v>3.3015729993225786</v>
          </cell>
          <cell r="AW248">
            <v>3.3676044593090304</v>
          </cell>
          <cell r="AX248">
            <v>3.4349565484952111</v>
          </cell>
          <cell r="AY248">
            <v>3.5036556794651155</v>
          </cell>
          <cell r="AZ248">
            <v>3.5737287930544177</v>
          </cell>
          <cell r="BA248">
            <v>3.6452033689155061</v>
          </cell>
          <cell r="BB248">
            <v>3.7181074362938165</v>
          </cell>
          <cell r="BC248">
            <v>3.7924695850196928</v>
          </cell>
          <cell r="BD248">
            <v>3.8683189767200865</v>
          </cell>
          <cell r="BE248">
            <v>3.9456853562544882</v>
          </cell>
          <cell r="BF248">
            <v>4.0245990633795783</v>
          </cell>
          <cell r="BG248">
            <v>4.1050910446471702</v>
          </cell>
          <cell r="BH248">
            <v>4.1871928655401138</v>
          </cell>
          <cell r="BI248">
            <v>4.2709367228509159</v>
          </cell>
        </row>
        <row r="249">
          <cell r="Y249">
            <v>396.91979598081855</v>
          </cell>
          <cell r="Z249">
            <v>408.8273898602431</v>
          </cell>
          <cell r="AA249">
            <v>425.99814023437341</v>
          </cell>
          <cell r="AB249">
            <v>449.02254019876358</v>
          </cell>
          <cell r="AC249">
            <v>475.54509274146562</v>
          </cell>
          <cell r="AD249">
            <v>504.56608527677793</v>
          </cell>
          <cell r="AE249">
            <v>535.86268911306593</v>
          </cell>
          <cell r="AF249">
            <v>20.245313016175473</v>
          </cell>
          <cell r="AG249">
            <v>22.970259489908418</v>
          </cell>
          <cell r="AH249">
            <v>25.002105498325207</v>
          </cell>
          <cell r="AI249">
            <v>27.430770536051686</v>
          </cell>
          <cell r="AJ249">
            <v>29.896285094929155</v>
          </cell>
          <cell r="AK249">
            <v>32.317807206541815</v>
          </cell>
          <cell r="AL249" t="e">
            <v>#REF!</v>
          </cell>
          <cell r="AM249" t="e">
            <v>#REF!</v>
          </cell>
          <cell r="AN249" t="e">
            <v>#REF!</v>
          </cell>
          <cell r="AO249" t="e">
            <v>#REF!</v>
          </cell>
          <cell r="AP249" t="e">
            <v>#REF!</v>
          </cell>
          <cell r="AR249">
            <v>3.1724395660395981</v>
          </cell>
          <cell r="AS249">
            <v>3.2358883573603903</v>
          </cell>
          <cell r="AT249">
            <v>3.3006061245075982</v>
          </cell>
          <cell r="AU249">
            <v>3.3666182469977501</v>
          </cell>
          <cell r="AV249">
            <v>3.4339506119377052</v>
          </cell>
          <cell r="AW249">
            <v>3.5026296241764592</v>
          </cell>
          <cell r="AX249">
            <v>3.5726822166599885</v>
          </cell>
          <cell r="AY249">
            <v>3.6441358609931882</v>
          </cell>
          <cell r="AZ249">
            <v>3.717018578213052</v>
          </cell>
          <cell r="BA249">
            <v>3.791358949777313</v>
          </cell>
          <cell r="BB249">
            <v>3.8671861287728593</v>
          </cell>
          <cell r="BC249">
            <v>3.9445298513483165</v>
          </cell>
          <cell r="BD249">
            <v>4.0234204483752825</v>
          </cell>
          <cell r="BE249">
            <v>4.1038888573427883</v>
          </cell>
          <cell r="BF249">
            <v>4.1859666344896445</v>
          </cell>
          <cell r="BG249">
            <v>4.2696859671794378</v>
          </cell>
          <cell r="BH249">
            <v>4.3550796865230268</v>
          </cell>
          <cell r="BI249">
            <v>4.4421812802534877</v>
          </cell>
        </row>
        <row r="250">
          <cell r="Y250">
            <v>324.28402483758845</v>
          </cell>
          <cell r="Z250">
            <v>341.47107815398061</v>
          </cell>
          <cell r="AA250">
            <v>355.1299212801398</v>
          </cell>
          <cell r="AB250">
            <v>376.46506053548762</v>
          </cell>
          <cell r="AC250">
            <v>403.24113796607423</v>
          </cell>
          <cell r="AD250">
            <v>433.10181951666436</v>
          </cell>
          <cell r="AE250">
            <v>465.60681496536051</v>
          </cell>
          <cell r="AF250">
            <v>35.867345054832313</v>
          </cell>
          <cell r="AG250">
            <v>42.650858915228788</v>
          </cell>
          <cell r="AH250">
            <v>46.905609969230284</v>
          </cell>
          <cell r="AI250">
            <v>53.635576764793889</v>
          </cell>
          <cell r="AJ250">
            <v>61.302348600784327</v>
          </cell>
          <cell r="AK250">
            <v>67.7184072911773</v>
          </cell>
          <cell r="AL250" t="e">
            <v>#REF!</v>
          </cell>
          <cell r="AM250" t="e">
            <v>#REF!</v>
          </cell>
          <cell r="AN250" t="e">
            <v>#REF!</v>
          </cell>
          <cell r="AO250" t="e">
            <v>#REF!</v>
          </cell>
          <cell r="AP250" t="e">
            <v>#REF!</v>
          </cell>
          <cell r="AR250">
            <v>4.2942158563236035</v>
          </cell>
          <cell r="AS250">
            <v>4.3801001734500753</v>
          </cell>
          <cell r="AT250">
            <v>4.4677021769190768</v>
          </cell>
          <cell r="AU250">
            <v>4.5570562204574587</v>
          </cell>
          <cell r="AV250">
            <v>4.6481973448666078</v>
          </cell>
          <cell r="AW250">
            <v>4.7411612917639401</v>
          </cell>
          <cell r="AX250">
            <v>4.8359845175992193</v>
          </cell>
          <cell r="AY250">
            <v>4.932704207951204</v>
          </cell>
          <cell r="AZ250">
            <v>5.0313582921102284</v>
          </cell>
          <cell r="BA250">
            <v>5.1319854579524335</v>
          </cell>
          <cell r="BB250">
            <v>5.2346251671114823</v>
          </cell>
          <cell r="BC250">
            <v>5.3393176704537124</v>
          </cell>
          <cell r="BD250">
            <v>5.4461040238627865</v>
          </cell>
          <cell r="BE250">
            <v>5.5550261043400422</v>
          </cell>
          <cell r="BF250">
            <v>5.6661266264268431</v>
          </cell>
          <cell r="BG250">
            <v>5.77944915895538</v>
          </cell>
          <cell r="BH250">
            <v>5.8950381421344877</v>
          </cell>
          <cell r="BI250">
            <v>6.0129389049771778</v>
          </cell>
        </row>
        <row r="251">
          <cell r="Y251">
            <v>256.41998245933939</v>
          </cell>
          <cell r="Z251">
            <v>237.18848377488894</v>
          </cell>
          <cell r="AA251">
            <v>232.44471409939123</v>
          </cell>
          <cell r="AB251">
            <v>231.22767921517485</v>
          </cell>
          <cell r="AC251">
            <v>234.89508360811158</v>
          </cell>
          <cell r="AD251">
            <v>242.87567217119542</v>
          </cell>
          <cell r="AE251">
            <v>251.37028363459018</v>
          </cell>
          <cell r="AF251">
            <v>4.3772141686263746</v>
          </cell>
          <cell r="AG251">
            <v>4.7632622209323046</v>
          </cell>
          <cell r="AH251">
            <v>5.2564247157068076</v>
          </cell>
          <cell r="AI251">
            <v>5.633671813658224</v>
          </cell>
          <cell r="AJ251">
            <v>6.0135007445910951</v>
          </cell>
          <cell r="AK251">
            <v>6.4062945588961826</v>
          </cell>
          <cell r="AL251" t="e">
            <v>#REF!</v>
          </cell>
          <cell r="AM251" t="e">
            <v>#REF!</v>
          </cell>
          <cell r="AN251" t="e">
            <v>#REF!</v>
          </cell>
          <cell r="AO251" t="e">
            <v>#REF!</v>
          </cell>
          <cell r="AP251" t="e">
            <v>#REF!</v>
          </cell>
          <cell r="AR251">
            <v>6.0602414813269059</v>
          </cell>
          <cell r="AS251">
            <v>6.1814463109534445</v>
          </cell>
          <cell r="AT251">
            <v>6.3050752371725132</v>
          </cell>
          <cell r="AU251">
            <v>6.4311767419159631</v>
          </cell>
          <cell r="AV251">
            <v>6.5598002767542827</v>
          </cell>
          <cell r="AW251">
            <v>6.690996282289368</v>
          </cell>
          <cell r="AX251">
            <v>6.8248162079351555</v>
          </cell>
          <cell r="AY251">
            <v>6.9613125320938591</v>
          </cell>
          <cell r="AZ251">
            <v>7.100538782735736</v>
          </cell>
          <cell r="BA251">
            <v>7.2425495583904507</v>
          </cell>
          <cell r="BB251">
            <v>7.3874005495582598</v>
          </cell>
          <cell r="BC251">
            <v>7.5351485605494251</v>
          </cell>
          <cell r="BD251">
            <v>7.6858515317604139</v>
          </cell>
          <cell r="BE251">
            <v>7.8395685623956224</v>
          </cell>
          <cell r="BF251">
            <v>7.9963599336435349</v>
          </cell>
          <cell r="BG251">
            <v>8.1562871323164057</v>
          </cell>
          <cell r="BH251">
            <v>8.3194128749627332</v>
          </cell>
          <cell r="BI251">
            <v>8.4858011324619884</v>
          </cell>
        </row>
        <row r="252">
          <cell r="Y252">
            <v>1807.5334262544441</v>
          </cell>
          <cell r="Z252">
            <v>1879.8347633046219</v>
          </cell>
          <cell r="AA252">
            <v>1977.5861709964618</v>
          </cell>
          <cell r="AB252">
            <v>2082.4838890483943</v>
          </cell>
          <cell r="AC252">
            <v>2197.1206223637987</v>
          </cell>
          <cell r="AD252">
            <v>2313.593245442351</v>
          </cell>
          <cell r="AE252">
            <v>2438.5538228749624</v>
          </cell>
          <cell r="AF252">
            <v>46.720226944240018</v>
          </cell>
          <cell r="AG252">
            <v>49.729150980236405</v>
          </cell>
          <cell r="AH252">
            <v>53.87608367379886</v>
          </cell>
          <cell r="AI252">
            <v>56.870520299716532</v>
          </cell>
          <cell r="AJ252">
            <v>58.832964017046891</v>
          </cell>
          <cell r="AK252">
            <v>61.520587436870002</v>
          </cell>
          <cell r="AL252" t="e">
            <v>#REF!</v>
          </cell>
          <cell r="AM252" t="e">
            <v>#REF!</v>
          </cell>
          <cell r="AN252" t="e">
            <v>#REF!</v>
          </cell>
          <cell r="AO252" t="e">
            <v>#REF!</v>
          </cell>
          <cell r="AP252" t="e">
            <v>#REF!</v>
          </cell>
          <cell r="AR252">
            <v>4.5218919927725576</v>
          </cell>
          <cell r="AS252">
            <v>4.6123298326280091</v>
          </cell>
          <cell r="AT252">
            <v>4.7045764292805696</v>
          </cell>
          <cell r="AU252">
            <v>4.7986679578661811</v>
          </cell>
          <cell r="AV252">
            <v>4.8946413170235044</v>
          </cell>
          <cell r="AW252">
            <v>4.9925341433639749</v>
          </cell>
          <cell r="AX252">
            <v>5.0923848262312541</v>
          </cell>
          <cell r="AY252">
            <v>5.194232522755879</v>
          </cell>
          <cell r="AZ252">
            <v>5.2981171732109971</v>
          </cell>
          <cell r="BA252">
            <v>5.4040795166752167</v>
          </cell>
          <cell r="BB252">
            <v>5.5121611070087209</v>
          </cell>
          <cell r="BC252">
            <v>5.6224043291488952</v>
          </cell>
          <cell r="BD252">
            <v>5.734852415731873</v>
          </cell>
          <cell r="BE252">
            <v>5.8495494640465102</v>
          </cell>
          <cell r="BF252">
            <v>5.9665404533274407</v>
          </cell>
          <cell r="BG252">
            <v>6.0858712623939892</v>
          </cell>
          <cell r="BH252">
            <v>6.2075886876418691</v>
          </cell>
          <cell r="BI252">
            <v>6.3317404613947064</v>
          </cell>
        </row>
        <row r="253">
          <cell r="Y253">
            <v>238.37982129321796</v>
          </cell>
          <cell r="Z253">
            <v>226.52200618219209</v>
          </cell>
          <cell r="AA253">
            <v>235.5828864294798</v>
          </cell>
          <cell r="AB253">
            <v>245.94853343237693</v>
          </cell>
          <cell r="AC253">
            <v>257.01621743683387</v>
          </cell>
          <cell r="AD253">
            <v>269.09597965636505</v>
          </cell>
          <cell r="AE253">
            <v>282.01258667987059</v>
          </cell>
          <cell r="AF253">
            <v>11.593549393993669</v>
          </cell>
          <cell r="AG253">
            <v>12.828098254318489</v>
          </cell>
          <cell r="AH253">
            <v>14.244385929886144</v>
          </cell>
          <cell r="AI253">
            <v>15.29151611781888</v>
          </cell>
          <cell r="AJ253">
            <v>16.180583199368552</v>
          </cell>
          <cell r="AK253">
            <v>17.005484060132879</v>
          </cell>
          <cell r="AL253" t="e">
            <v>#REF!</v>
          </cell>
          <cell r="AM253" t="e">
            <v>#REF!</v>
          </cell>
          <cell r="AN253" t="e">
            <v>#REF!</v>
          </cell>
          <cell r="AO253" t="e">
            <v>#REF!</v>
          </cell>
          <cell r="AP253" t="e">
            <v>#REF!</v>
          </cell>
          <cell r="AR253">
            <v>3.4680879074882145</v>
          </cell>
          <cell r="AS253">
            <v>3.537449665637979</v>
          </cell>
          <cell r="AT253">
            <v>3.6081986589507387</v>
          </cell>
          <cell r="AU253">
            <v>3.6803626321297536</v>
          </cell>
          <cell r="AV253">
            <v>3.7539698847723488</v>
          </cell>
          <cell r="AW253">
            <v>3.8290492824677957</v>
          </cell>
          <cell r="AX253">
            <v>3.9056302681171515</v>
          </cell>
          <cell r="AY253">
            <v>3.9837428734794944</v>
          </cell>
          <cell r="AZ253">
            <v>4.0634177309490846</v>
          </cell>
          <cell r="BA253">
            <v>4.1446860855680665</v>
          </cell>
          <cell r="BB253">
            <v>4.2275798072794277</v>
          </cell>
          <cell r="BC253">
            <v>4.312131403425016</v>
          </cell>
          <cell r="BD253">
            <v>4.3983740314935167</v>
          </cell>
          <cell r="BE253">
            <v>4.4863415121233867</v>
          </cell>
          <cell r="BF253">
            <v>4.5760683423658541</v>
          </cell>
          <cell r="BG253">
            <v>4.6675897092131713</v>
          </cell>
          <cell r="BH253">
            <v>4.7609415033974347</v>
          </cell>
          <cell r="BI253">
            <v>4.8561603334653833</v>
          </cell>
        </row>
        <row r="254">
          <cell r="Y254">
            <v>1454.7414738190216</v>
          </cell>
          <cell r="Z254">
            <v>1582.0343892623193</v>
          </cell>
          <cell r="AA254">
            <v>1740.2378281885517</v>
          </cell>
          <cell r="AB254">
            <v>1914.2616110074066</v>
          </cell>
          <cell r="AC254">
            <v>2086.5451559980734</v>
          </cell>
          <cell r="AD254">
            <v>2274.3342200379006</v>
          </cell>
          <cell r="AE254">
            <v>2479.0242998413119</v>
          </cell>
          <cell r="AF254">
            <v>18.612919484782907</v>
          </cell>
          <cell r="AG254">
            <v>21.379977167803851</v>
          </cell>
          <cell r="AH254">
            <v>23.906810135509318</v>
          </cell>
          <cell r="AI254">
            <v>26.391141698335225</v>
          </cell>
          <cell r="AJ254">
            <v>28.706386090864353</v>
          </cell>
          <cell r="AK254">
            <v>30.436337675044289</v>
          </cell>
          <cell r="AL254" t="e">
            <v>#REF!</v>
          </cell>
          <cell r="AM254" t="e">
            <v>#REF!</v>
          </cell>
          <cell r="AN254" t="e">
            <v>#REF!</v>
          </cell>
          <cell r="AO254" t="e">
            <v>#REF!</v>
          </cell>
          <cell r="AP254" t="e">
            <v>#REF!</v>
          </cell>
          <cell r="AR254">
            <v>5.824093989287964</v>
          </cell>
          <cell r="AS254">
            <v>5.9405758690737231</v>
          </cell>
          <cell r="AT254">
            <v>6.0593873864551977</v>
          </cell>
          <cell r="AU254">
            <v>6.180575134184302</v>
          </cell>
          <cell r="AV254">
            <v>6.3041866368679882</v>
          </cell>
          <cell r="AW254">
            <v>6.4302703696053483</v>
          </cell>
          <cell r="AX254">
            <v>6.5588757769974553</v>
          </cell>
          <cell r="AY254">
            <v>6.6900532925374048</v>
          </cell>
          <cell r="AZ254">
            <v>6.8238543583881528</v>
          </cell>
          <cell r="BA254">
            <v>6.9603314455559158</v>
          </cell>
          <cell r="BB254">
            <v>7.0995380744670342</v>
          </cell>
          <cell r="BC254">
            <v>7.241528835956375</v>
          </cell>
          <cell r="BD254">
            <v>7.3863594126755023</v>
          </cell>
          <cell r="BE254">
            <v>7.5340866009290126</v>
          </cell>
          <cell r="BF254">
            <v>7.6847683329475931</v>
          </cell>
          <cell r="BG254">
            <v>7.8384636996065451</v>
          </cell>
          <cell r="BH254">
            <v>7.995232973598676</v>
          </cell>
          <cell r="BI254">
            <v>8.15513763307065</v>
          </cell>
        </row>
        <row r="255">
          <cell r="Y255">
            <v>1106.8633126575778</v>
          </cell>
          <cell r="Z255">
            <v>1136.1966441959519</v>
          </cell>
          <cell r="AA255">
            <v>1158.9205770798712</v>
          </cell>
          <cell r="AB255">
            <v>1170.50978285067</v>
          </cell>
          <cell r="AC255">
            <v>1207.9660959018915</v>
          </cell>
          <cell r="AD255">
            <v>1247.8289770666538</v>
          </cell>
          <cell r="AE255">
            <v>1290.2551622869198</v>
          </cell>
          <cell r="AF255">
            <v>34.749449698658324</v>
          </cell>
          <cell r="AG255">
            <v>36.310176041439199</v>
          </cell>
          <cell r="AH255">
            <v>38.761816281527089</v>
          </cell>
          <cell r="AI255">
            <v>40.751392804920513</v>
          </cell>
          <cell r="AJ255">
            <v>42.497070614816352</v>
          </cell>
          <cell r="AK255">
            <v>44.678143920206672</v>
          </cell>
          <cell r="AL255" t="e">
            <v>#REF!</v>
          </cell>
          <cell r="AM255" t="e">
            <v>#REF!</v>
          </cell>
          <cell r="AN255" t="e">
            <v>#REF!</v>
          </cell>
          <cell r="AO255" t="e">
            <v>#REF!</v>
          </cell>
          <cell r="AP255" t="e">
            <v>#REF!</v>
          </cell>
          <cell r="AR255">
            <v>2.6219865812864538</v>
          </cell>
          <cell r="AS255">
            <v>2.6744263129121828</v>
          </cell>
          <cell r="AT255">
            <v>2.7279148391704267</v>
          </cell>
          <cell r="AU255">
            <v>2.7824731359538353</v>
          </cell>
          <cell r="AV255">
            <v>2.8381225986729119</v>
          </cell>
          <cell r="AW255">
            <v>2.8948850506463701</v>
          </cell>
          <cell r="AX255">
            <v>2.9527827516592975</v>
          </cell>
          <cell r="AY255">
            <v>3.0118384066924837</v>
          </cell>
          <cell r="AZ255">
            <v>3.0720751748263333</v>
          </cell>
          <cell r="BA255">
            <v>3.1335166783228598</v>
          </cell>
          <cell r="BB255">
            <v>3.1961870118893172</v>
          </cell>
          <cell r="BC255">
            <v>3.2601107521271038</v>
          </cell>
          <cell r="BD255">
            <v>3.325312967169646</v>
          </cell>
          <cell r="BE255">
            <v>3.3918192265130389</v>
          </cell>
          <cell r="BF255">
            <v>3.4596556110432997</v>
          </cell>
          <cell r="BG255">
            <v>3.5288487232641659</v>
          </cell>
          <cell r="BH255">
            <v>3.5994256977294494</v>
          </cell>
          <cell r="BI255">
            <v>3.6714142116840387</v>
          </cell>
        </row>
        <row r="256">
          <cell r="Y256">
            <v>1567.5846848129866</v>
          </cell>
          <cell r="Z256">
            <v>1717.8499667010312</v>
          </cell>
          <cell r="AA256">
            <v>1836.1616458369363</v>
          </cell>
          <cell r="AB256">
            <v>1951.8210815476132</v>
          </cell>
          <cell r="AC256">
            <v>2075.4101108515183</v>
          </cell>
          <cell r="AD256">
            <v>2207.5184093910061</v>
          </cell>
          <cell r="AE256">
            <v>2363.1356597294421</v>
          </cell>
          <cell r="AF256">
            <v>79.732248299766894</v>
          </cell>
          <cell r="AG256">
            <v>89.434125647012095</v>
          </cell>
          <cell r="AH256">
            <v>98.501548034823116</v>
          </cell>
          <cell r="AI256">
            <v>106.98771014434146</v>
          </cell>
          <cell r="AJ256">
            <v>113.67247729718603</v>
          </cell>
          <cell r="AK256">
            <v>120.81129447013593</v>
          </cell>
          <cell r="AL256" t="e">
            <v>#REF!</v>
          </cell>
          <cell r="AM256" t="e">
            <v>#REF!</v>
          </cell>
          <cell r="AN256" t="e">
            <v>#REF!</v>
          </cell>
          <cell r="AO256" t="e">
            <v>#REF!</v>
          </cell>
          <cell r="AP256" t="e">
            <v>#REF!</v>
          </cell>
          <cell r="AR256">
            <v>0.49666330878179943</v>
          </cell>
          <cell r="AS256">
            <v>0.50659657495743537</v>
          </cell>
          <cell r="AT256">
            <v>0.51672850645658408</v>
          </cell>
          <cell r="AU256">
            <v>0.52706307658571572</v>
          </cell>
          <cell r="AV256">
            <v>0.53760433811743003</v>
          </cell>
          <cell r="AW256">
            <v>0.54835642487977865</v>
          </cell>
          <cell r="AX256">
            <v>0.55932355337737427</v>
          </cell>
          <cell r="AY256">
            <v>0.57051002444492172</v>
          </cell>
          <cell r="AZ256">
            <v>0.58192022493382012</v>
          </cell>
          <cell r="BA256">
            <v>0.59355862943249649</v>
          </cell>
          <cell r="BB256">
            <v>0.60542980202114638</v>
          </cell>
          <cell r="BC256">
            <v>0.61753839806156929</v>
          </cell>
          <cell r="BD256">
            <v>0.62988916602280065</v>
          </cell>
          <cell r="BE256">
            <v>0.64248694934325667</v>
          </cell>
          <cell r="BF256">
            <v>0.65533668833012182</v>
          </cell>
          <cell r="BG256">
            <v>0.66844342209672425</v>
          </cell>
          <cell r="BH256">
            <v>0.68181229053865877</v>
          </cell>
          <cell r="BI256">
            <v>0.69544853634943193</v>
          </cell>
        </row>
        <row r="257">
          <cell r="Y257">
            <v>3920.9383887896388</v>
          </cell>
          <cell r="Z257">
            <v>4502.5562510939453</v>
          </cell>
          <cell r="AA257">
            <v>4742.1555672974764</v>
          </cell>
          <cell r="AB257">
            <v>4984.2217512032585</v>
          </cell>
          <cell r="AC257">
            <v>5241.8114997087096</v>
          </cell>
          <cell r="AD257">
            <v>5525.8922163397119</v>
          </cell>
          <cell r="AE257">
            <v>5831.7405098640966</v>
          </cell>
          <cell r="AF257">
            <v>253.92916490379869</v>
          </cell>
          <cell r="AG257">
            <v>276.6907786533061</v>
          </cell>
          <cell r="AH257">
            <v>299.65004816163275</v>
          </cell>
          <cell r="AI257">
            <v>321.43151888671656</v>
          </cell>
          <cell r="AJ257">
            <v>335.21565867000925</v>
          </cell>
          <cell r="AK257">
            <v>354.87634813294551</v>
          </cell>
          <cell r="AL257" t="e">
            <v>#REF!</v>
          </cell>
          <cell r="AM257" t="e">
            <v>#REF!</v>
          </cell>
          <cell r="AN257" t="e">
            <v>#REF!</v>
          </cell>
          <cell r="AO257" t="e">
            <v>#REF!</v>
          </cell>
          <cell r="AP257" t="e">
            <v>#REF!</v>
          </cell>
          <cell r="AR257">
            <v>32.61121292988657</v>
          </cell>
          <cell r="AS257">
            <v>33.263437188484303</v>
          </cell>
          <cell r="AT257">
            <v>33.92870593225399</v>
          </cell>
          <cell r="AU257">
            <v>34.607280050899071</v>
          </cell>
          <cell r="AV257">
            <v>35.299425651917055</v>
          </cell>
          <cell r="AW257">
            <v>36.005414164955397</v>
          </cell>
          <cell r="AX257">
            <v>36.725522448254509</v>
          </cell>
          <cell r="AY257">
            <v>37.460032897219598</v>
          </cell>
          <cell r="AZ257">
            <v>38.209233555163991</v>
          </cell>
          <cell r="BA257">
            <v>38.97341822626727</v>
          </cell>
          <cell r="BB257">
            <v>39.752886590792613</v>
          </cell>
          <cell r="BC257">
            <v>40.547944322608465</v>
          </cell>
          <cell r="BD257">
            <v>41.358903209060635</v>
          </cell>
          <cell r="BE257">
            <v>42.186081273241847</v>
          </cell>
          <cell r="BF257">
            <v>43.029802898706684</v>
          </cell>
          <cell r="BG257">
            <v>43.890398956680819</v>
          </cell>
          <cell r="BH257">
            <v>44.768206935814433</v>
          </cell>
          <cell r="BI257">
            <v>45.663571074530722</v>
          </cell>
        </row>
        <row r="258">
          <cell r="Y258">
            <v>133.66592608149202</v>
          </cell>
          <cell r="Z258">
            <v>165.20119899549024</v>
          </cell>
          <cell r="AA258">
            <v>174.12206374124662</v>
          </cell>
          <cell r="AB258">
            <v>184.56938756572151</v>
          </cell>
          <cell r="AC258">
            <v>193.79785694400758</v>
          </cell>
          <cell r="AD258">
            <v>205.42572836064807</v>
          </cell>
          <cell r="AE258">
            <v>217.75127206228692</v>
          </cell>
          <cell r="AF258">
            <v>8.1140665271678056</v>
          </cell>
          <cell r="AG258">
            <v>9.2228331234312666</v>
          </cell>
          <cell r="AH258">
            <v>10.173826674037315</v>
          </cell>
          <cell r="AI258">
            <v>11.000700603941528</v>
          </cell>
          <cell r="AJ258">
            <v>11.633360345654804</v>
          </cell>
          <cell r="AK258">
            <v>12.200477228704269</v>
          </cell>
          <cell r="AL258" t="e">
            <v>#REF!</v>
          </cell>
          <cell r="AM258" t="e">
            <v>#REF!</v>
          </cell>
          <cell r="AN258" t="e">
            <v>#REF!</v>
          </cell>
          <cell r="AO258" t="e">
            <v>#REF!</v>
          </cell>
          <cell r="AP258" t="e">
            <v>#REF!</v>
          </cell>
          <cell r="AR258">
            <v>7.2272592008065351</v>
          </cell>
          <cell r="AS258">
            <v>7.3718043848226662</v>
          </cell>
          <cell r="AT258">
            <v>7.5192404725191198</v>
          </cell>
          <cell r="AU258">
            <v>7.6696252819695019</v>
          </cell>
          <cell r="AV258">
            <v>7.823017787608892</v>
          </cell>
          <cell r="AW258">
            <v>7.97947814336107</v>
          </cell>
          <cell r="AX258">
            <v>8.1390677062282908</v>
          </cell>
          <cell r="AY258">
            <v>8.3018490603528576</v>
          </cell>
          <cell r="AZ258">
            <v>8.4678860415599146</v>
          </cell>
          <cell r="BA258">
            <v>8.6372437623911136</v>
          </cell>
          <cell r="BB258">
            <v>8.809988637638936</v>
          </cell>
          <cell r="BC258">
            <v>8.9861884103917156</v>
          </cell>
          <cell r="BD258">
            <v>9.1659121785995499</v>
          </cell>
          <cell r="BE258">
            <v>9.3492304221715408</v>
          </cell>
          <cell r="BF258">
            <v>9.5362150306149722</v>
          </cell>
          <cell r="BG258">
            <v>9.7269393312272712</v>
          </cell>
          <cell r="BH258">
            <v>9.9214781178518159</v>
          </cell>
          <cell r="BI258">
            <v>10.119907680208852</v>
          </cell>
        </row>
        <row r="259">
          <cell r="Y259">
            <v>786.25921376206281</v>
          </cell>
          <cell r="Z259">
            <v>834.00259384669255</v>
          </cell>
          <cell r="AA259">
            <v>875.70272353902726</v>
          </cell>
          <cell r="AB259">
            <v>919.48785971597886</v>
          </cell>
          <cell r="AC259">
            <v>956.26737410461794</v>
          </cell>
          <cell r="AD259">
            <v>994.51806906880267</v>
          </cell>
          <cell r="AE259">
            <v>1034.2987918315548</v>
          </cell>
          <cell r="AF259">
            <v>0.92261485771780705</v>
          </cell>
          <cell r="AG259">
            <v>1.0813860081852658</v>
          </cell>
          <cell r="AH259">
            <v>1.2280300039058003</v>
          </cell>
          <cell r="AI259">
            <v>1.32237761905423</v>
          </cell>
          <cell r="AJ259">
            <v>1.3998647969871911</v>
          </cell>
          <cell r="AK259">
            <v>1.4190295583739219</v>
          </cell>
          <cell r="AL259" t="e">
            <v>#REF!</v>
          </cell>
          <cell r="AM259" t="e">
            <v>#REF!</v>
          </cell>
          <cell r="AN259" t="e">
            <v>#REF!</v>
          </cell>
          <cell r="AO259" t="e">
            <v>#REF!</v>
          </cell>
          <cell r="AP259" t="e">
            <v>#REF!</v>
          </cell>
          <cell r="AR259">
            <v>2.9415488738358175</v>
          </cell>
          <cell r="AS259">
            <v>3.0003798513125339</v>
          </cell>
          <cell r="AT259">
            <v>3.0603874483387847</v>
          </cell>
          <cell r="AU259">
            <v>3.1215951973055605</v>
          </cell>
          <cell r="AV259">
            <v>3.1840271012516719</v>
          </cell>
          <cell r="AW259">
            <v>3.2477076432767054</v>
          </cell>
          <cell r="AX259">
            <v>3.3126617961422395</v>
          </cell>
          <cell r="AY259">
            <v>3.3789150320650845</v>
          </cell>
          <cell r="AZ259">
            <v>3.4464933327063862</v>
          </cell>
          <cell r="BA259">
            <v>3.5154231993605141</v>
          </cell>
          <cell r="BB259">
            <v>3.5857316633477243</v>
          </cell>
          <cell r="BC259">
            <v>3.6574462966146788</v>
          </cell>
          <cell r="BD259">
            <v>3.7305952225469725</v>
          </cell>
          <cell r="BE259">
            <v>3.805207126997912</v>
          </cell>
          <cell r="BF259">
            <v>3.8813112695378704</v>
          </cell>
          <cell r="BG259">
            <v>3.958937494928628</v>
          </cell>
          <cell r="BH259">
            <v>4.0381162448272008</v>
          </cell>
          <cell r="BI259">
            <v>4.1188785697237451</v>
          </cell>
        </row>
        <row r="260">
          <cell r="Y260">
            <v>422.2974887072686</v>
          </cell>
          <cell r="Z260">
            <v>414.16959864639796</v>
          </cell>
          <cell r="AA260">
            <v>447.30316653810979</v>
          </cell>
          <cell r="AB260">
            <v>483.08741986115854</v>
          </cell>
          <cell r="AC260">
            <v>516.90353925143972</v>
          </cell>
          <cell r="AD260">
            <v>553.08678699904033</v>
          </cell>
          <cell r="AE260">
            <v>591.80286208897314</v>
          </cell>
          <cell r="AF260">
            <v>9.0502947789523613</v>
          </cell>
          <cell r="AG260">
            <v>10.565851201110149</v>
          </cell>
          <cell r="AH260">
            <v>11.905018633522984</v>
          </cell>
          <cell r="AI260">
            <v>12.954963049824238</v>
          </cell>
          <cell r="AJ260">
            <v>13.729143804414356</v>
          </cell>
          <cell r="AK260">
            <v>14.278181862474327</v>
          </cell>
          <cell r="AL260" t="e">
            <v>#REF!</v>
          </cell>
          <cell r="AM260" t="e">
            <v>#REF!</v>
          </cell>
          <cell r="AN260" t="e">
            <v>#REF!</v>
          </cell>
          <cell r="AO260" t="e">
            <v>#REF!</v>
          </cell>
          <cell r="AP260" t="e">
            <v>#REF!</v>
          </cell>
          <cell r="AR260">
            <v>0.74307864342814867</v>
          </cell>
          <cell r="AS260">
            <v>0.7579402162967116</v>
          </cell>
          <cell r="AT260">
            <v>0.77309902062264579</v>
          </cell>
          <cell r="AU260">
            <v>0.78856100103509874</v>
          </cell>
          <cell r="AV260">
            <v>0.80433222105580071</v>
          </cell>
          <cell r="AW260">
            <v>0.82041886547691678</v>
          </cell>
          <cell r="AX260">
            <v>0.83682724278645515</v>
          </cell>
          <cell r="AY260">
            <v>0.85356378764218421</v>
          </cell>
          <cell r="AZ260">
            <v>0.87063506339502794</v>
          </cell>
          <cell r="BA260">
            <v>0.88804776466292856</v>
          </cell>
          <cell r="BB260">
            <v>0.90580871995618717</v>
          </cell>
          <cell r="BC260">
            <v>0.92392489435531089</v>
          </cell>
          <cell r="BD260">
            <v>0.94240339224241709</v>
          </cell>
          <cell r="BE260">
            <v>0.96125146008726547</v>
          </cell>
          <cell r="BF260">
            <v>0.98047648928901077</v>
          </cell>
          <cell r="BG260">
            <v>1.0000860190747909</v>
          </cell>
          <cell r="BH260">
            <v>1.0200877394562866</v>
          </cell>
          <cell r="BI260">
            <v>1.0404894942454124</v>
          </cell>
        </row>
        <row r="261">
          <cell r="Y261">
            <v>1299.6451110609175</v>
          </cell>
          <cell r="Z261">
            <v>1419.2393340977217</v>
          </cell>
          <cell r="AA261">
            <v>1504.3936941435848</v>
          </cell>
          <cell r="AB261">
            <v>1594.6573157922001</v>
          </cell>
          <cell r="AC261">
            <v>1674.3901815818103</v>
          </cell>
          <cell r="AD261">
            <v>1758.1096906609005</v>
          </cell>
          <cell r="AE261">
            <v>1846.0151751939457</v>
          </cell>
          <cell r="AF261">
            <v>28.366971854524596</v>
          </cell>
          <cell r="AG261">
            <v>31.165491840933402</v>
          </cell>
          <cell r="AH261">
            <v>35.302796556682409</v>
          </cell>
          <cell r="AI261">
            <v>37.871361298151321</v>
          </cell>
          <cell r="AJ261">
            <v>40.318269535206888</v>
          </cell>
          <cell r="AK261">
            <v>41.433935601558709</v>
          </cell>
          <cell r="AL261" t="e">
            <v>#REF!</v>
          </cell>
          <cell r="AM261" t="e">
            <v>#REF!</v>
          </cell>
          <cell r="AN261" t="e">
            <v>#REF!</v>
          </cell>
          <cell r="AO261" t="e">
            <v>#REF!</v>
          </cell>
          <cell r="AP261" t="e">
            <v>#REF!</v>
          </cell>
          <cell r="AR261">
            <v>8.8850444441020642</v>
          </cell>
          <cell r="AS261">
            <v>9.0627453329841057</v>
          </cell>
          <cell r="AT261">
            <v>9.2440002396437873</v>
          </cell>
          <cell r="AU261">
            <v>9.4288802444366624</v>
          </cell>
          <cell r="AV261">
            <v>9.6174578493253957</v>
          </cell>
          <cell r="AW261">
            <v>9.8098070063119032</v>
          </cell>
          <cell r="AX261">
            <v>10.006003146438141</v>
          </cell>
          <cell r="AY261">
            <v>10.206123209366904</v>
          </cell>
          <cell r="AZ261">
            <v>10.410245673554243</v>
          </cell>
          <cell r="BA261">
            <v>10.618450587025329</v>
          </cell>
          <cell r="BB261">
            <v>10.830819598765835</v>
          </cell>
          <cell r="BC261">
            <v>11.047435990741151</v>
          </cell>
          <cell r="BD261">
            <v>11.268384710555974</v>
          </cell>
          <cell r="BE261">
            <v>11.493752404767093</v>
          </cell>
          <cell r="BF261">
            <v>11.723627452862436</v>
          </cell>
          <cell r="BG261">
            <v>11.958100001919686</v>
          </cell>
          <cell r="BH261">
            <v>12.19726200195808</v>
          </cell>
          <cell r="BI261">
            <v>12.441207241997242</v>
          </cell>
        </row>
        <row r="262">
          <cell r="Y262">
            <v>280.44734179922801</v>
          </cell>
          <cell r="Z262">
            <v>283.1222986465678</v>
          </cell>
          <cell r="AA262">
            <v>302.94085955182754</v>
          </cell>
          <cell r="AB262">
            <v>324.14671972045545</v>
          </cell>
          <cell r="AC262">
            <v>343.59552290368288</v>
          </cell>
          <cell r="AD262">
            <v>364.21125427790383</v>
          </cell>
          <cell r="AE262">
            <v>386.06392953457811</v>
          </cell>
          <cell r="AF262">
            <v>20.941749802534762</v>
          </cell>
          <cell r="AG262">
            <v>23.143512817894067</v>
          </cell>
          <cell r="AH262">
            <v>26.579682757603571</v>
          </cell>
          <cell r="AI262">
            <v>28.15545314503288</v>
          </cell>
          <cell r="AJ262">
            <v>30.518894989990116</v>
          </cell>
          <cell r="AK262">
            <v>32.735101048601045</v>
          </cell>
          <cell r="AL262" t="e">
            <v>#REF!</v>
          </cell>
          <cell r="AM262" t="e">
            <v>#REF!</v>
          </cell>
          <cell r="AN262" t="e">
            <v>#REF!</v>
          </cell>
          <cell r="AO262" t="e">
            <v>#REF!</v>
          </cell>
          <cell r="AP262" t="e">
            <v>#REF!</v>
          </cell>
          <cell r="AR262">
            <v>2.4696259927089108</v>
          </cell>
          <cell r="AS262">
            <v>2.5190185125630893</v>
          </cell>
          <cell r="AT262">
            <v>2.569398882814351</v>
          </cell>
          <cell r="AU262">
            <v>2.6207868604706381</v>
          </cell>
          <cell r="AV262">
            <v>2.6732025976800511</v>
          </cell>
          <cell r="AW262">
            <v>2.726666649633652</v>
          </cell>
          <cell r="AX262">
            <v>2.7811999826263252</v>
          </cell>
          <cell r="AY262">
            <v>2.8368239822788519</v>
          </cell>
          <cell r="AZ262">
            <v>2.8935604619244288</v>
          </cell>
          <cell r="BA262">
            <v>2.9514316711629176</v>
          </cell>
          <cell r="BB262">
            <v>3.010460304586176</v>
          </cell>
          <cell r="BC262">
            <v>3.0706695106778996</v>
          </cell>
          <cell r="BD262">
            <v>3.1320829008914575</v>
          </cell>
          <cell r="BE262">
            <v>3.1947245589092867</v>
          </cell>
          <cell r="BF262">
            <v>3.2586190500874723</v>
          </cell>
          <cell r="BG262">
            <v>3.323791431089222</v>
          </cell>
          <cell r="BH262">
            <v>3.3902672597110066</v>
          </cell>
          <cell r="BI262">
            <v>3.4580726049052268</v>
          </cell>
        </row>
        <row r="263">
          <cell r="AR263">
            <v>0</v>
          </cell>
          <cell r="AS263">
            <v>2.5374561306290095</v>
          </cell>
          <cell r="AT263">
            <v>2.6072262620981528</v>
          </cell>
          <cell r="AU263">
            <v>2.5734827451661433</v>
          </cell>
          <cell r="AV263">
            <v>2.6130902071063375</v>
          </cell>
          <cell r="AW263">
            <v>2.6430580326492072</v>
          </cell>
          <cell r="AX263">
            <v>2.6530880596493307</v>
          </cell>
          <cell r="AY263">
            <v>2.4770643707219815</v>
          </cell>
          <cell r="AZ263">
            <v>2.4152257741400667</v>
          </cell>
          <cell r="BA263">
            <v>2.3295027922403362</v>
          </cell>
          <cell r="BB263">
            <v>2.213421656367772</v>
          </cell>
          <cell r="BC263">
            <v>2.0583707381436858</v>
          </cell>
          <cell r="BD263">
            <v>1.8400454863373217</v>
          </cell>
          <cell r="BE263" t="e">
            <v>#REF!</v>
          </cell>
          <cell r="BF263" t="e">
            <v>#REF!</v>
          </cell>
          <cell r="BG263" t="e">
            <v>#REF!</v>
          </cell>
          <cell r="BH263" t="e">
            <v>#REF!</v>
          </cell>
          <cell r="BI263" t="e">
            <v>#REF!</v>
          </cell>
        </row>
        <row r="277">
          <cell r="Z277">
            <v>8.5158983489470756</v>
          </cell>
          <cell r="AA277">
            <v>21.245877604589168</v>
          </cell>
          <cell r="AB277">
            <v>42.744596361507206</v>
          </cell>
          <cell r="AC277">
            <v>62.069569963655226</v>
          </cell>
          <cell r="AD277">
            <v>80.29422801652106</v>
          </cell>
          <cell r="AE277">
            <v>98.539180943280485</v>
          </cell>
          <cell r="AF277">
            <v>-534.32444589819647</v>
          </cell>
          <cell r="AG277">
            <v>-524.92473796790614</v>
          </cell>
          <cell r="AH277">
            <v>-514.50775995556648</v>
          </cell>
          <cell r="AI277">
            <v>-502.33814750475585</v>
          </cell>
          <cell r="AJ277">
            <v>-487.76146880691141</v>
          </cell>
          <cell r="AK277">
            <v>-470.27606182684156</v>
          </cell>
          <cell r="AL277" t="e">
            <v>#REF!</v>
          </cell>
          <cell r="AM277" t="e">
            <v>#REF!</v>
          </cell>
          <cell r="AN277" t="e">
            <v>#REF!</v>
          </cell>
          <cell r="AO277" t="e">
            <v>#REF!</v>
          </cell>
          <cell r="AP277" t="e">
            <v>#REF!</v>
          </cell>
        </row>
        <row r="278">
          <cell r="Z278">
            <v>1636.3606663482558</v>
          </cell>
          <cell r="AA278">
            <v>1804.6627329005378</v>
          </cell>
          <cell r="AB278">
            <v>1964.2502271976527</v>
          </cell>
          <cell r="AC278">
            <v>2101.6829383083468</v>
          </cell>
          <cell r="AD278">
            <v>2240.0700315078002</v>
          </cell>
          <cell r="AE278">
            <v>2359.8247602408019</v>
          </cell>
          <cell r="AF278">
            <v>-617.61186500296583</v>
          </cell>
          <cell r="AG278">
            <v>-566.36714361605721</v>
          </cell>
          <cell r="AH278">
            <v>-467.2098680950391</v>
          </cell>
          <cell r="AI278">
            <v>-354.14958835640641</v>
          </cell>
          <cell r="AJ278">
            <v>-265.84014855512243</v>
          </cell>
          <cell r="AK278">
            <v>-179.89094968445113</v>
          </cell>
          <cell r="AL278" t="e">
            <v>#REF!</v>
          </cell>
          <cell r="AM278" t="e">
            <v>#REF!</v>
          </cell>
          <cell r="AN278" t="e">
            <v>#REF!</v>
          </cell>
          <cell r="AO278" t="e">
            <v>#REF!</v>
          </cell>
          <cell r="AP278" t="e">
            <v>#REF!</v>
          </cell>
        </row>
        <row r="279">
          <cell r="Z279">
            <v>63.743872012651082</v>
          </cell>
          <cell r="AA279">
            <v>118.22361377343077</v>
          </cell>
          <cell r="AB279">
            <v>182.49927282764241</v>
          </cell>
          <cell r="AC279">
            <v>237.49458239765488</v>
          </cell>
          <cell r="AD279">
            <v>296.9116881913983</v>
          </cell>
          <cell r="AE279">
            <v>353.42770496361891</v>
          </cell>
          <cell r="AF279">
            <v>-183.66691812648068</v>
          </cell>
          <cell r="AG279">
            <v>-153.68301000123543</v>
          </cell>
          <cell r="AH279">
            <v>-125.36102369203969</v>
          </cell>
          <cell r="AI279">
            <v>-98.384836137838832</v>
          </cell>
          <cell r="AJ279">
            <v>-74.914292276107318</v>
          </cell>
          <cell r="AK279">
            <v>-54.709375285065128</v>
          </cell>
          <cell r="AL279" t="e">
            <v>#REF!</v>
          </cell>
          <cell r="AM279" t="e">
            <v>#REF!</v>
          </cell>
          <cell r="AN279" t="e">
            <v>#REF!</v>
          </cell>
          <cell r="AO279" t="e">
            <v>#REF!</v>
          </cell>
          <cell r="AP279" t="e">
            <v>#REF!</v>
          </cell>
        </row>
        <row r="280">
          <cell r="Z280">
            <v>27.462244593798147</v>
          </cell>
          <cell r="AA280">
            <v>40.821299656949776</v>
          </cell>
          <cell r="AB280">
            <v>57.499117702173777</v>
          </cell>
          <cell r="AC280">
            <v>75.359891156446949</v>
          </cell>
          <cell r="AD280">
            <v>93.155605625032905</v>
          </cell>
          <cell r="AE280">
            <v>108.66799999908235</v>
          </cell>
          <cell r="AF280">
            <v>-69.99002447167436</v>
          </cell>
          <cell r="AG280">
            <v>-68.699890214369091</v>
          </cell>
          <cell r="AH280">
            <v>-53.920313297183057</v>
          </cell>
          <cell r="AI280">
            <v>-38.969671137290177</v>
          </cell>
          <cell r="AJ280">
            <v>-24.610500826021429</v>
          </cell>
          <cell r="AK280">
            <v>-11.979929162039479</v>
          </cell>
          <cell r="AL280" t="e">
            <v>#REF!</v>
          </cell>
          <cell r="AM280" t="e">
            <v>#REF!</v>
          </cell>
          <cell r="AN280" t="e">
            <v>#REF!</v>
          </cell>
          <cell r="AO280" t="e">
            <v>#REF!</v>
          </cell>
          <cell r="AP280" t="e">
            <v>#REF!</v>
          </cell>
        </row>
        <row r="281">
          <cell r="Z281">
            <v>0.53433915803235266</v>
          </cell>
          <cell r="AA281">
            <v>0.73447668845091751</v>
          </cell>
          <cell r="AB281">
            <v>0.93110227128066736</v>
          </cell>
          <cell r="AC281">
            <v>1.1605488788633864</v>
          </cell>
          <cell r="AD281">
            <v>1.3296540426414163</v>
          </cell>
          <cell r="AE281">
            <v>1.5053489915630234</v>
          </cell>
          <cell r="AF281">
            <v>-3.3412526189044445</v>
          </cell>
          <cell r="AG281">
            <v>-3.1696956517310357</v>
          </cell>
          <cell r="AH281">
            <v>-2.9580161055697571</v>
          </cell>
          <cell r="AI281">
            <v>-2.7052666085266242</v>
          </cell>
          <cell r="AJ281">
            <v>-2.4006851649184595</v>
          </cell>
          <cell r="AK281">
            <v>-2.0310047067943242</v>
          </cell>
          <cell r="AL281" t="e">
            <v>#REF!</v>
          </cell>
          <cell r="AM281" t="e">
            <v>#REF!</v>
          </cell>
          <cell r="AN281" t="e">
            <v>#REF!</v>
          </cell>
          <cell r="AO281" t="e">
            <v>#REF!</v>
          </cell>
          <cell r="AP281" t="e">
            <v>#REF!</v>
          </cell>
        </row>
        <row r="282">
          <cell r="Z282">
            <v>54.158583521326591</v>
          </cell>
          <cell r="AA282">
            <v>79.589078282797004</v>
          </cell>
          <cell r="AB282">
            <v>109.14780648087071</v>
          </cell>
          <cell r="AC282">
            <v>143.21820353079528</v>
          </cell>
          <cell r="AD282">
            <v>188.30327931539256</v>
          </cell>
          <cell r="AE282">
            <v>235.61455391910977</v>
          </cell>
          <cell r="AF282">
            <v>-369.25277320626986</v>
          </cell>
          <cell r="AG282">
            <v>-346.87104211522103</v>
          </cell>
          <cell r="AH282">
            <v>-305.38655931187407</v>
          </cell>
          <cell r="AI282">
            <v>-257.51379013442204</v>
          </cell>
          <cell r="AJ282">
            <v>-206.34338712302593</v>
          </cell>
          <cell r="AK282">
            <v>-152.28109682570039</v>
          </cell>
          <cell r="AL282" t="e">
            <v>#REF!</v>
          </cell>
          <cell r="AM282" t="e">
            <v>#REF!</v>
          </cell>
          <cell r="AN282" t="e">
            <v>#REF!</v>
          </cell>
          <cell r="AO282" t="e">
            <v>#REF!</v>
          </cell>
          <cell r="AP282" t="e">
            <v>#REF!</v>
          </cell>
        </row>
        <row r="283">
          <cell r="Z283">
            <v>48.712412939348837</v>
          </cell>
          <cell r="AA283">
            <v>78.156160500046326</v>
          </cell>
          <cell r="AB283">
            <v>100.7243074092778</v>
          </cell>
          <cell r="AC283">
            <v>135.71242577791872</v>
          </cell>
          <cell r="AD283">
            <v>183.16474047181327</v>
          </cell>
          <cell r="AE283">
            <v>255.94705934640979</v>
          </cell>
          <cell r="AF283">
            <v>-671.8025215149479</v>
          </cell>
          <cell r="AG283">
            <v>-623.42612755756079</v>
          </cell>
          <cell r="AH283">
            <v>-567.30653789579583</v>
          </cell>
          <cell r="AI283">
            <v>-503.94543010797406</v>
          </cell>
          <cell r="AJ283">
            <v>-429.97547477152676</v>
          </cell>
          <cell r="AK283">
            <v>-345.37466446701063</v>
          </cell>
          <cell r="AL283" t="e">
            <v>#REF!</v>
          </cell>
          <cell r="AM283" t="e">
            <v>#REF!</v>
          </cell>
          <cell r="AN283" t="e">
            <v>#REF!</v>
          </cell>
          <cell r="AO283" t="e">
            <v>#REF!</v>
          </cell>
          <cell r="AP283" t="e">
            <v>#REF!</v>
          </cell>
        </row>
        <row r="284">
          <cell r="Z284">
            <v>66.789754708215128</v>
          </cell>
          <cell r="AA284">
            <v>107.2018415099642</v>
          </cell>
          <cell r="AB284">
            <v>158.22915439705025</v>
          </cell>
          <cell r="AC284">
            <v>214.40078802643075</v>
          </cell>
          <cell r="AD284">
            <v>271.3123526530361</v>
          </cell>
          <cell r="AE284">
            <v>336.51232648185749</v>
          </cell>
          <cell r="AF284">
            <v>-492.56720618679907</v>
          </cell>
          <cell r="AG284">
            <v>-452.42403799110696</v>
          </cell>
          <cell r="AH284">
            <v>-404.64191973272989</v>
          </cell>
          <cell r="AI284">
            <v>-351.52572225466065</v>
          </cell>
          <cell r="AJ284">
            <v>-290.68998918144513</v>
          </cell>
          <cell r="AK284">
            <v>-223.77679877034657</v>
          </cell>
          <cell r="AL284" t="e">
            <v>#REF!</v>
          </cell>
          <cell r="AM284" t="e">
            <v>#REF!</v>
          </cell>
          <cell r="AN284" t="e">
            <v>#REF!</v>
          </cell>
          <cell r="AO284" t="e">
            <v>#REF!</v>
          </cell>
          <cell r="AP284" t="e">
            <v>#REF!</v>
          </cell>
        </row>
        <row r="285">
          <cell r="Z285">
            <v>138.44842169928847</v>
          </cell>
          <cell r="AA285">
            <v>227.79977544991516</v>
          </cell>
          <cell r="AB285">
            <v>372.01844175776637</v>
          </cell>
          <cell r="AC285">
            <v>632.00978185743202</v>
          </cell>
          <cell r="AD285">
            <v>919.50464411134794</v>
          </cell>
          <cell r="AE285">
            <v>1254.0605717828794</v>
          </cell>
          <cell r="AF285">
            <v>-1570.5553858729511</v>
          </cell>
          <cell r="AG285">
            <v>-1439.2396566001958</v>
          </cell>
          <cell r="AH285">
            <v>-1281.6806902851813</v>
          </cell>
          <cell r="AI285">
            <v>-1107.815917904391</v>
          </cell>
          <cell r="AJ285">
            <v>-909.52963993932826</v>
          </cell>
          <cell r="AK285">
            <v>-695.4381175972062</v>
          </cell>
          <cell r="AL285" t="e">
            <v>#REF!</v>
          </cell>
          <cell r="AM285" t="e">
            <v>#REF!</v>
          </cell>
          <cell r="AN285" t="e">
            <v>#REF!</v>
          </cell>
          <cell r="AO285" t="e">
            <v>#REF!</v>
          </cell>
          <cell r="AP285" t="e">
            <v>#REF!</v>
          </cell>
        </row>
        <row r="286">
          <cell r="Z286">
            <v>26.462387727431235</v>
          </cell>
          <cell r="AA286">
            <v>50.227984703258812</v>
          </cell>
          <cell r="AB286">
            <v>80.909887040679052</v>
          </cell>
          <cell r="AC286">
            <v>120.36538887547215</v>
          </cell>
          <cell r="AD286">
            <v>162.99977172573028</v>
          </cell>
          <cell r="AE286">
            <v>208.49601346763018</v>
          </cell>
          <cell r="AF286">
            <v>-291.56255874533457</v>
          </cell>
          <cell r="AG286">
            <v>-268.59998220610299</v>
          </cell>
          <cell r="AH286">
            <v>-241.86590053634285</v>
          </cell>
          <cell r="AI286">
            <v>-210.86143634770414</v>
          </cell>
          <cell r="AJ286">
            <v>-175.6227272360772</v>
          </cell>
          <cell r="AK286">
            <v>-136.53087558390445</v>
          </cell>
          <cell r="AL286" t="e">
            <v>#REF!</v>
          </cell>
          <cell r="AM286" t="e">
            <v>#REF!</v>
          </cell>
          <cell r="AN286" t="e">
            <v>#REF!</v>
          </cell>
          <cell r="AO286" t="e">
            <v>#REF!</v>
          </cell>
          <cell r="AP286" t="e">
            <v>#REF!</v>
          </cell>
        </row>
        <row r="287">
          <cell r="Z287">
            <v>32.8462991980673</v>
          </cell>
          <cell r="AA287">
            <v>53.877568938997058</v>
          </cell>
          <cell r="AB287">
            <v>83.603648624701748</v>
          </cell>
          <cell r="AC287">
            <v>120.59947825421108</v>
          </cell>
          <cell r="AD287">
            <v>164.26904705714537</v>
          </cell>
          <cell r="AE287">
            <v>210.91425346679549</v>
          </cell>
          <cell r="AF287">
            <v>-203.64488491148052</v>
          </cell>
          <cell r="AG287">
            <v>-177.44695843176726</v>
          </cell>
          <cell r="AH287">
            <v>-149.94963322423393</v>
          </cell>
          <cell r="AI287">
            <v>-116.96753744783882</v>
          </cell>
          <cell r="AJ287">
            <v>-80.428196615652823</v>
          </cell>
          <cell r="AK287">
            <v>-43.444485251521471</v>
          </cell>
          <cell r="AL287" t="e">
            <v>#REF!</v>
          </cell>
          <cell r="AM287" t="e">
            <v>#REF!</v>
          </cell>
          <cell r="AN287" t="e">
            <v>#REF!</v>
          </cell>
          <cell r="AO287" t="e">
            <v>#REF!</v>
          </cell>
          <cell r="AP287" t="e">
            <v>#REF!</v>
          </cell>
        </row>
        <row r="288">
          <cell r="Z288">
            <v>-4.7898784245851687</v>
          </cell>
          <cell r="AA288">
            <v>-4.6029350772459452</v>
          </cell>
          <cell r="AB288">
            <v>3.47670755184879E-2</v>
          </cell>
          <cell r="AC288">
            <v>8.4455489891980164</v>
          </cell>
          <cell r="AD288">
            <v>27.000567937043627</v>
          </cell>
          <cell r="AE288">
            <v>47.787295001199936</v>
          </cell>
          <cell r="AF288">
            <v>-186.10357786598405</v>
          </cell>
          <cell r="AG288">
            <v>-169.06574808492047</v>
          </cell>
          <cell r="AH288">
            <v>-148.78670927593629</v>
          </cell>
          <cell r="AI288">
            <v>-126.27245416884017</v>
          </cell>
          <cell r="AJ288">
            <v>-101.92213451190447</v>
          </cell>
          <cell r="AK288">
            <v>-76.667174740452722</v>
          </cell>
          <cell r="AL288" t="e">
            <v>#REF!</v>
          </cell>
          <cell r="AM288" t="e">
            <v>#REF!</v>
          </cell>
          <cell r="AN288" t="e">
            <v>#REF!</v>
          </cell>
          <cell r="AO288" t="e">
            <v>#REF!</v>
          </cell>
          <cell r="AP288" t="e">
            <v>#REF!</v>
          </cell>
        </row>
        <row r="289">
          <cell r="Z289">
            <v>181.86496677408763</v>
          </cell>
          <cell r="AA289">
            <v>330.92709359302444</v>
          </cell>
          <cell r="AB289">
            <v>493.80126164716057</v>
          </cell>
          <cell r="AC289">
            <v>676.0112784479802</v>
          </cell>
          <cell r="AD289">
            <v>884.60118472790782</v>
          </cell>
          <cell r="AE289">
            <v>1103.8349568829608</v>
          </cell>
          <cell r="AF289">
            <v>-1188.8982614889162</v>
          </cell>
          <cell r="AG289">
            <v>-1061.5239741720195</v>
          </cell>
          <cell r="AH289">
            <v>-911.88636743718371</v>
          </cell>
          <cell r="AI289">
            <v>-749.31909106923433</v>
          </cell>
          <cell r="AJ289">
            <v>-579.91846537154447</v>
          </cell>
          <cell r="AK289">
            <v>-410.61351788251699</v>
          </cell>
          <cell r="AL289" t="e">
            <v>#REF!</v>
          </cell>
          <cell r="AM289" t="e">
            <v>#REF!</v>
          </cell>
          <cell r="AN289" t="e">
            <v>#REF!</v>
          </cell>
          <cell r="AO289" t="e">
            <v>#REF!</v>
          </cell>
          <cell r="AP289" t="e">
            <v>#REF!</v>
          </cell>
        </row>
        <row r="290">
          <cell r="Z290">
            <v>-13.230982165035044</v>
          </cell>
          <cell r="AA290">
            <v>-4.6286489514036475</v>
          </cell>
          <cell r="AB290">
            <v>8.8868199070507501</v>
          </cell>
          <cell r="AC290">
            <v>24.073783033586039</v>
          </cell>
          <cell r="AD290">
            <v>44.980698738606463</v>
          </cell>
          <cell r="AE290">
            <v>67.112887032513726</v>
          </cell>
          <cell r="AF290">
            <v>-193.19902723996196</v>
          </cell>
          <cell r="AG290">
            <v>-178.80828883277758</v>
          </cell>
          <cell r="AH290">
            <v>-161.32043330283338</v>
          </cell>
          <cell r="AI290">
            <v>-141.66335555130502</v>
          </cell>
          <cell r="AJ290">
            <v>-119.39183571586113</v>
          </cell>
          <cell r="AK290">
            <v>-94.584163584308385</v>
          </cell>
          <cell r="AL290" t="e">
            <v>#REF!</v>
          </cell>
          <cell r="AM290" t="e">
            <v>#REF!</v>
          </cell>
          <cell r="AN290" t="e">
            <v>#REF!</v>
          </cell>
          <cell r="AO290" t="e">
            <v>#REF!</v>
          </cell>
          <cell r="AP290" t="e">
            <v>#REF!</v>
          </cell>
        </row>
        <row r="291">
          <cell r="Z291">
            <v>191.78201716802278</v>
          </cell>
          <cell r="AA291">
            <v>401.26187324838725</v>
          </cell>
          <cell r="AB291">
            <v>632.30699935290977</v>
          </cell>
          <cell r="AC291">
            <v>870.67833263537545</v>
          </cell>
          <cell r="AD291">
            <v>1137.4432002761187</v>
          </cell>
          <cell r="AE291">
            <v>1427.8581702515046</v>
          </cell>
          <cell r="AF291">
            <v>-943.64929362109967</v>
          </cell>
          <cell r="AG291">
            <v>-830.73489153393609</v>
          </cell>
          <cell r="AH291">
            <v>-701.42726210981823</v>
          </cell>
          <cell r="AI291">
            <v>-562.79269129124987</v>
          </cell>
          <cell r="AJ291">
            <v>-422.13216213887392</v>
          </cell>
          <cell r="AK291">
            <v>-288.43902377424831</v>
          </cell>
          <cell r="AL291" t="e">
            <v>#REF!</v>
          </cell>
          <cell r="AM291" t="e">
            <v>#REF!</v>
          </cell>
          <cell r="AN291" t="e">
            <v>#REF!</v>
          </cell>
          <cell r="AO291" t="e">
            <v>#REF!</v>
          </cell>
          <cell r="AP291" t="e">
            <v>#REF!</v>
          </cell>
        </row>
        <row r="292">
          <cell r="Z292">
            <v>110.26607241334023</v>
          </cell>
          <cell r="AA292">
            <v>165.51016953266264</v>
          </cell>
          <cell r="AB292">
            <v>215.46833567435635</v>
          </cell>
          <cell r="AC292">
            <v>296.52261911941594</v>
          </cell>
          <cell r="AD292">
            <v>389.10348363799153</v>
          </cell>
          <cell r="AE292">
            <v>508.8938740870492</v>
          </cell>
          <cell r="AF292">
            <v>-667.95774046880103</v>
          </cell>
          <cell r="AG292">
            <v>-570.83811624053146</v>
          </cell>
          <cell r="AH292">
            <v>-461.16475719620928</v>
          </cell>
          <cell r="AI292">
            <v>-347.83401534763044</v>
          </cell>
          <cell r="AJ292">
            <v>-238.43306290269916</v>
          </cell>
          <cell r="AK292">
            <v>-140.08271905662914</v>
          </cell>
          <cell r="AL292" t="e">
            <v>#REF!</v>
          </cell>
          <cell r="AM292" t="e">
            <v>#REF!</v>
          </cell>
          <cell r="AN292" t="e">
            <v>#REF!</v>
          </cell>
          <cell r="AO292" t="e">
            <v>#REF!</v>
          </cell>
          <cell r="AP292" t="e">
            <v>#REF!</v>
          </cell>
        </row>
        <row r="293">
          <cell r="Z293">
            <v>223.82619542825682</v>
          </cell>
          <cell r="AA293">
            <v>379.38628649827479</v>
          </cell>
          <cell r="AB293">
            <v>533.31470986747513</v>
          </cell>
          <cell r="AC293">
            <v>709.60708570080487</v>
          </cell>
          <cell r="AD293">
            <v>912.80700246075435</v>
          </cell>
          <cell r="AE293">
            <v>1155.6838249536027</v>
          </cell>
          <cell r="AF293">
            <v>-1036.1840806466403</v>
          </cell>
          <cell r="AG293">
            <v>-911.83505285727881</v>
          </cell>
          <cell r="AH293">
            <v>-768.97454978119868</v>
          </cell>
          <cell r="AI293">
            <v>-614.20903960664805</v>
          </cell>
          <cell r="AJ293">
            <v>-454.78309125899267</v>
          </cell>
          <cell r="AK293">
            <v>-296.62699880100615</v>
          </cell>
          <cell r="AL293" t="e">
            <v>#REF!</v>
          </cell>
          <cell r="AM293" t="e">
            <v>#REF!</v>
          </cell>
          <cell r="AN293" t="e">
            <v>#REF!</v>
          </cell>
          <cell r="AO293" t="e">
            <v>#REF!</v>
          </cell>
          <cell r="AP293" t="e">
            <v>#REF!</v>
          </cell>
        </row>
        <row r="294">
          <cell r="Z294">
            <v>1032.479528891246</v>
          </cell>
          <cell r="AA294">
            <v>1499.4660979232035</v>
          </cell>
          <cell r="AB294">
            <v>1988.3668277658062</v>
          </cell>
          <cell r="AC294">
            <v>2567.610074708904</v>
          </cell>
          <cell r="AD294">
            <v>3164.9204977384534</v>
          </cell>
          <cell r="AE294">
            <v>3770.7152190030661</v>
          </cell>
          <cell r="AF294">
            <v>-1516.2234182850457</v>
          </cell>
          <cell r="AG294">
            <v>-1156.9168808155214</v>
          </cell>
          <cell r="AH294">
            <v>-780.47142368507195</v>
          </cell>
          <cell r="AI294">
            <v>-423.00793994394695</v>
          </cell>
          <cell r="AJ294">
            <v>-123.88570117059862</v>
          </cell>
          <cell r="AK294">
            <v>110.24192606439087</v>
          </cell>
          <cell r="AL294" t="e">
            <v>#REF!</v>
          </cell>
          <cell r="AM294" t="e">
            <v>#REF!</v>
          </cell>
          <cell r="AN294" t="e">
            <v>#REF!</v>
          </cell>
          <cell r="AO294" t="e">
            <v>#REF!</v>
          </cell>
          <cell r="AP294" t="e">
            <v>#REF!</v>
          </cell>
        </row>
        <row r="295">
          <cell r="Z295">
            <v>45.079794150043867</v>
          </cell>
          <cell r="AA295">
            <v>60.745873577401284</v>
          </cell>
          <cell r="AB295">
            <v>75.954268116543446</v>
          </cell>
          <cell r="AC295">
            <v>92.749727055062621</v>
          </cell>
          <cell r="AD295">
            <v>113.61950601986238</v>
          </cell>
          <cell r="AE295">
            <v>135.20257595692709</v>
          </cell>
          <cell r="AF295">
            <v>-65.153596689925578</v>
          </cell>
          <cell r="AG295">
            <v>-52.927954870733622</v>
          </cell>
          <cell r="AH295">
            <v>-39.736536365469753</v>
          </cell>
          <cell r="AI295">
            <v>-26.515654098364823</v>
          </cell>
          <cell r="AJ295">
            <v>-14.330142812801874</v>
          </cell>
          <cell r="AK295">
            <v>-3.9326447413962384</v>
          </cell>
          <cell r="AL295" t="e">
            <v>#REF!</v>
          </cell>
          <cell r="AM295" t="e">
            <v>#REF!</v>
          </cell>
          <cell r="AN295" t="e">
            <v>#REF!</v>
          </cell>
          <cell r="AO295" t="e">
            <v>#REF!</v>
          </cell>
          <cell r="AP295" t="e">
            <v>#REF!</v>
          </cell>
        </row>
        <row r="296">
          <cell r="Z296">
            <v>141.1039700367686</v>
          </cell>
          <cell r="AA296">
            <v>224.32321813420754</v>
          </cell>
          <cell r="AB296">
            <v>316.68404186367934</v>
          </cell>
          <cell r="AC296">
            <v>420.66922438207553</v>
          </cell>
          <cell r="AD296">
            <v>524.06330160383573</v>
          </cell>
          <cell r="AE296">
            <v>625.90708529566757</v>
          </cell>
          <cell r="AF296">
            <v>-347.65116559502542</v>
          </cell>
          <cell r="AG296">
            <v>-278.72992140657806</v>
          </cell>
          <cell r="AH296">
            <v>-207.00538987847568</v>
          </cell>
          <cell r="AI296">
            <v>-139.77515138200206</v>
          </cell>
          <cell r="AJ296">
            <v>-83.637104307170148</v>
          </cell>
          <cell r="AK296">
            <v>-42.492197962956467</v>
          </cell>
          <cell r="AL296" t="e">
            <v>#REF!</v>
          </cell>
          <cell r="AM296" t="e">
            <v>#REF!</v>
          </cell>
          <cell r="AN296" t="e">
            <v>#REF!</v>
          </cell>
          <cell r="AO296" t="e">
            <v>#REF!</v>
          </cell>
          <cell r="AP296" t="e">
            <v>#REF!</v>
          </cell>
        </row>
        <row r="297">
          <cell r="Z297">
            <v>15.738081247926175</v>
          </cell>
          <cell r="AA297">
            <v>55.549073985646999</v>
          </cell>
          <cell r="AB297">
            <v>97.999277887488347</v>
          </cell>
          <cell r="AC297">
            <v>148.70132727381525</v>
          </cell>
          <cell r="AD297">
            <v>200.89534858817944</v>
          </cell>
          <cell r="AE297">
            <v>262.6101153651075</v>
          </cell>
          <cell r="AF297">
            <v>-295.94209730880368</v>
          </cell>
          <cell r="AG297">
            <v>-264.02839725508068</v>
          </cell>
          <cell r="AH297">
            <v>-227.0864652966242</v>
          </cell>
          <cell r="AI297">
            <v>-186.92967911621503</v>
          </cell>
          <cell r="AJ297">
            <v>-145.0264421959476</v>
          </cell>
          <cell r="AK297">
            <v>-103.42562473036466</v>
          </cell>
          <cell r="AL297" t="e">
            <v>#REF!</v>
          </cell>
          <cell r="AM297" t="e">
            <v>#REF!</v>
          </cell>
          <cell r="AN297" t="e">
            <v>#REF!</v>
          </cell>
          <cell r="AO297" t="e">
            <v>#REF!</v>
          </cell>
          <cell r="AP297" t="e">
            <v>#REF!</v>
          </cell>
        </row>
        <row r="298">
          <cell r="Z298">
            <v>238.20816742245711</v>
          </cell>
          <cell r="AA298">
            <v>381.58711193132649</v>
          </cell>
          <cell r="AB298">
            <v>535.10052815683935</v>
          </cell>
          <cell r="AC298">
            <v>698.08824984871967</v>
          </cell>
          <cell r="AD298">
            <v>865.49722763434988</v>
          </cell>
          <cell r="AE298">
            <v>1036.3942266986121</v>
          </cell>
          <cell r="AF298">
            <v>-697.19802073107428</v>
          </cell>
          <cell r="AG298">
            <v>-592.66654975208451</v>
          </cell>
          <cell r="AH298">
            <v>-474.95424358126718</v>
          </cell>
          <cell r="AI298">
            <v>-355.23645895843163</v>
          </cell>
          <cell r="AJ298">
            <v>-240.62144617054767</v>
          </cell>
          <cell r="AK298">
            <v>-140.59624664673498</v>
          </cell>
          <cell r="AL298" t="e">
            <v>#REF!</v>
          </cell>
          <cell r="AM298" t="e">
            <v>#REF!</v>
          </cell>
          <cell r="AN298" t="e">
            <v>#REF!</v>
          </cell>
          <cell r="AO298" t="e">
            <v>#REF!</v>
          </cell>
          <cell r="AP298" t="e">
            <v>#REF!</v>
          </cell>
        </row>
        <row r="299">
          <cell r="Z299">
            <v>21.270022343339804</v>
          </cell>
          <cell r="AA299">
            <v>45.613014173641147</v>
          </cell>
          <cell r="AB299">
            <v>68.590731952127811</v>
          </cell>
          <cell r="AC299">
            <v>92.805841396198758</v>
          </cell>
          <cell r="AD299">
            <v>121.22697416483618</v>
          </cell>
          <cell r="AE299">
            <v>163.90988710853929</v>
          </cell>
          <cell r="AF299">
            <v>-180.31413895496021</v>
          </cell>
          <cell r="AG299">
            <v>-152.73480364476569</v>
          </cell>
          <cell r="AH299">
            <v>-120.5754569803249</v>
          </cell>
          <cell r="AI299">
            <v>-88.69173679715297</v>
          </cell>
          <cell r="AJ299">
            <v>-56.998384357601736</v>
          </cell>
          <cell r="AK299">
            <v>-28.437918261917048</v>
          </cell>
          <cell r="AL299" t="e">
            <v>#REF!</v>
          </cell>
          <cell r="AM299" t="e">
            <v>#REF!</v>
          </cell>
          <cell r="AN299" t="e">
            <v>#REF!</v>
          </cell>
          <cell r="AO299" t="e">
            <v>#REF!</v>
          </cell>
          <cell r="AP299" t="e">
            <v>#REF!</v>
          </cell>
        </row>
        <row r="305">
          <cell r="X305">
            <v>0.47882842736883524</v>
          </cell>
        </row>
        <row r="306">
          <cell r="X306">
            <v>1.990680034736596</v>
          </cell>
        </row>
        <row r="307">
          <cell r="X307">
            <v>7.8008447341311413</v>
          </cell>
        </row>
        <row r="308">
          <cell r="X308">
            <v>1.9709498469205404</v>
          </cell>
        </row>
        <row r="309">
          <cell r="X309">
            <v>0.27256702917581299</v>
          </cell>
        </row>
        <row r="310">
          <cell r="X310">
            <v>2.5559084912343706</v>
          </cell>
        </row>
        <row r="311">
          <cell r="X311">
            <v>3.0352589215630927</v>
          </cell>
        </row>
        <row r="312">
          <cell r="X312">
            <v>2.9631747768844696</v>
          </cell>
        </row>
        <row r="313">
          <cell r="X313">
            <v>3.0501431141168038</v>
          </cell>
        </row>
        <row r="314">
          <cell r="X314">
            <v>3.1724395660395981</v>
          </cell>
        </row>
        <row r="315">
          <cell r="X315">
            <v>4.2942158563236035</v>
          </cell>
        </row>
        <row r="316">
          <cell r="X316">
            <v>6.0602414813269059</v>
          </cell>
        </row>
        <row r="317">
          <cell r="X317">
            <v>4.5218919927725576</v>
          </cell>
        </row>
        <row r="318">
          <cell r="X318">
            <v>3.4680879074882145</v>
          </cell>
        </row>
        <row r="319">
          <cell r="X319">
            <v>5.824093989287964</v>
          </cell>
        </row>
        <row r="320">
          <cell r="X320">
            <v>2.6219865812864538</v>
          </cell>
        </row>
        <row r="321">
          <cell r="X321">
            <v>0.49666330878179943</v>
          </cell>
        </row>
        <row r="322">
          <cell r="X322">
            <v>32.61121292988657</v>
          </cell>
        </row>
        <row r="323">
          <cell r="X323">
            <v>7.2272592008065351</v>
          </cell>
        </row>
        <row r="324">
          <cell r="X324">
            <v>2.9415488738358175</v>
          </cell>
        </row>
        <row r="325">
          <cell r="X325">
            <v>0.74307864342814867</v>
          </cell>
        </row>
        <row r="326">
          <cell r="X326">
            <v>8.8850444441020642</v>
          </cell>
        </row>
        <row r="327">
          <cell r="X327">
            <v>2.4696259927089108</v>
          </cell>
        </row>
        <row r="335">
          <cell r="X335">
            <v>0.48840499591621195</v>
          </cell>
        </row>
        <row r="336">
          <cell r="X336">
            <v>2.0304936354313279</v>
          </cell>
        </row>
        <row r="337">
          <cell r="X337">
            <v>7.8008447341311413</v>
          </cell>
        </row>
        <row r="338">
          <cell r="X338">
            <v>2.0103688438589513</v>
          </cell>
        </row>
        <row r="339">
          <cell r="X339">
            <v>0.27801836975932925</v>
          </cell>
        </row>
        <row r="340">
          <cell r="X340">
            <v>2.607026661059058</v>
          </cell>
        </row>
        <row r="341">
          <cell r="X341">
            <v>3.0959640999943545</v>
          </cell>
        </row>
        <row r="342">
          <cell r="X342">
            <v>3.0224382724221592</v>
          </cell>
        </row>
        <row r="343">
          <cell r="X343">
            <v>3.1111459763991398</v>
          </cell>
        </row>
        <row r="344">
          <cell r="X344">
            <v>3.2358883573603903</v>
          </cell>
        </row>
        <row r="345">
          <cell r="X345">
            <v>4.3801001734500753</v>
          </cell>
        </row>
        <row r="346">
          <cell r="X346">
            <v>6.1814463109534445</v>
          </cell>
        </row>
        <row r="347">
          <cell r="X347">
            <v>4.6123298326280091</v>
          </cell>
        </row>
        <row r="348">
          <cell r="X348">
            <v>3.537449665637979</v>
          </cell>
        </row>
        <row r="349">
          <cell r="X349">
            <v>5.9405758690737231</v>
          </cell>
        </row>
        <row r="350">
          <cell r="X350">
            <v>2.6744263129121828</v>
          </cell>
        </row>
        <row r="351">
          <cell r="X351">
            <v>0.50659657495743537</v>
          </cell>
        </row>
        <row r="352">
          <cell r="X352">
            <v>33.263437188484303</v>
          </cell>
        </row>
        <row r="353">
          <cell r="X353">
            <v>7.3718043848226662</v>
          </cell>
        </row>
        <row r="354">
          <cell r="X354">
            <v>3.0003798513125339</v>
          </cell>
        </row>
        <row r="355">
          <cell r="X355">
            <v>0.7579402162967116</v>
          </cell>
        </row>
        <row r="356">
          <cell r="X356">
            <v>9.0627453329841057</v>
          </cell>
        </row>
        <row r="357">
          <cell r="X357">
            <v>2.5190185125630893</v>
          </cell>
        </row>
      </sheetData>
      <sheetData sheetId="2" refreshError="1"/>
      <sheetData sheetId="3" refreshError="1">
        <row r="2">
          <cell r="B2" t="str">
            <v>Выпуски</v>
          </cell>
        </row>
        <row r="3">
          <cell r="B3" t="str">
            <v>Годовые индексы изменения физического объема выпусков</v>
          </cell>
        </row>
        <row r="4">
          <cell r="B4" t="str">
            <v>Отраслевая структура выпусков по годам в прогнозируемом периоде</v>
          </cell>
        </row>
        <row r="5">
          <cell r="B5" t="str">
            <v xml:space="preserve">Объем отраслевых ресурсов отечественного производства </v>
          </cell>
        </row>
        <row r="6">
          <cell r="B6" t="str">
            <v xml:space="preserve">Динамика отраслевых ресурсов отечественного производства </v>
          </cell>
        </row>
        <row r="7">
          <cell r="B7" t="str">
            <v xml:space="preserve">Отраслевая структура ресурсов отечественного производства </v>
          </cell>
        </row>
        <row r="8">
          <cell r="B8" t="str">
            <v>Объем отраслевых ресурсов отечественного производства в конечном использовании</v>
          </cell>
        </row>
        <row r="9">
          <cell r="B9" t="str">
            <v>Динамика отраслевых ресурсов отечественного производства в конечном использовании</v>
          </cell>
        </row>
        <row r="10">
          <cell r="B10" t="str">
            <v>Отраслевая структура ресурсов отечественного производства в конечном использовании</v>
          </cell>
        </row>
        <row r="11">
          <cell r="B11" t="str">
            <v>Конечное потребление домашних хозяйств</v>
          </cell>
        </row>
        <row r="12">
          <cell r="B12" t="str">
            <v>Динамика конечного потребления домашних хозяйств</v>
          </cell>
        </row>
        <row r="13">
          <cell r="B13" t="str">
            <v>Отраслевая структура конечного потребления домашних хозяйств</v>
          </cell>
        </row>
        <row r="14">
          <cell r="B14" t="str">
            <v>Конечное потребление ОГУ</v>
          </cell>
        </row>
        <row r="15">
          <cell r="B15" t="str">
            <v>Динамика конечного потребления ОГУ</v>
          </cell>
        </row>
        <row r="16">
          <cell r="B16" t="str">
            <v>Отраслевая структура конечного потребления ОГУ</v>
          </cell>
        </row>
        <row r="17">
          <cell r="B17" t="str">
            <v>Изменение запасов материальных оборотных средств</v>
          </cell>
        </row>
        <row r="18">
          <cell r="B18" t="str">
            <v>Динамика изменения запасов материальных оборотных средств</v>
          </cell>
        </row>
        <row r="19">
          <cell r="B19" t="str">
            <v>Отраслевая структура изменения запасов материальных оборотных средств</v>
          </cell>
        </row>
        <row r="20">
          <cell r="B20" t="str">
            <v>Экспорт</v>
          </cell>
        </row>
        <row r="21">
          <cell r="B21" t="str">
            <v>Динамика экспорта</v>
          </cell>
        </row>
        <row r="22">
          <cell r="B22" t="str">
            <v>Отраслевая структура экспорта</v>
          </cell>
        </row>
        <row r="23">
          <cell r="B23" t="str">
            <v>Импорт</v>
          </cell>
        </row>
        <row r="24">
          <cell r="B24" t="str">
            <v>Динамика импорта</v>
          </cell>
        </row>
        <row r="25">
          <cell r="B25" t="str">
            <v>Отраслевая структура импорта</v>
          </cell>
        </row>
        <row r="26">
          <cell r="B26" t="str">
            <v>Сальдо</v>
          </cell>
        </row>
        <row r="27">
          <cell r="B27" t="str">
            <v>Динамика отраслевой потребности в инвестициях</v>
          </cell>
        </row>
        <row r="28">
          <cell r="B28" t="str">
            <v>Динамика основных фондов</v>
          </cell>
        </row>
        <row r="29">
          <cell r="B29" t="str">
            <v>Коэффициенты выбытия основных фондов</v>
          </cell>
        </row>
        <row r="30">
          <cell r="B30" t="str">
            <v>Коэффициенты обновления основных фондов</v>
          </cell>
        </row>
        <row r="31">
          <cell r="B31" t="str">
            <v>Динамика фондоотдачи</v>
          </cell>
        </row>
      </sheetData>
      <sheetData sheetId="4">
        <row r="4">
          <cell r="Y4">
            <v>1</v>
          </cell>
        </row>
      </sheetData>
      <sheetData sheetId="5">
        <row r="121">
          <cell r="CI121">
            <v>1199.7543236906586</v>
          </cell>
        </row>
      </sheetData>
      <sheetData sheetId="6">
        <row r="2">
          <cell r="B2" t="str">
            <v>Выпуски</v>
          </cell>
        </row>
      </sheetData>
      <sheetData sheetId="7">
        <row r="2">
          <cell r="B2" t="str">
            <v>Выпуски</v>
          </cell>
        </row>
      </sheetData>
      <sheetData sheetId="8">
        <row r="4">
          <cell r="Y4">
            <v>1</v>
          </cell>
        </row>
      </sheetData>
      <sheetData sheetId="9">
        <row r="121">
          <cell r="CI121">
            <v>1199.7543236906586</v>
          </cell>
        </row>
      </sheetData>
      <sheetData sheetId="10">
        <row r="7">
          <cell r="C7">
            <v>1</v>
          </cell>
        </row>
      </sheetData>
      <sheetData sheetId="11">
        <row r="4">
          <cell r="Y4">
            <v>1</v>
          </cell>
        </row>
      </sheetData>
      <sheetData sheetId="12">
        <row r="121">
          <cell r="CI121">
            <v>1199.7543236906586</v>
          </cell>
        </row>
      </sheetData>
      <sheetData sheetId="13">
        <row r="7">
          <cell r="C7">
            <v>1</v>
          </cell>
        </row>
      </sheetData>
      <sheetData sheetId="14">
        <row r="4">
          <cell r="Y4">
            <v>1</v>
          </cell>
        </row>
      </sheetData>
      <sheetData sheetId="15"/>
      <sheetData sheetId="16">
        <row r="121">
          <cell r="CI121">
            <v>1199.7543236906586</v>
          </cell>
        </row>
      </sheetData>
      <sheetData sheetId="17">
        <row r="4">
          <cell r="Y4">
            <v>1</v>
          </cell>
        </row>
      </sheetData>
      <sheetData sheetId="18"/>
      <sheetData sheetId="19">
        <row r="121">
          <cell r="CI121">
            <v>1199.7543236906586</v>
          </cell>
        </row>
      </sheetData>
      <sheetData sheetId="20">
        <row r="4">
          <cell r="Y4">
            <v>1</v>
          </cell>
        </row>
      </sheetData>
      <sheetData sheetId="21">
        <row r="2">
          <cell r="B2" t="str">
            <v>Выпуски</v>
          </cell>
        </row>
      </sheetData>
      <sheetData sheetId="22">
        <row r="121">
          <cell r="CI121">
            <v>1199.7543236906586</v>
          </cell>
        </row>
      </sheetData>
      <sheetData sheetId="23">
        <row r="4">
          <cell r="Y4">
            <v>1</v>
          </cell>
        </row>
      </sheetData>
      <sheetData sheetId="24">
        <row r="2">
          <cell r="B2" t="str">
            <v>Выпуски</v>
          </cell>
        </row>
      </sheetData>
      <sheetData sheetId="25">
        <row r="2">
          <cell r="B2" t="str">
            <v>Выпуски</v>
          </cell>
        </row>
      </sheetData>
      <sheetData sheetId="26">
        <row r="2">
          <cell r="B2" t="str">
            <v>Выпуски</v>
          </cell>
        </row>
      </sheetData>
      <sheetData sheetId="27">
        <row r="2">
          <cell r="B2" t="str">
            <v>Выпуски</v>
          </cell>
        </row>
      </sheetData>
      <sheetData sheetId="28">
        <row r="2">
          <cell r="B2" t="str">
            <v>Выпуски</v>
          </cell>
        </row>
      </sheetData>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ltilats"/>
      <sheetName val="Текущие цены"/>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Управление"/>
      <sheetName val="Итоги1"/>
      <sheetName val="Структура1"/>
      <sheetName val="Доходы (исполнение)1"/>
      <sheetName val="Расходы (исполнение)1"/>
      <sheetName val="Доходы (динамика)1"/>
      <sheetName val="Расходы (динамика)1"/>
      <sheetName val="Источники1"/>
      <sheetName val="Диаграммы1"/>
      <sheetName val="Итоги2"/>
      <sheetName val="Структура2"/>
      <sheetName val="Доходы (исполнение)2"/>
      <sheetName val="Расходы (исполнение)2"/>
      <sheetName val="Доходы (динамика)2"/>
      <sheetName val="Расходы (динамика)2"/>
      <sheetName val="Источники2"/>
      <sheetName val="Диаграммы2"/>
      <sheetName val="Итоги3"/>
      <sheetName val="Структура3"/>
      <sheetName val="Доходы (динамика)3"/>
      <sheetName val="Расходы (динамика)3"/>
      <sheetName val="Источники3"/>
      <sheetName val="ПРОГНОЗ_1"/>
      <sheetName val="ФедД"/>
      <sheetName val="Гр5(о)"/>
      <sheetName val="multilats"/>
    </sheetNames>
    <sheetDataSet>
      <sheetData sheetId="0" refreshError="1">
        <row r="17">
          <cell r="AE17">
            <v>8</v>
          </cell>
        </row>
        <row r="20">
          <cell r="AF20" t="str">
            <v>10 месяцев 2002 года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ф99"/>
      <sheetName val="2002(v2)"/>
      <sheetName val="2004(2,3)"/>
      <sheetName val="2009(2,3) (2)"/>
      <sheetName val="Печ40"/>
      <sheetName val="2002-03(2,3)"/>
      <sheetName val="I"/>
      <sheetName val="2002_v2_"/>
      <sheetName val="Гр5(о)"/>
      <sheetName val="Управление"/>
      <sheetName val="2009(2,3)_(2)"/>
      <sheetName val="Оценка DCF"/>
      <sheetName val="GKN (2)"/>
      <sheetName val="ПЕРЕЧЕНЬ"/>
      <sheetName val="Программа"/>
      <sheetName val="Лист2"/>
      <sheetName val="Предпр.-взвеш. оценка"/>
      <sheetName val="база_свод"/>
      <sheetName val="Сдача "/>
      <sheetName val="расход"/>
      <sheetName val="Док+Исх"/>
      <sheetName val="Inputs"/>
      <sheetName val="16"/>
      <sheetName val="17"/>
      <sheetName val="4"/>
      <sheetName val="5"/>
      <sheetName val="Ф-1 (для АО-энерго)"/>
      <sheetName val="Ф-2 (для АО-энерго)"/>
      <sheetName val="перекрестка"/>
      <sheetName val="свод"/>
      <sheetName val="17.1"/>
      <sheetName val="24"/>
      <sheetName val="25"/>
      <sheetName val="Справочники"/>
      <sheetName val="Регионы"/>
      <sheetName val="Исходные"/>
      <sheetName val="пл. 2001 цехов и УГС"/>
      <sheetName val="2002(v1)"/>
      <sheetName val="Списки"/>
      <sheetName val="Contents"/>
      <sheetName val="Настройки"/>
      <sheetName val="АА"/>
      <sheetName val="Содержание"/>
      <sheetName val="Налоги+Амортиз"/>
      <sheetName val="Энергия на СН"/>
      <sheetName val="НФИк"/>
      <sheetName val="Оценка_DCF"/>
      <sheetName val="GKN_(2)"/>
      <sheetName val="Нормы"/>
      <sheetName val="Пески сводный реестр"/>
      <sheetName val="Т-18-Инвестиции"/>
      <sheetName val="Морские поставки"/>
      <sheetName val="прим"/>
      <sheetName val="данные производственные"/>
      <sheetName val="данные капвложения"/>
      <sheetName val="данные стоимостные"/>
      <sheetName val="данные себестоимость"/>
      <sheetName val="0.Настройка"/>
      <sheetName val="Медслужба"/>
      <sheetName val="РМУ"/>
      <sheetName val="УКиСР"/>
      <sheetName val="приб. от экспорт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ф99"/>
      <sheetName val="2002(v1)"/>
      <sheetName val="2002(v2)"/>
      <sheetName val="I"/>
      <sheetName val="Печv1"/>
      <sheetName val="Печv2 "/>
      <sheetName val="ПечМОНv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Управление"/>
      <sheetName val="Итоги1"/>
      <sheetName val="Структура1"/>
      <sheetName val="Доходы (исполнение)1"/>
      <sheetName val="Расходы (исполнение)1"/>
      <sheetName val="Доходы (динамика)1"/>
      <sheetName val="Расходы (динамика)1"/>
      <sheetName val="Источники1"/>
      <sheetName val="Диаграммы1"/>
      <sheetName val="Итоги2"/>
      <sheetName val="Структура2"/>
      <sheetName val="Доходы (исполнение)2"/>
      <sheetName val="Расходы (исполнение)2"/>
      <sheetName val="Доходы (динамика)2"/>
      <sheetName val="Расходы (динамика)2"/>
      <sheetName val="Источники2"/>
      <sheetName val="Диаграммы2"/>
      <sheetName val="Итоги3"/>
      <sheetName val="Структура3"/>
      <sheetName val="Доходы (динамика)3"/>
      <sheetName val="Расходы (динамика)3"/>
      <sheetName val="Источники3"/>
      <sheetName val="ПРОГНОЗ_1"/>
      <sheetName val="ФедД"/>
      <sheetName val="Гр5(о)"/>
    </sheetNames>
    <sheetDataSet>
      <sheetData sheetId="0" refreshError="1">
        <row r="17">
          <cell r="AE17">
            <v>8</v>
          </cell>
        </row>
        <row r="20">
          <cell r="AE20" t="str">
            <v>10 месяцев 2003 года</v>
          </cell>
          <cell r="AF20" t="str">
            <v>10 месяцев 2002 года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ПЦ-цб (2)"/>
      <sheetName val="ИПЦ-ц"/>
      <sheetName val="ИПЦ-гр"/>
      <sheetName val="ИПЦ-баз1"/>
      <sheetName val="ИПЦ-40"/>
      <sheetName val="ИПЦ-баз(30)"/>
      <sheetName val="ЖКХ "/>
      <sheetName val="df13-18-б"/>
      <sheetName val="vec"/>
      <sheetName val="df08-12"/>
      <sheetName val="Мир _цен"/>
      <sheetName val="электро"/>
      <sheetName val="уг-маз"/>
      <sheetName val="пч1-СPI"/>
      <sheetName val="пч1-def"/>
      <sheetName val="пч1-кв"/>
      <sheetName val="СУ-1-тек-ср"/>
      <sheetName val="баз-кв"/>
      <sheetName val="10-15 д"/>
      <sheetName val="food"/>
      <sheetName val="ИЦПМЭР"/>
      <sheetName val="2030-ИПЦ"/>
      <sheetName val="df19-30 "/>
      <sheetName val="пч-2030"/>
      <sheetName val="2015-янв"/>
      <sheetName val="печ-1-стар вер"/>
      <sheetName val="df04-07"/>
      <sheetName val="деф-2030"/>
      <sheetName val="ИПЦ-2"/>
      <sheetName val="электр - 21.04-д03"/>
      <sheetName val="ИПЦ-без"/>
      <sheetName val="ИПЦ-7,5-о"/>
      <sheetName val="Лист1"/>
      <sheetName val="Лист2"/>
      <sheetName val="ИПЦ-(2)"/>
      <sheetName val="ИПЦ-(3 вар-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2"/>
      <sheetName val="Росстат"/>
      <sheetName val="Weights"/>
      <sheetName val="Добыча"/>
      <sheetName val="CEIC Data"/>
      <sheetName val="гг"/>
      <sheetName val="Output tables"/>
      <sheetName val="Charts"/>
      <sheetName val="12м_2019(обработка)"/>
      <sheetName val="мм"/>
      <sheetName val="Final_m"/>
      <sheetName val="нараст"/>
      <sheetName val="квкв"/>
      <sheetName val="Final_q"/>
      <sheetName val="Final_y"/>
      <sheetName val="D-in"/>
      <sheetName val="D-out t"/>
      <sheetName val="D-out sa"/>
      <sheetName val="Оглавление для удобства"/>
      <sheetName val="Переменные"/>
      <sheetName val="Инструкции"/>
      <sheetName val="Klimovets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7">
          <cell r="P17">
            <v>43800</v>
          </cell>
        </row>
      </sheetData>
      <sheetData sheetId="8" refreshError="1"/>
      <sheetData sheetId="9" refreshError="1"/>
      <sheetData sheetId="10" refreshError="1">
        <row r="1919">
          <cell r="I1919" t="str">
            <v>SA, 2013=100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1">
          <cell r="B11" t="str">
            <v>_m</v>
          </cell>
        </row>
        <row r="12">
          <cell r="B12" t="str">
            <v>_q</v>
          </cell>
        </row>
        <row r="13">
          <cell r="B13" t="str">
            <v>_y</v>
          </cell>
        </row>
      </sheetData>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ЭК было-стало"/>
      <sheetName val="сравнение инвестпланов компаний"/>
      <sheetName val="сравнение%20инвестпланов%20комп"/>
      <sheetName val="%D1%81%D1%80%D0%B0%"/>
    </sheetNames>
    <definedNames>
      <definedName name="cghksrydtylkfyi" refersTo="#ССЫЛКА!"/>
      <definedName name="ddda" refersTo="#ССЫЛКА!"/>
      <definedName name="ewyreayaeyearyaeu" refersTo="#ССЫЛКА!"/>
      <definedName name="hul" refersTo="#ССЫЛКА!"/>
      <definedName name="infl" refersTo="#ССЫЛКА!"/>
      <definedName name="intthr" refersTo="#ССЫЛКА!"/>
      <definedName name="longer" refersTo="#ССЫЛКА!"/>
      <definedName name="NTB" refersTo="#ССЫЛКА!"/>
      <definedName name="rsstdrykdty" refersTo="#ССЫЛКА!"/>
      <definedName name="same" refersTo="#ССЫЛКА!"/>
      <definedName name="Thr" refersTo="#ССЫЛКА!"/>
      <definedName name="uklcgktxdyk" refersTo="#ССЫЛКА!"/>
      <definedName name="анлвегбюв6унув6" refersTo="#ССЫЛКА!"/>
      <definedName name="ее" refersTo="#ССЫЛКА!"/>
      <definedName name="зазаза" refersTo="#ССЫЛКА!"/>
      <definedName name="кнкери" refersTo="#ССЫЛКА!"/>
      <definedName name="лрлрлр" refersTo="#ССЫЛКА!"/>
      <definedName name="НТБ2" refersTo="#ССЫЛКА!"/>
      <definedName name="спрл" refersTo="#ССЫЛКА!"/>
      <definedName name="фываыввпр" refersTo="#ССЫЛКА!"/>
    </defined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нД"/>
      <sheetName val="ФедД"/>
      <sheetName val="РегД"/>
      <sheetName val="КонР"/>
      <sheetName val="ФедР"/>
      <sheetName val="РегР"/>
      <sheetName val="ФедИ"/>
      <sheetName val="РегИ"/>
      <sheetName val="Гр5(о)"/>
      <sheetName val="Control"/>
      <sheetName val="МЭР"/>
      <sheetName val="vec"/>
      <sheetName val="1999"/>
      <sheetName val="БДДС month _ф_"/>
      <sheetName val="БДДС month _п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Управление"/>
      <sheetName val="Итоги1"/>
      <sheetName val="Структура1"/>
      <sheetName val="Доходы (исполнение)1"/>
      <sheetName val="Расходы (исполнение)1"/>
      <sheetName val="Доходы (динамика)1"/>
      <sheetName val="Расходы (динамика)1"/>
      <sheetName val="Источники1"/>
      <sheetName val="Диаграммы1"/>
      <sheetName val="Итоги2"/>
      <sheetName val="Структура2"/>
      <sheetName val="Доходы (исполнение)2"/>
      <sheetName val="Расходы (исполнение)2"/>
      <sheetName val="Доходы (динамика)2"/>
      <sheetName val="Расходы (динамика)2"/>
      <sheetName val="Источники2"/>
      <sheetName val="Диаграммы2"/>
      <sheetName val="Итоги3"/>
      <sheetName val="Структура3"/>
      <sheetName val="Доходы (динамика)3"/>
      <sheetName val="Расходы (динамика)3"/>
      <sheetName val="Источники3"/>
      <sheetName val="ПРОГНОЗ_1"/>
      <sheetName val="ФедД"/>
      <sheetName val="Гр5(о)"/>
      <sheetName val="vec"/>
      <sheetName val="0_33"/>
    </sheetNames>
    <sheetDataSet>
      <sheetData sheetId="0" refreshError="1">
        <row r="17">
          <cell r="AE17">
            <v>8</v>
          </cell>
          <cell r="AF17">
            <v>7</v>
          </cell>
        </row>
        <row r="20">
          <cell r="AE20" t="str">
            <v>10 месяцев 2003 года</v>
          </cell>
          <cell r="AF20" t="str">
            <v>10 месяцев 2002 года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MoM"/>
      <sheetName val="Лист1"/>
      <sheetName val="YoY"/>
      <sheetName val="YtD"/>
      <sheetName val="A&amp;Q data"/>
      <sheetName val="ta"/>
      <sheetName val="Report_tab"/>
      <sheetName val="Tab"/>
      <sheetName val="Charts (2)"/>
      <sheetName val="Charts"/>
      <sheetName val="мониторинг 778"/>
      <sheetName val="инфографика"/>
      <sheetName val="пп"/>
      <sheetName val="обработка"/>
      <sheetName val="обработка (2)"/>
      <sheetName val="добыча"/>
      <sheetName val="добыча (2)"/>
      <sheetName val="Очистка от календаря"/>
      <sheetName val="Charts_sa"/>
      <sheetName val="Переменные"/>
      <sheetName val="табл для монит"/>
      <sheetName val="графики для монит"/>
      <sheetName val="CEIC Data"/>
      <sheetName val="Лист2"/>
      <sheetName val="Лист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1" t="str">
            <v>_m</v>
          </cell>
        </row>
        <row r="2">
          <cell r="B2" t="str">
            <v>_q</v>
          </cell>
        </row>
      </sheetData>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ОБ03"/>
      <sheetName val="МОБ04"/>
      <sheetName val="МОБ04_старый"/>
      <sheetName val="2005сц"/>
      <sheetName val="Темпы промышл"/>
      <sheetName val="Temp"/>
      <sheetName val="Deflator"/>
      <sheetName val="окраска"/>
      <sheetName val="Matrix"/>
      <sheetName val="Лист2"/>
      <sheetName val="Matrix (2)"/>
      <sheetName val="В_2оп_цены"/>
      <sheetName val="Лист4"/>
      <sheetName val="2005 - 2008 текущие цены"/>
      <sheetName val="Печать_V2"/>
      <sheetName val="Печ 2оп"/>
      <sheetName val="СводБВ"/>
      <sheetName val="Отр"/>
      <sheetName val="ОГУ"/>
      <sheetName val="ИОК"/>
      <sheetName val="Исходные данные"/>
      <sheetName val="Расчет"/>
      <sheetName val="рабочий"/>
      <sheetName val="Текущие цены"/>
      <sheetName val="Оглавление"/>
      <sheetName val="Печать Выпусков"/>
      <sheetName val="Печать ИОК"/>
      <sheetName val="Печать фондов"/>
      <sheetName val="Огл. Графиков"/>
      <sheetName val="Баланс ОФ"/>
    </sheetNames>
    <sheetDataSet>
      <sheetData sheetId="0"/>
      <sheetData sheetId="1"/>
      <sheetData sheetId="2"/>
      <sheetData sheetId="3"/>
      <sheetData sheetId="4"/>
      <sheetData sheetId="5"/>
      <sheetData sheetId="6"/>
      <sheetData sheetId="7">
        <row r="7">
          <cell r="C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1">
          <cell r="CI121">
            <v>1199.7543236906586</v>
          </cell>
        </row>
      </sheetData>
      <sheetData sheetId="23">
        <row r="4">
          <cell r="Y4">
            <v>1</v>
          </cell>
        </row>
      </sheetData>
      <sheetData sheetId="24"/>
      <sheetData sheetId="25"/>
      <sheetData sheetId="26"/>
      <sheetData sheetId="27"/>
      <sheetData sheetId="28">
        <row r="2">
          <cell r="B2" t="str">
            <v>Выпуски</v>
          </cell>
        </row>
      </sheetData>
      <sheetData sheetId="2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5(о)"/>
      <sheetName val="Гр1(98_00)"/>
      <sheetName val="Гр1(99_00)"/>
      <sheetName val="Гр2"/>
      <sheetName val="Гр2(06)"/>
      <sheetName val="Гр3"/>
      <sheetName val="Прод(Непр)"/>
      <sheetName val="Гр4"/>
      <sheetName val="Гр4(06)"/>
      <sheetName val="Гр6"/>
      <sheetName val="ПРОГНОЗ_1"/>
      <sheetName val="Огл. Графиков"/>
      <sheetName val="рабочий"/>
      <sheetName val="Текущие цены"/>
      <sheetName val="окраска"/>
      <sheetName val="Управление"/>
      <sheetName val="multilats"/>
      <sheetName val="XLR_NoRangeSheet"/>
      <sheetName val="6.12"/>
      <sheetName val="ТИТУЛ"/>
      <sheetName val="6.14"/>
      <sheetName val="ОБЩЕСТВА"/>
      <sheetName val="6.7"/>
      <sheetName val="6.8"/>
      <sheetName val="6.9.2"/>
      <sheetName val="6.9.1"/>
      <sheetName val="6.9"/>
      <sheetName val="6.10.1"/>
      <sheetName val="6.22"/>
      <sheetName val="6.17"/>
      <sheetName val="6.15"/>
      <sheetName val="6.11.1"/>
      <sheetName val="6.19"/>
      <sheetName val="6.20"/>
      <sheetName val="6.28"/>
      <sheetName val="6.5.1_ТНП"/>
      <sheetName val="6.13"/>
      <sheetName val="6.23"/>
      <sheetName val="6.24"/>
      <sheetName val="6.21"/>
      <sheetName val="TSheet"/>
      <sheetName val="Лист1"/>
      <sheetName val="ИТ-бюджет"/>
      <sheetName val="Исходные данные"/>
      <sheetName val="Общехозяйственные расходы"/>
      <sheetName val="Штатное"/>
      <sheetName val="10"/>
      <sheetName val="Огл__Графиков"/>
      <sheetName val="Текущие_цены"/>
      <sheetName val="2002(v1)"/>
      <sheetName val="Проект"/>
      <sheetName val="12июля"/>
      <sheetName val="Гр5_о_"/>
      <sheetName val="6_12"/>
      <sheetName val="6_14"/>
      <sheetName val="6_7"/>
      <sheetName val="6_8"/>
      <sheetName val="6_9_2"/>
      <sheetName val="6_9_1"/>
      <sheetName val="6_9"/>
      <sheetName val="6_10_1"/>
      <sheetName val="6_22"/>
      <sheetName val="6_17"/>
      <sheetName val="6_15"/>
      <sheetName val="6_11_1"/>
      <sheetName val="6_19"/>
      <sheetName val="6_20"/>
      <sheetName val="6_28"/>
      <sheetName val="6_5_1_ТНП"/>
      <sheetName val="6_13"/>
      <sheetName val="6_23"/>
      <sheetName val="6_24"/>
      <sheetName val="6_21"/>
      <sheetName val="Lists"/>
      <sheetName val="Форма1"/>
      <sheetName val="Форма2"/>
      <sheetName val="BS_ias"/>
      <sheetName val="Сумм"/>
      <sheetName val="Титульный"/>
      <sheetName val="TEHSHEET"/>
      <sheetName val="1.10.96"/>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IX48"/>
  <sheetViews>
    <sheetView tabSelected="1" view="pageBreakPreview" zoomScale="97" zoomScaleNormal="97" zoomScaleSheetLayoutView="97" workbookViewId="0">
      <selection activeCell="C10" sqref="C10:I10"/>
    </sheetView>
  </sheetViews>
  <sheetFormatPr defaultColWidth="11.5703125" defaultRowHeight="12.75" x14ac:dyDescent="0.2"/>
  <cols>
    <col min="1" max="1" width="5.7109375" style="2" customWidth="1"/>
    <col min="2" max="2" width="32.85546875" style="2" customWidth="1"/>
    <col min="3" max="3" width="19.85546875" style="2" customWidth="1"/>
    <col min="4" max="5" width="19.85546875" style="7" customWidth="1"/>
    <col min="6" max="6" width="19.85546875" style="7" hidden="1" customWidth="1"/>
    <col min="7" max="7" width="15.85546875" style="2" customWidth="1"/>
    <col min="8" max="8" width="15.85546875" customWidth="1"/>
    <col min="9" max="9" width="14.85546875" customWidth="1"/>
  </cols>
  <sheetData>
    <row r="1" spans="1:18" ht="24.75" customHeight="1" x14ac:dyDescent="0.25">
      <c r="B1" s="586"/>
      <c r="C1" s="586"/>
      <c r="D1"/>
      <c r="E1"/>
      <c r="F1"/>
      <c r="G1" s="587"/>
      <c r="H1" s="587"/>
      <c r="I1" s="38"/>
    </row>
    <row r="2" spans="1:18" ht="24.75" hidden="1" customHeight="1" x14ac:dyDescent="0.2">
      <c r="B2" s="571"/>
      <c r="C2" s="571"/>
      <c r="D2" s="571"/>
      <c r="E2" s="2"/>
      <c r="F2" s="2"/>
      <c r="G2" s="568"/>
      <c r="H2" s="568"/>
      <c r="I2" s="568"/>
    </row>
    <row r="3" spans="1:18" ht="41.25" hidden="1" customHeight="1" x14ac:dyDescent="0.2">
      <c r="A3" s="19"/>
      <c r="B3" s="572"/>
      <c r="C3" s="572"/>
      <c r="D3" s="572"/>
      <c r="E3" s="21"/>
      <c r="F3" s="21"/>
      <c r="G3" s="569"/>
      <c r="H3" s="569"/>
      <c r="I3" s="569"/>
    </row>
    <row r="4" spans="1:18" ht="23.25" hidden="1" customHeight="1" x14ac:dyDescent="0.2">
      <c r="A4" s="19"/>
      <c r="B4" s="572"/>
      <c r="C4" s="572"/>
      <c r="D4" s="572"/>
      <c r="E4" s="21"/>
      <c r="F4" s="23"/>
      <c r="G4" s="569"/>
      <c r="H4" s="569"/>
      <c r="I4" s="569"/>
    </row>
    <row r="5" spans="1:18" ht="15.75" customHeight="1" x14ac:dyDescent="0.2">
      <c r="A5" s="19"/>
      <c r="B5" s="572"/>
      <c r="C5" s="572"/>
      <c r="D5" s="21"/>
      <c r="E5" s="21"/>
      <c r="F5" s="21"/>
      <c r="G5" s="569"/>
      <c r="H5" s="569"/>
      <c r="I5" s="23"/>
    </row>
    <row r="6" spans="1:18" ht="15.75" customHeight="1" x14ac:dyDescent="0.2">
      <c r="A6" s="19"/>
      <c r="B6" s="20"/>
      <c r="C6" s="21"/>
      <c r="D6" s="21"/>
      <c r="E6" s="21"/>
      <c r="F6" s="21"/>
      <c r="G6" s="21"/>
      <c r="H6" s="21"/>
      <c r="I6" s="21"/>
    </row>
    <row r="7" spans="1:18" ht="15.75" x14ac:dyDescent="0.25">
      <c r="A7" s="570" t="s">
        <v>230</v>
      </c>
      <c r="B7" s="570"/>
      <c r="C7" s="570"/>
      <c r="D7" s="570"/>
      <c r="E7" s="570"/>
      <c r="F7" s="570"/>
      <c r="G7" s="570"/>
      <c r="H7" s="570"/>
      <c r="I7" s="570"/>
    </row>
    <row r="8" spans="1:18" x14ac:dyDescent="0.2">
      <c r="A8" s="588" t="s">
        <v>0</v>
      </c>
      <c r="B8" s="588"/>
      <c r="C8" s="588"/>
      <c r="D8" s="588"/>
      <c r="E8" s="588"/>
      <c r="F8" s="588"/>
      <c r="G8" s="588"/>
      <c r="H8" s="588"/>
      <c r="I8" s="588"/>
    </row>
    <row r="9" spans="1:18" ht="15" x14ac:dyDescent="0.2">
      <c r="A9" s="10"/>
      <c r="B9" s="11"/>
      <c r="C9" s="10"/>
      <c r="D9" s="17"/>
      <c r="E9" s="17"/>
      <c r="F9" s="17"/>
      <c r="G9" s="10"/>
      <c r="H9" s="10"/>
      <c r="I9" s="10"/>
    </row>
    <row r="10" spans="1:18" ht="100.5" customHeight="1" x14ac:dyDescent="0.2">
      <c r="A10" s="589" t="s">
        <v>1</v>
      </c>
      <c r="B10" s="589"/>
      <c r="C10" s="590" t="s">
        <v>231</v>
      </c>
      <c r="D10" s="590"/>
      <c r="E10" s="590"/>
      <c r="F10" s="590"/>
      <c r="G10" s="590"/>
      <c r="H10" s="590"/>
      <c r="I10" s="590"/>
    </row>
    <row r="11" spans="1:18" x14ac:dyDescent="0.2">
      <c r="A11" s="588"/>
      <c r="B11" s="588"/>
      <c r="C11" s="588"/>
      <c r="D11" s="588"/>
      <c r="E11" s="588"/>
      <c r="F11" s="588"/>
      <c r="G11" s="588"/>
      <c r="H11" s="588"/>
      <c r="I11" s="588"/>
    </row>
    <row r="12" spans="1:18" ht="15" x14ac:dyDescent="0.2">
      <c r="A12" s="10"/>
      <c r="B12" s="11"/>
      <c r="C12" s="10"/>
      <c r="D12" s="17"/>
      <c r="E12" s="17"/>
      <c r="F12" s="17"/>
      <c r="G12" s="24"/>
      <c r="H12" s="10"/>
      <c r="I12" s="10"/>
    </row>
    <row r="13" spans="1:18" s="51" customFormat="1" x14ac:dyDescent="0.2">
      <c r="A13" s="591" t="s">
        <v>234</v>
      </c>
      <c r="B13" s="591"/>
      <c r="C13" s="591"/>
      <c r="D13" s="591" t="s">
        <v>232</v>
      </c>
      <c r="E13" s="591"/>
      <c r="F13" s="591"/>
      <c r="G13" s="591"/>
      <c r="H13" s="50"/>
      <c r="I13" s="50"/>
      <c r="J13" s="50"/>
      <c r="K13" s="50"/>
      <c r="L13" s="50"/>
    </row>
    <row r="14" spans="1:18" s="112" customFormat="1" x14ac:dyDescent="0.2">
      <c r="A14" s="566" t="s">
        <v>398</v>
      </c>
      <c r="B14" s="567"/>
      <c r="C14" s="567"/>
      <c r="D14" s="582" t="s">
        <v>235</v>
      </c>
      <c r="E14" s="592"/>
      <c r="F14" s="592"/>
      <c r="G14" s="592"/>
      <c r="H14" s="566"/>
      <c r="I14" s="567"/>
      <c r="J14" s="567"/>
      <c r="K14" s="580"/>
      <c r="L14" s="581"/>
      <c r="M14" s="581"/>
      <c r="N14" s="581"/>
      <c r="O14" s="581"/>
      <c r="P14" s="581"/>
      <c r="Q14" s="581"/>
      <c r="R14" s="581"/>
    </row>
    <row r="15" spans="1:18" s="112" customFormat="1" x14ac:dyDescent="0.2">
      <c r="A15" s="566" t="s">
        <v>399</v>
      </c>
      <c r="B15" s="566"/>
      <c r="C15" s="566"/>
      <c r="D15" s="582" t="s">
        <v>400</v>
      </c>
      <c r="E15" s="582"/>
      <c r="F15" s="582"/>
      <c r="G15" s="582"/>
      <c r="H15" s="115"/>
      <c r="I15" s="116"/>
      <c r="J15" s="116"/>
      <c r="K15" s="117"/>
      <c r="L15" s="118"/>
      <c r="M15" s="118"/>
      <c r="N15" s="118"/>
      <c r="O15" s="118"/>
      <c r="P15" s="118"/>
      <c r="Q15" s="118"/>
      <c r="R15" s="118"/>
    </row>
    <row r="16" spans="1:18" x14ac:dyDescent="0.2">
      <c r="A16" s="588"/>
      <c r="B16" s="588"/>
      <c r="C16" s="588"/>
      <c r="D16" s="588"/>
      <c r="E16" s="588"/>
      <c r="F16" s="588"/>
      <c r="G16" s="588"/>
      <c r="H16" s="588"/>
      <c r="I16" s="588"/>
      <c r="J16" s="1"/>
    </row>
    <row r="17" spans="1:10" ht="15" x14ac:dyDescent="0.2">
      <c r="A17" s="10"/>
      <c r="B17" s="11"/>
      <c r="C17" s="10"/>
      <c r="D17" s="17"/>
      <c r="E17" s="17"/>
      <c r="F17" s="17"/>
      <c r="G17" s="10"/>
      <c r="H17" s="10"/>
      <c r="I17" s="10"/>
    </row>
    <row r="18" spans="1:10" x14ac:dyDescent="0.2">
      <c r="A18" s="588"/>
      <c r="B18" s="588"/>
      <c r="C18" s="588"/>
      <c r="D18" s="588"/>
      <c r="E18" s="588"/>
      <c r="F18" s="588"/>
      <c r="G18" s="588"/>
      <c r="H18" s="588"/>
      <c r="I18" s="588"/>
    </row>
    <row r="19" spans="1:10" ht="1.5" customHeight="1" x14ac:dyDescent="0.2">
      <c r="A19" s="10"/>
      <c r="B19" s="11"/>
      <c r="C19" s="10"/>
      <c r="D19" s="17"/>
      <c r="E19" s="17"/>
      <c r="F19" s="17"/>
      <c r="G19" s="10"/>
      <c r="H19" s="10"/>
      <c r="I19" s="10"/>
    </row>
    <row r="20" spans="1:10" hidden="1" x14ac:dyDescent="0.2">
      <c r="H20" s="10"/>
      <c r="I20" s="10"/>
    </row>
    <row r="21" spans="1:10" ht="40.15" customHeight="1" x14ac:dyDescent="0.2">
      <c r="A21" s="575" t="s">
        <v>9</v>
      </c>
      <c r="B21" s="575" t="s">
        <v>2</v>
      </c>
      <c r="C21" s="575" t="s">
        <v>7</v>
      </c>
      <c r="D21" s="577" t="s">
        <v>8</v>
      </c>
      <c r="E21" s="583" t="s">
        <v>465</v>
      </c>
      <c r="F21" s="584"/>
      <c r="G21" s="584"/>
      <c r="H21" s="584"/>
      <c r="I21" s="585"/>
    </row>
    <row r="22" spans="1:10" ht="37.5" customHeight="1" x14ac:dyDescent="0.2">
      <c r="A22" s="576"/>
      <c r="B22" s="576"/>
      <c r="C22" s="576"/>
      <c r="D22" s="578"/>
      <c r="E22" s="22" t="s">
        <v>19</v>
      </c>
      <c r="F22" s="22" t="s">
        <v>20</v>
      </c>
      <c r="G22" s="16" t="s">
        <v>17</v>
      </c>
      <c r="H22" s="16" t="s">
        <v>18</v>
      </c>
      <c r="I22" s="16" t="s">
        <v>3</v>
      </c>
    </row>
    <row r="23" spans="1:10" x14ac:dyDescent="0.2">
      <c r="A23" s="13" t="s">
        <v>4</v>
      </c>
      <c r="B23" s="14" t="s">
        <v>5</v>
      </c>
      <c r="C23" s="14" t="s">
        <v>6</v>
      </c>
      <c r="D23" s="18">
        <v>4</v>
      </c>
      <c r="E23" s="18" t="s">
        <v>11</v>
      </c>
      <c r="F23" s="18" t="s">
        <v>12</v>
      </c>
      <c r="G23" s="12">
        <v>7</v>
      </c>
      <c r="H23" s="12">
        <v>8</v>
      </c>
      <c r="I23" s="15">
        <v>9</v>
      </c>
    </row>
    <row r="24" spans="1:10" ht="51" x14ac:dyDescent="0.2">
      <c r="A24" s="13" t="s">
        <v>4</v>
      </c>
      <c r="B24" s="458" t="s">
        <v>21</v>
      </c>
      <c r="C24" s="14"/>
      <c r="D24" s="18" t="s">
        <v>297</v>
      </c>
      <c r="E24" s="459">
        <f>'1.1 ИГДИ'!G59/1000</f>
        <v>635.88358603000006</v>
      </c>
      <c r="F24" s="460"/>
      <c r="G24" s="459"/>
      <c r="H24" s="459"/>
      <c r="I24" s="459">
        <f>E24</f>
        <v>635.88358603000006</v>
      </c>
    </row>
    <row r="25" spans="1:10" ht="63.75" x14ac:dyDescent="0.2">
      <c r="A25" s="13" t="s">
        <v>5</v>
      </c>
      <c r="B25" s="458" t="s">
        <v>327</v>
      </c>
      <c r="C25" s="14"/>
      <c r="D25" s="18" t="s">
        <v>298</v>
      </c>
      <c r="E25" s="459">
        <f>'1.2 ИГДИ'!G59/1000</f>
        <v>403.89843560000003</v>
      </c>
      <c r="F25" s="460"/>
      <c r="G25" s="459"/>
      <c r="H25" s="459"/>
      <c r="I25" s="459">
        <f t="shared" ref="I25:I28" si="0">E25</f>
        <v>403.89843560000003</v>
      </c>
    </row>
    <row r="26" spans="1:10" ht="51" x14ac:dyDescent="0.2">
      <c r="A26" s="13" t="s">
        <v>6</v>
      </c>
      <c r="B26" s="458" t="s">
        <v>22</v>
      </c>
      <c r="C26" s="44"/>
      <c r="D26" s="18" t="s">
        <v>236</v>
      </c>
      <c r="E26" s="459">
        <f>'2. ИГИ'!G71/1000</f>
        <v>1241.1559812</v>
      </c>
      <c r="F26" s="460"/>
      <c r="G26" s="459"/>
      <c r="H26" s="459"/>
      <c r="I26" s="459">
        <f t="shared" si="0"/>
        <v>1241.1559812</v>
      </c>
    </row>
    <row r="27" spans="1:10" ht="51" x14ac:dyDescent="0.2">
      <c r="A27" s="13" t="s">
        <v>10</v>
      </c>
      <c r="B27" s="458" t="s">
        <v>23</v>
      </c>
      <c r="C27" s="14"/>
      <c r="D27" s="18" t="s">
        <v>30</v>
      </c>
      <c r="E27" s="459">
        <f>'3. ИЭИ'!L84/1000</f>
        <v>428.21</v>
      </c>
      <c r="F27" s="460"/>
      <c r="G27" s="459"/>
      <c r="H27" s="459"/>
      <c r="I27" s="459">
        <f t="shared" si="0"/>
        <v>428.21</v>
      </c>
    </row>
    <row r="28" spans="1:10" ht="51" x14ac:dyDescent="0.2">
      <c r="A28" s="13" t="s">
        <v>11</v>
      </c>
      <c r="B28" s="458" t="s">
        <v>24</v>
      </c>
      <c r="C28" s="14"/>
      <c r="D28" s="18" t="s">
        <v>31</v>
      </c>
      <c r="E28" s="459">
        <f>'4. ИГМИ'!G44/1000</f>
        <v>131.47312833549995</v>
      </c>
      <c r="F28" s="460"/>
      <c r="G28" s="459"/>
      <c r="H28" s="459"/>
      <c r="I28" s="459">
        <f t="shared" si="0"/>
        <v>131.47312833549995</v>
      </c>
      <c r="J28" s="43"/>
    </row>
    <row r="29" spans="1:10" ht="45.75" customHeight="1" x14ac:dyDescent="0.2">
      <c r="A29" s="13" t="s">
        <v>12</v>
      </c>
      <c r="B29" s="458" t="s">
        <v>570</v>
      </c>
      <c r="C29" s="14"/>
      <c r="D29" s="18" t="s">
        <v>573</v>
      </c>
      <c r="E29" s="459"/>
      <c r="F29" s="460"/>
      <c r="G29" s="459">
        <f>'5'!I25/1000</f>
        <v>3186.502</v>
      </c>
      <c r="H29" s="459">
        <v>4779.76</v>
      </c>
      <c r="I29" s="459">
        <f>G29+H29</f>
        <v>7966.2620000000006</v>
      </c>
      <c r="J29" s="43"/>
    </row>
    <row r="30" spans="1:10" x14ac:dyDescent="0.2">
      <c r="A30" s="13" t="s">
        <v>27</v>
      </c>
      <c r="B30" s="461" t="s">
        <v>13</v>
      </c>
      <c r="C30" s="461" t="s">
        <v>14</v>
      </c>
      <c r="D30" s="462" t="s">
        <v>14</v>
      </c>
      <c r="E30" s="463">
        <f>SUM(E24:E28)</f>
        <v>2840.6211311655002</v>
      </c>
      <c r="F30" s="464">
        <f>SUM(F24:F28)</f>
        <v>0</v>
      </c>
      <c r="G30" s="463">
        <f>SUM(G29:G29)</f>
        <v>3186.502</v>
      </c>
      <c r="H30" s="463">
        <f>4779.76</f>
        <v>4779.76</v>
      </c>
      <c r="I30" s="463">
        <f>SUM(D30:H30)</f>
        <v>10806.883131165501</v>
      </c>
    </row>
    <row r="31" spans="1:10" x14ac:dyDescent="0.2">
      <c r="A31" s="13" t="s">
        <v>28</v>
      </c>
      <c r="B31" s="458" t="s">
        <v>15</v>
      </c>
      <c r="C31" s="458" t="s">
        <v>14</v>
      </c>
      <c r="D31" s="465" t="s">
        <v>571</v>
      </c>
      <c r="E31" s="466">
        <v>168.13</v>
      </c>
      <c r="F31" s="466">
        <f>F30*0.2</f>
        <v>0</v>
      </c>
      <c r="G31" s="466">
        <f>G30*0.2</f>
        <v>637.30040000000008</v>
      </c>
      <c r="H31" s="466">
        <f>H30*0.2</f>
        <v>955.95200000000011</v>
      </c>
      <c r="I31" s="466">
        <f>I30*0.2</f>
        <v>2161.3766262331005</v>
      </c>
    </row>
    <row r="32" spans="1:10" x14ac:dyDescent="0.2">
      <c r="A32" s="13" t="s">
        <v>29</v>
      </c>
      <c r="B32" s="467" t="s">
        <v>16</v>
      </c>
      <c r="C32" s="468"/>
      <c r="D32" s="462" t="s">
        <v>572</v>
      </c>
      <c r="E32" s="469">
        <f>SUM(E30+E31)</f>
        <v>3008.7511311655003</v>
      </c>
      <c r="F32" s="469">
        <f>SUM(F30+F31)</f>
        <v>0</v>
      </c>
      <c r="G32" s="469">
        <f>SUM(G30+G31)</f>
        <v>3823.8024</v>
      </c>
      <c r="H32" s="469">
        <f>SUM(H31+H30)</f>
        <v>5735.7120000000004</v>
      </c>
      <c r="I32" s="469">
        <f>ROUND(I30+I31,2)</f>
        <v>12968.26</v>
      </c>
    </row>
    <row r="33" spans="1:258" x14ac:dyDescent="0.2">
      <c r="A33" s="45"/>
      <c r="B33" s="45"/>
      <c r="C33" s="7"/>
      <c r="E33" s="397"/>
      <c r="F33" s="397"/>
      <c r="G33" s="397"/>
      <c r="H33" s="398"/>
      <c r="I33" s="398"/>
    </row>
    <row r="34" spans="1:258" s="8" customFormat="1" x14ac:dyDescent="0.2">
      <c r="A34" s="7"/>
      <c r="B34" s="7"/>
      <c r="C34" s="7"/>
      <c r="D34" s="7"/>
      <c r="E34" s="7"/>
      <c r="F34" s="7"/>
      <c r="G34" s="7"/>
      <c r="H34"/>
      <c r="I34" s="46"/>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row>
    <row r="35" spans="1:258" s="8" customFormat="1" ht="24.95" customHeight="1" x14ac:dyDescent="0.2">
      <c r="A35" s="39"/>
      <c r="B35" s="39"/>
      <c r="C35" s="40"/>
      <c r="D35" s="41"/>
      <c r="E35" s="41"/>
      <c r="F35" s="41"/>
      <c r="G35" s="41"/>
      <c r="H35" s="41"/>
      <c r="I35" s="41"/>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row>
    <row r="36" spans="1:258" s="8" customFormat="1" ht="24.75" customHeight="1" x14ac:dyDescent="0.2">
      <c r="A36" s="39"/>
      <c r="B36" s="39"/>
      <c r="C36" s="40"/>
      <c r="D36" s="41"/>
      <c r="E36" s="41"/>
      <c r="F36" s="41"/>
      <c r="G36" s="41"/>
      <c r="H36" s="41"/>
      <c r="I36" s="41" t="s">
        <v>574</v>
      </c>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row>
    <row r="37" spans="1:258" s="8" customFormat="1" x14ac:dyDescent="0.2">
      <c r="A37" s="7"/>
      <c r="B37" s="7"/>
      <c r="C37" s="7"/>
      <c r="D37" s="7"/>
      <c r="E37" s="7"/>
      <c r="F37" s="7"/>
      <c r="G37" s="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row>
    <row r="38" spans="1:258" s="8" customFormat="1" ht="34.5" customHeight="1" x14ac:dyDescent="0.2">
      <c r="A38" s="4"/>
      <c r="B38" s="579" t="s">
        <v>645</v>
      </c>
      <c r="C38" s="579"/>
      <c r="D38" s="33"/>
      <c r="E38" s="565"/>
      <c r="G38" s="34" t="s">
        <v>228</v>
      </c>
      <c r="H38"/>
      <c r="I38" s="5"/>
      <c r="J38"/>
      <c r="K38" s="3"/>
      <c r="L38" s="3"/>
      <c r="IW38"/>
      <c r="IX38"/>
    </row>
    <row r="39" spans="1:258" s="8" customFormat="1" ht="15" x14ac:dyDescent="0.2">
      <c r="A39" s="4"/>
      <c r="B39" s="35"/>
      <c r="C39" s="35"/>
      <c r="D39" s="35"/>
      <c r="E39" s="7"/>
      <c r="F39" s="7"/>
      <c r="G39" s="7"/>
      <c r="H39"/>
      <c r="I39" s="5"/>
      <c r="J39"/>
      <c r="K39" s="3"/>
      <c r="L39" s="3"/>
      <c r="IW39"/>
      <c r="IX39"/>
    </row>
    <row r="40" spans="1:258" s="8" customFormat="1" ht="37.5" customHeight="1" x14ac:dyDescent="0.2">
      <c r="A40" s="4"/>
      <c r="B40" s="579" t="s">
        <v>646</v>
      </c>
      <c r="C40" s="579"/>
      <c r="D40" s="37"/>
      <c r="E40" s="565"/>
      <c r="F40" s="4"/>
      <c r="G40" s="36" t="s">
        <v>229</v>
      </c>
      <c r="H40"/>
      <c r="I40" s="5"/>
      <c r="J40" s="6"/>
      <c r="K40" s="6"/>
      <c r="L40" s="3"/>
      <c r="M40" s="3"/>
      <c r="IX40"/>
    </row>
    <row r="41" spans="1:258" s="8" customFormat="1" x14ac:dyDescent="0.2">
      <c r="A41" s="4"/>
      <c r="B41" s="9"/>
      <c r="C41" s="573"/>
      <c r="D41" s="573"/>
      <c r="E41" s="573"/>
      <c r="F41" s="573"/>
      <c r="G41" s="573"/>
      <c r="H41"/>
      <c r="I41" s="5"/>
      <c r="J41" s="6"/>
      <c r="K41" s="6"/>
      <c r="L41" s="3"/>
      <c r="M41" s="3"/>
      <c r="IX41"/>
    </row>
    <row r="42" spans="1:258" s="8" customFormat="1" x14ac:dyDescent="0.2">
      <c r="A42" s="4"/>
      <c r="B42" s="7"/>
      <c r="C42" s="7"/>
      <c r="D42" s="7"/>
      <c r="E42" s="7"/>
      <c r="F42" s="7"/>
      <c r="G42" s="7"/>
      <c r="H42" s="6"/>
      <c r="I42" s="3"/>
      <c r="J42" s="6"/>
      <c r="K42" s="6"/>
      <c r="L42" s="3"/>
      <c r="M42" s="3"/>
      <c r="IX42"/>
    </row>
    <row r="43" spans="1:258" s="8" customFormat="1" x14ac:dyDescent="0.2">
      <c r="A43" s="4"/>
      <c r="B43" s="7"/>
      <c r="C43" s="7"/>
      <c r="D43" s="7"/>
      <c r="E43" s="7"/>
      <c r="F43" s="7"/>
      <c r="G43" s="7"/>
      <c r="H43"/>
      <c r="I43" s="5"/>
      <c r="J43" s="6"/>
      <c r="K43" s="6"/>
      <c r="L43" s="3"/>
      <c r="M43" s="3"/>
      <c r="IX43"/>
    </row>
    <row r="44" spans="1:258" s="8" customFormat="1" x14ac:dyDescent="0.2">
      <c r="A44" s="574"/>
      <c r="B44" s="574"/>
      <c r="C44" s="2"/>
      <c r="D44" s="7"/>
      <c r="E44" s="7"/>
      <c r="F44" s="7"/>
      <c r="G44" s="2"/>
      <c r="H44"/>
      <c r="I44" s="5"/>
      <c r="J44" s="6"/>
      <c r="K44" s="6"/>
      <c r="L44" s="3"/>
      <c r="M44" s="3"/>
      <c r="IX44"/>
    </row>
    <row r="45" spans="1:258" s="8" customFormat="1" x14ac:dyDescent="0.2">
      <c r="A45" s="4"/>
      <c r="B45" s="7"/>
      <c r="C45" s="2"/>
      <c r="D45" s="7"/>
      <c r="E45" s="7"/>
      <c r="F45" s="7"/>
      <c r="G45" s="2"/>
      <c r="H45" s="6"/>
      <c r="I45" s="3"/>
      <c r="J45" s="3"/>
      <c r="IU45"/>
      <c r="IV45"/>
      <c r="IW45"/>
      <c r="IX45"/>
    </row>
    <row r="46" spans="1:258" s="8" customFormat="1" x14ac:dyDescent="0.2">
      <c r="A46" s="4"/>
      <c r="B46" s="7"/>
      <c r="C46" s="2"/>
      <c r="D46" s="7"/>
      <c r="E46" s="7"/>
      <c r="F46" s="7"/>
      <c r="G46" s="2"/>
      <c r="H46"/>
      <c r="I46"/>
      <c r="J46" s="6"/>
      <c r="K46" s="6"/>
      <c r="L46" s="3"/>
      <c r="M46" s="3"/>
      <c r="IX46"/>
    </row>
    <row r="47" spans="1:258" x14ac:dyDescent="0.2">
      <c r="A47" s="4"/>
      <c r="J47" s="6"/>
      <c r="K47" s="6"/>
      <c r="L47" s="3"/>
      <c r="M47" s="3"/>
    </row>
    <row r="48" spans="1:258" x14ac:dyDescent="0.2">
      <c r="A48" s="4"/>
      <c r="J48" s="3"/>
    </row>
  </sheetData>
  <mergeCells count="34">
    <mergeCell ref="K14:R14"/>
    <mergeCell ref="A15:C15"/>
    <mergeCell ref="D15:G15"/>
    <mergeCell ref="E21:I21"/>
    <mergeCell ref="B1:C1"/>
    <mergeCell ref="G1:H1"/>
    <mergeCell ref="A16:I16"/>
    <mergeCell ref="A18:I18"/>
    <mergeCell ref="A8:I8"/>
    <mergeCell ref="A10:B10"/>
    <mergeCell ref="C10:I10"/>
    <mergeCell ref="A11:I11"/>
    <mergeCell ref="A13:C13"/>
    <mergeCell ref="D13:G13"/>
    <mergeCell ref="A14:C14"/>
    <mergeCell ref="D14:G14"/>
    <mergeCell ref="C41:G41"/>
    <mergeCell ref="A44:B44"/>
    <mergeCell ref="C21:C22"/>
    <mergeCell ref="A21:A22"/>
    <mergeCell ref="B21:B22"/>
    <mergeCell ref="D21:D22"/>
    <mergeCell ref="B38:C38"/>
    <mergeCell ref="B40:C40"/>
    <mergeCell ref="H14:J14"/>
    <mergeCell ref="G2:I2"/>
    <mergeCell ref="G3:I3"/>
    <mergeCell ref="G4:I4"/>
    <mergeCell ref="G5:H5"/>
    <mergeCell ref="A7:I7"/>
    <mergeCell ref="B2:D2"/>
    <mergeCell ref="B3:D3"/>
    <mergeCell ref="B4:D4"/>
    <mergeCell ref="B5:C5"/>
  </mergeCells>
  <phoneticPr fontId="0" type="noConversion"/>
  <printOptions horizontalCentered="1"/>
  <pageMargins left="0.39370078740157483" right="0.39370078740157483" top="0.59055118110236227" bottom="0.82677165354330717" header="0.51181102362204722" footer="0.59055118110236227"/>
  <pageSetup paperSize="9" scale="57" firstPageNumber="0" orientation="portrait" horizontalDpi="300" verticalDpi="300" r:id="rId1"/>
  <headerFooter alignWithMargins="0">
    <oddFooter>&amp;C&amp;"Arial,Обычный"Страница &amp;P</oddFooter>
  </headerFooter>
  <rowBreaks count="1" manualBreakCount="1">
    <brk id="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17"/>
  <sheetViews>
    <sheetView topLeftCell="A53" zoomScaleNormal="100" workbookViewId="0">
      <selection activeCell="D18" sqref="D18:G18"/>
    </sheetView>
  </sheetViews>
  <sheetFormatPr defaultColWidth="14.42578125" defaultRowHeight="15" customHeight="1" x14ac:dyDescent="0.2"/>
  <cols>
    <col min="1" max="1" width="4.28515625" style="51" customWidth="1"/>
    <col min="2" max="2" width="26.7109375" style="51" customWidth="1"/>
    <col min="3" max="3" width="7.140625" style="51" customWidth="1"/>
    <col min="4" max="4" width="7.28515625" style="51" customWidth="1"/>
    <col min="5" max="5" width="27.7109375" style="51" customWidth="1"/>
    <col min="6" max="6" width="15.5703125" style="51" customWidth="1"/>
    <col min="7" max="7" width="10.5703125" style="294" customWidth="1"/>
    <col min="8" max="10" width="11.5703125" style="51" customWidth="1"/>
    <col min="11" max="11" width="24.42578125" style="51" customWidth="1"/>
    <col min="12" max="12" width="11.5703125" style="51" customWidth="1"/>
    <col min="13" max="16384" width="14.42578125" style="51"/>
  </cols>
  <sheetData>
    <row r="1" spans="1:18" ht="12.75" x14ac:dyDescent="0.2">
      <c r="A1" s="593"/>
      <c r="B1" s="594"/>
      <c r="C1" s="595" t="s">
        <v>32</v>
      </c>
      <c r="D1" s="595"/>
      <c r="E1" s="595"/>
      <c r="F1" s="595"/>
      <c r="G1" s="595"/>
      <c r="H1" s="50"/>
      <c r="I1" s="50"/>
      <c r="J1" s="50"/>
      <c r="K1" s="50"/>
      <c r="L1" s="50"/>
    </row>
    <row r="2" spans="1:18" ht="12.75" customHeight="1" x14ac:dyDescent="0.2">
      <c r="A2" s="52"/>
      <c r="B2" s="52"/>
      <c r="C2" s="53"/>
      <c r="D2" s="53"/>
      <c r="E2" s="53"/>
      <c r="F2" s="53"/>
      <c r="G2" s="291"/>
      <c r="H2" s="50"/>
      <c r="I2" s="50"/>
      <c r="J2" s="50"/>
      <c r="K2" s="50"/>
      <c r="L2" s="50"/>
    </row>
    <row r="3" spans="1:18" ht="12.75" customHeight="1" x14ac:dyDescent="0.2">
      <c r="A3" s="52"/>
      <c r="B3" s="52"/>
      <c r="C3" s="53"/>
      <c r="D3" s="53"/>
      <c r="E3" s="53"/>
      <c r="F3" s="53"/>
      <c r="G3" s="291"/>
      <c r="H3" s="50"/>
      <c r="I3" s="50"/>
      <c r="J3" s="50"/>
      <c r="K3" s="50"/>
      <c r="L3" s="50"/>
    </row>
    <row r="4" spans="1:18" ht="12" customHeight="1" x14ac:dyDescent="0.2">
      <c r="A4" s="54"/>
      <c r="B4" s="596" t="s">
        <v>479</v>
      </c>
      <c r="C4" s="596"/>
      <c r="D4" s="596"/>
      <c r="E4" s="596"/>
      <c r="F4" s="596"/>
      <c r="G4" s="292"/>
      <c r="H4" s="50"/>
      <c r="I4" s="50"/>
      <c r="J4" s="50"/>
      <c r="K4" s="50"/>
      <c r="L4" s="50"/>
    </row>
    <row r="5" spans="1:18" ht="12.75" customHeight="1" x14ac:dyDescent="0.2">
      <c r="A5" s="54"/>
      <c r="B5" s="597" t="s">
        <v>402</v>
      </c>
      <c r="C5" s="597"/>
      <c r="D5" s="597"/>
      <c r="E5" s="597"/>
      <c r="F5" s="597"/>
      <c r="G5" s="292"/>
      <c r="H5" s="50"/>
      <c r="I5" s="50"/>
      <c r="J5" s="50"/>
      <c r="K5" s="50"/>
      <c r="L5" s="50"/>
    </row>
    <row r="6" spans="1:18" ht="12.75" customHeight="1" x14ac:dyDescent="0.2">
      <c r="A6" s="54"/>
      <c r="B6" s="55"/>
      <c r="C6" s="55"/>
      <c r="D6" s="55"/>
      <c r="E6" s="55"/>
      <c r="F6" s="55"/>
      <c r="G6" s="292"/>
      <c r="H6" s="50"/>
      <c r="I6" s="50"/>
      <c r="J6" s="50"/>
      <c r="K6" s="50"/>
      <c r="L6" s="50"/>
    </row>
    <row r="7" spans="1:18" ht="12.75" customHeight="1" x14ac:dyDescent="0.2">
      <c r="A7" s="54"/>
      <c r="B7" s="54"/>
      <c r="C7" s="52"/>
      <c r="D7" s="52"/>
      <c r="E7" s="52"/>
      <c r="F7" s="54"/>
      <c r="G7" s="292"/>
      <c r="H7" s="50"/>
      <c r="I7" s="50"/>
      <c r="J7" s="50"/>
      <c r="K7" s="50"/>
      <c r="L7" s="50"/>
    </row>
    <row r="8" spans="1:18" ht="107.25" customHeight="1" x14ac:dyDescent="0.2">
      <c r="A8" s="598" t="s">
        <v>33</v>
      </c>
      <c r="B8" s="599"/>
      <c r="C8" s="599"/>
      <c r="D8" s="598" t="s">
        <v>34</v>
      </c>
      <c r="E8" s="599"/>
      <c r="F8" s="599"/>
      <c r="G8" s="599"/>
      <c r="H8" s="50"/>
      <c r="I8" s="50"/>
      <c r="J8" s="50"/>
      <c r="K8" s="50"/>
      <c r="L8" s="50"/>
    </row>
    <row r="9" spans="1:18" ht="12.75" x14ac:dyDescent="0.2">
      <c r="A9" s="56"/>
      <c r="B9" s="56"/>
      <c r="C9" s="57"/>
      <c r="D9" s="58"/>
      <c r="E9" s="58"/>
      <c r="F9" s="58"/>
      <c r="G9" s="293"/>
      <c r="H9" s="50"/>
      <c r="I9" s="50"/>
      <c r="J9" s="50"/>
      <c r="K9" s="50"/>
      <c r="L9" s="50"/>
    </row>
    <row r="10" spans="1:18" ht="12.75" x14ac:dyDescent="0.2">
      <c r="A10" s="591" t="s">
        <v>234</v>
      </c>
      <c r="B10" s="591"/>
      <c r="C10" s="591"/>
      <c r="D10" s="591" t="s">
        <v>232</v>
      </c>
      <c r="E10" s="591"/>
      <c r="F10" s="591"/>
      <c r="G10" s="591"/>
      <c r="H10" s="50"/>
      <c r="I10" s="50"/>
      <c r="J10" s="50"/>
      <c r="K10" s="50"/>
      <c r="L10" s="50"/>
    </row>
    <row r="11" spans="1:18" s="112" customFormat="1" ht="12.75" x14ac:dyDescent="0.2">
      <c r="A11" s="566" t="s">
        <v>398</v>
      </c>
      <c r="B11" s="567"/>
      <c r="C11" s="567"/>
      <c r="D11" s="582" t="s">
        <v>235</v>
      </c>
      <c r="E11" s="592"/>
      <c r="F11" s="592"/>
      <c r="G11" s="592"/>
      <c r="H11" s="566"/>
      <c r="I11" s="567"/>
      <c r="J11" s="567"/>
      <c r="K11" s="580"/>
      <c r="L11" s="581"/>
      <c r="M11" s="581"/>
      <c r="N11" s="581"/>
      <c r="O11" s="581"/>
      <c r="P11" s="581"/>
      <c r="Q11" s="581"/>
      <c r="R11" s="581"/>
    </row>
    <row r="12" spans="1:18" s="112" customFormat="1" ht="12.75" x14ac:dyDescent="0.2">
      <c r="A12" s="566" t="s">
        <v>399</v>
      </c>
      <c r="B12" s="566"/>
      <c r="C12" s="566"/>
      <c r="D12" s="582" t="s">
        <v>400</v>
      </c>
      <c r="E12" s="582"/>
      <c r="F12" s="582"/>
      <c r="G12" s="582"/>
      <c r="H12" s="115"/>
      <c r="I12" s="116"/>
      <c r="J12" s="116"/>
      <c r="K12" s="117"/>
      <c r="L12" s="118"/>
      <c r="M12" s="118"/>
      <c r="N12" s="118"/>
      <c r="O12" s="118"/>
      <c r="P12" s="118"/>
      <c r="Q12" s="118"/>
      <c r="R12" s="118"/>
    </row>
    <row r="13" spans="1:18" s="112" customFormat="1" ht="12.75" x14ac:dyDescent="0.2">
      <c r="A13" s="566" t="s">
        <v>397</v>
      </c>
      <c r="B13" s="567"/>
      <c r="C13" s="567"/>
      <c r="D13" s="603" t="s">
        <v>478</v>
      </c>
      <c r="E13" s="603"/>
      <c r="F13" s="603"/>
      <c r="G13" s="603"/>
      <c r="H13" s="566"/>
      <c r="I13" s="567"/>
      <c r="J13" s="567"/>
      <c r="K13" s="580"/>
      <c r="L13" s="581"/>
      <c r="M13" s="581"/>
      <c r="N13" s="581"/>
      <c r="O13" s="581"/>
      <c r="P13" s="581"/>
      <c r="Q13" s="581"/>
      <c r="R13" s="581"/>
    </row>
    <row r="14" spans="1:18" ht="12.75" x14ac:dyDescent="0.2">
      <c r="A14" s="57"/>
      <c r="D14" s="59"/>
      <c r="H14" s="50"/>
      <c r="I14" s="50"/>
      <c r="J14" s="50"/>
      <c r="K14" s="50"/>
      <c r="L14" s="50"/>
    </row>
    <row r="15" spans="1:18" ht="27" customHeight="1" x14ac:dyDescent="0.2">
      <c r="A15" s="566" t="s">
        <v>350</v>
      </c>
      <c r="B15" s="607"/>
      <c r="C15" s="607"/>
      <c r="D15" s="608" t="s">
        <v>351</v>
      </c>
      <c r="E15" s="608"/>
      <c r="F15" s="608"/>
      <c r="G15" s="608"/>
      <c r="H15" s="113"/>
      <c r="I15" s="113"/>
      <c r="J15" s="113"/>
      <c r="K15" s="113"/>
      <c r="L15" s="113"/>
    </row>
    <row r="16" spans="1:18" ht="42.75" customHeight="1" x14ac:dyDescent="0.2">
      <c r="A16" s="60" t="s">
        <v>9</v>
      </c>
      <c r="B16" s="60" t="s">
        <v>35</v>
      </c>
      <c r="C16" s="60" t="s">
        <v>36</v>
      </c>
      <c r="D16" s="60" t="s">
        <v>37</v>
      </c>
      <c r="E16" s="60" t="s">
        <v>38</v>
      </c>
      <c r="F16" s="60" t="s">
        <v>39</v>
      </c>
      <c r="G16" s="295" t="s">
        <v>40</v>
      </c>
      <c r="H16" s="50"/>
      <c r="I16" s="50"/>
      <c r="J16" s="50"/>
      <c r="K16" s="50"/>
      <c r="L16" s="50"/>
    </row>
    <row r="17" spans="1:12" ht="12.75" customHeight="1" x14ac:dyDescent="0.2">
      <c r="A17" s="61">
        <v>1</v>
      </c>
      <c r="B17" s="62">
        <v>2</v>
      </c>
      <c r="C17" s="62">
        <v>3</v>
      </c>
      <c r="D17" s="62">
        <v>4</v>
      </c>
      <c r="E17" s="62">
        <v>5</v>
      </c>
      <c r="F17" s="62">
        <v>6</v>
      </c>
      <c r="G17" s="296">
        <v>7</v>
      </c>
      <c r="H17" s="50"/>
      <c r="I17" s="50"/>
      <c r="J17" s="50"/>
      <c r="K17" s="50"/>
      <c r="L17" s="50"/>
    </row>
    <row r="18" spans="1:12" ht="12.75" customHeight="1" x14ac:dyDescent="0.2">
      <c r="A18" s="63" t="s">
        <v>4</v>
      </c>
      <c r="B18" s="64" t="s">
        <v>41</v>
      </c>
      <c r="C18" s="64"/>
      <c r="D18" s="64"/>
      <c r="E18" s="64" t="s">
        <v>42</v>
      </c>
      <c r="F18" s="64"/>
      <c r="G18" s="106"/>
      <c r="H18" s="50"/>
      <c r="I18" s="50"/>
      <c r="J18" s="50"/>
      <c r="K18" s="50"/>
      <c r="L18" s="50"/>
    </row>
    <row r="19" spans="1:12" s="50" customFormat="1" ht="38.25" x14ac:dyDescent="0.2">
      <c r="A19" s="66" t="s">
        <v>43</v>
      </c>
      <c r="B19" s="67" t="s">
        <v>457</v>
      </c>
      <c r="C19" s="68" t="s">
        <v>48</v>
      </c>
      <c r="D19" s="68">
        <v>4</v>
      </c>
      <c r="E19" s="69" t="s">
        <v>537</v>
      </c>
      <c r="F19" s="69" t="s">
        <v>299</v>
      </c>
      <c r="G19" s="70">
        <f>ROUND(6426*4*1.3,2)</f>
        <v>33415.199999999997</v>
      </c>
      <c r="I19" s="71"/>
      <c r="J19" s="72"/>
    </row>
    <row r="20" spans="1:12" s="50" customFormat="1" ht="25.5" x14ac:dyDescent="0.2">
      <c r="A20" s="73"/>
      <c r="B20" s="74" t="s">
        <v>45</v>
      </c>
      <c r="C20" s="75"/>
      <c r="D20" s="75"/>
      <c r="E20" s="76" t="s">
        <v>49</v>
      </c>
      <c r="F20" s="76"/>
      <c r="G20" s="297"/>
      <c r="I20" s="71"/>
      <c r="J20" s="72"/>
    </row>
    <row r="21" spans="1:12" s="50" customFormat="1" ht="38.25" x14ac:dyDescent="0.2">
      <c r="A21" s="77" t="s">
        <v>47</v>
      </c>
      <c r="B21" s="78" t="s">
        <v>51</v>
      </c>
      <c r="C21" s="79" t="s">
        <v>48</v>
      </c>
      <c r="D21" s="79">
        <v>4</v>
      </c>
      <c r="E21" s="80" t="s">
        <v>538</v>
      </c>
      <c r="F21" s="81" t="s">
        <v>292</v>
      </c>
      <c r="G21" s="70">
        <f>ROUND(1897  * 4 * 0.4,2)</f>
        <v>3035.2</v>
      </c>
      <c r="I21" s="71"/>
      <c r="J21" s="72"/>
    </row>
    <row r="22" spans="1:12" ht="25.5" x14ac:dyDescent="0.2">
      <c r="A22" s="82" t="s">
        <v>14</v>
      </c>
      <c r="B22" s="83" t="s">
        <v>45</v>
      </c>
      <c r="C22" s="84"/>
      <c r="D22" s="85"/>
      <c r="E22" s="86" t="s">
        <v>52</v>
      </c>
      <c r="F22" s="83"/>
      <c r="G22" s="298"/>
      <c r="H22" s="50"/>
      <c r="I22" s="71"/>
      <c r="J22" s="72"/>
      <c r="K22" s="50"/>
      <c r="L22" s="50"/>
    </row>
    <row r="23" spans="1:12" ht="76.5" x14ac:dyDescent="0.2">
      <c r="A23" s="87" t="s">
        <v>50</v>
      </c>
      <c r="B23" s="88" t="s">
        <v>280</v>
      </c>
      <c r="C23" s="89" t="s">
        <v>44</v>
      </c>
      <c r="D23" s="89">
        <v>0.38</v>
      </c>
      <c r="E23" s="69" t="s">
        <v>539</v>
      </c>
      <c r="F23" s="90" t="s">
        <v>301</v>
      </c>
      <c r="G23" s="70">
        <f>ROUND(4824*D23*1.55*1.4,2)</f>
        <v>3977.87</v>
      </c>
      <c r="H23" s="50"/>
      <c r="I23" s="71"/>
      <c r="J23" s="72"/>
      <c r="K23" s="50"/>
      <c r="L23" s="50"/>
    </row>
    <row r="24" spans="1:12" ht="12.75" customHeight="1" x14ac:dyDescent="0.2">
      <c r="A24" s="91"/>
      <c r="B24" s="83" t="s">
        <v>45</v>
      </c>
      <c r="C24" s="92"/>
      <c r="D24" s="79"/>
      <c r="E24" s="80"/>
      <c r="F24" s="81"/>
      <c r="G24" s="299"/>
      <c r="H24" s="50"/>
      <c r="I24" s="71"/>
      <c r="J24" s="72"/>
      <c r="K24" s="50"/>
      <c r="L24" s="50"/>
    </row>
    <row r="25" spans="1:12" ht="51" x14ac:dyDescent="0.2">
      <c r="A25" s="77"/>
      <c r="B25" s="50"/>
      <c r="C25" s="78"/>
      <c r="D25" s="93"/>
      <c r="E25" s="80" t="s">
        <v>46</v>
      </c>
      <c r="F25" s="78"/>
      <c r="G25" s="300"/>
      <c r="H25" s="50"/>
      <c r="I25" s="71"/>
      <c r="J25" s="72"/>
      <c r="K25" s="50"/>
      <c r="L25" s="50"/>
    </row>
    <row r="26" spans="1:12" ht="63.75" x14ac:dyDescent="0.2">
      <c r="A26" s="77"/>
      <c r="B26" s="50"/>
      <c r="C26" s="78"/>
      <c r="D26" s="93"/>
      <c r="E26" s="80" t="s">
        <v>315</v>
      </c>
      <c r="F26" s="78"/>
      <c r="G26" s="300"/>
      <c r="H26" s="50"/>
      <c r="I26" s="71"/>
      <c r="J26" s="72"/>
      <c r="K26" s="50"/>
      <c r="L26" s="50"/>
    </row>
    <row r="27" spans="1:12" ht="12.75" customHeight="1" x14ac:dyDescent="0.2">
      <c r="A27" s="63" t="s">
        <v>53</v>
      </c>
      <c r="B27" s="64" t="s">
        <v>54</v>
      </c>
      <c r="C27" s="64"/>
      <c r="D27" s="94"/>
      <c r="E27" s="64"/>
      <c r="F27" s="64" t="s">
        <v>483</v>
      </c>
      <c r="G27" s="106">
        <f>SUM(G19:G23)</f>
        <v>40428.269999999997</v>
      </c>
      <c r="H27" s="50"/>
      <c r="I27" s="71"/>
      <c r="J27" s="72"/>
      <c r="K27" s="50"/>
      <c r="L27" s="50"/>
    </row>
    <row r="28" spans="1:12" ht="69.599999999999994" customHeight="1" x14ac:dyDescent="0.2">
      <c r="A28" s="63" t="s">
        <v>55</v>
      </c>
      <c r="B28" s="64" t="s">
        <v>357</v>
      </c>
      <c r="C28" s="64"/>
      <c r="D28" s="94"/>
      <c r="E28" s="64" t="s">
        <v>305</v>
      </c>
      <c r="F28" s="65">
        <v>0.3</v>
      </c>
      <c r="G28" s="106">
        <f>G27*F28</f>
        <v>12128.480999999998</v>
      </c>
      <c r="H28" s="50"/>
      <c r="I28" s="71"/>
      <c r="J28" s="72"/>
      <c r="K28" s="50"/>
      <c r="L28" s="50"/>
    </row>
    <row r="29" spans="1:12" ht="25.5" x14ac:dyDescent="0.2">
      <c r="A29" s="63" t="s">
        <v>304</v>
      </c>
      <c r="B29" s="64" t="s">
        <v>56</v>
      </c>
      <c r="C29" s="64"/>
      <c r="D29" s="60"/>
      <c r="E29" s="64"/>
      <c r="F29" s="64" t="s">
        <v>306</v>
      </c>
      <c r="G29" s="106">
        <f>G27+G28</f>
        <v>52556.750999999997</v>
      </c>
      <c r="H29" s="50"/>
      <c r="I29" s="71"/>
      <c r="J29" s="72"/>
      <c r="K29" s="50"/>
      <c r="L29" s="50"/>
    </row>
    <row r="30" spans="1:12" ht="12.75" customHeight="1" x14ac:dyDescent="0.2">
      <c r="A30" s="63" t="s">
        <v>5</v>
      </c>
      <c r="B30" s="64" t="s">
        <v>41</v>
      </c>
      <c r="C30" s="64"/>
      <c r="D30" s="94"/>
      <c r="E30" s="64" t="s">
        <v>58</v>
      </c>
      <c r="F30" s="64"/>
      <c r="G30" s="106"/>
      <c r="H30" s="50"/>
      <c r="I30" s="71"/>
      <c r="J30" s="72"/>
      <c r="K30" s="50"/>
      <c r="L30" s="50"/>
    </row>
    <row r="31" spans="1:12" s="50" customFormat="1" ht="51" customHeight="1" x14ac:dyDescent="0.2">
      <c r="A31" s="95" t="s">
        <v>59</v>
      </c>
      <c r="B31" s="88" t="str">
        <f>B19</f>
        <v>Плановая опорная сеть с закладкой центра 2 разряд.  Категория сложности II</v>
      </c>
      <c r="C31" s="68" t="s">
        <v>48</v>
      </c>
      <c r="D31" s="68">
        <v>4</v>
      </c>
      <c r="E31" s="69" t="s">
        <v>541</v>
      </c>
      <c r="F31" s="69" t="s">
        <v>293</v>
      </c>
      <c r="G31" s="70">
        <f>ROUND(2538*4*1.2,2)</f>
        <v>12182.4</v>
      </c>
      <c r="I31" s="71"/>
      <c r="J31" s="72"/>
    </row>
    <row r="32" spans="1:12" s="50" customFormat="1" ht="12.75" x14ac:dyDescent="0.2">
      <c r="A32" s="77"/>
      <c r="B32" s="83" t="s">
        <v>45</v>
      </c>
      <c r="C32" s="80"/>
      <c r="D32" s="92"/>
      <c r="E32" s="80"/>
      <c r="F32" s="80"/>
      <c r="G32" s="301"/>
      <c r="I32" s="71"/>
      <c r="J32" s="72"/>
    </row>
    <row r="33" spans="1:12" s="50" customFormat="1" ht="51" x14ac:dyDescent="0.2">
      <c r="A33" s="73"/>
      <c r="B33" s="74"/>
      <c r="C33" s="76"/>
      <c r="D33" s="75"/>
      <c r="E33" s="76" t="s">
        <v>64</v>
      </c>
      <c r="F33" s="76"/>
      <c r="G33" s="297"/>
      <c r="I33" s="71"/>
      <c r="J33" s="72"/>
    </row>
    <row r="34" spans="1:12" s="50" customFormat="1" ht="38.25" x14ac:dyDescent="0.2">
      <c r="A34" s="66" t="s">
        <v>63</v>
      </c>
      <c r="B34" s="96" t="s">
        <v>51</v>
      </c>
      <c r="C34" s="69" t="s">
        <v>48</v>
      </c>
      <c r="D34" s="68">
        <v>4</v>
      </c>
      <c r="E34" s="69" t="s">
        <v>540</v>
      </c>
      <c r="F34" s="69" t="s">
        <v>294</v>
      </c>
      <c r="G34" s="70">
        <f>ROUND(428  * 4 * 1.2,2)</f>
        <v>2054.4</v>
      </c>
      <c r="I34" s="71"/>
      <c r="J34" s="72"/>
    </row>
    <row r="35" spans="1:12" s="50" customFormat="1" ht="12.75" x14ac:dyDescent="0.2">
      <c r="A35" s="77"/>
      <c r="B35" s="83" t="s">
        <v>45</v>
      </c>
      <c r="C35" s="80"/>
      <c r="D35" s="92"/>
      <c r="E35" s="80"/>
      <c r="F35" s="80"/>
      <c r="G35" s="301"/>
      <c r="I35" s="71"/>
      <c r="J35" s="72"/>
    </row>
    <row r="36" spans="1:12" s="50" customFormat="1" ht="51" x14ac:dyDescent="0.2">
      <c r="A36" s="73"/>
      <c r="B36" s="97"/>
      <c r="C36" s="76"/>
      <c r="D36" s="75"/>
      <c r="E36" s="76" t="s">
        <v>64</v>
      </c>
      <c r="F36" s="76"/>
      <c r="G36" s="297"/>
      <c r="I36" s="71"/>
      <c r="J36" s="72"/>
    </row>
    <row r="37" spans="1:12" ht="76.5" x14ac:dyDescent="0.2">
      <c r="A37" s="66" t="s">
        <v>65</v>
      </c>
      <c r="B37" s="88" t="s">
        <v>280</v>
      </c>
      <c r="C37" s="68" t="s">
        <v>44</v>
      </c>
      <c r="D37" s="68">
        <f>D23</f>
        <v>0.38</v>
      </c>
      <c r="E37" s="69" t="s">
        <v>480</v>
      </c>
      <c r="F37" s="69" t="s">
        <v>300</v>
      </c>
      <c r="G37" s="70">
        <f>ROUND(1559*D37*1.55*1.2 * 1.1,2)</f>
        <v>1212.0899999999999</v>
      </c>
      <c r="H37" s="50"/>
      <c r="I37" s="71"/>
      <c r="J37" s="72"/>
      <c r="K37" s="50"/>
      <c r="L37" s="72"/>
    </row>
    <row r="38" spans="1:12" ht="12.75" customHeight="1" x14ac:dyDescent="0.2">
      <c r="A38" s="82" t="s">
        <v>14</v>
      </c>
      <c r="B38" s="83" t="s">
        <v>45</v>
      </c>
      <c r="C38" s="83"/>
      <c r="D38" s="85"/>
      <c r="E38" s="83"/>
      <c r="F38" s="84"/>
      <c r="G38" s="302"/>
      <c r="H38" s="50"/>
      <c r="I38" s="71"/>
      <c r="J38" s="72"/>
      <c r="K38" s="50"/>
      <c r="L38" s="50"/>
    </row>
    <row r="39" spans="1:12" ht="63.75" x14ac:dyDescent="0.2">
      <c r="A39" s="77" t="s">
        <v>14</v>
      </c>
      <c r="B39" s="80"/>
      <c r="C39" s="98"/>
      <c r="D39" s="92"/>
      <c r="E39" s="80" t="s">
        <v>60</v>
      </c>
      <c r="F39" s="99"/>
      <c r="G39" s="303"/>
      <c r="H39" s="50"/>
      <c r="I39" s="71"/>
      <c r="J39" s="72"/>
      <c r="K39" s="50"/>
      <c r="L39" s="50"/>
    </row>
    <row r="40" spans="1:12" ht="51" x14ac:dyDescent="0.2">
      <c r="A40" s="77"/>
      <c r="B40" s="99"/>
      <c r="C40" s="80"/>
      <c r="D40" s="92"/>
      <c r="E40" s="80" t="s">
        <v>61</v>
      </c>
      <c r="F40" s="99"/>
      <c r="G40" s="303"/>
      <c r="H40" s="50"/>
      <c r="I40" s="71"/>
      <c r="J40" s="72"/>
      <c r="K40" s="50"/>
      <c r="L40" s="50"/>
    </row>
    <row r="41" spans="1:12" ht="62.45" customHeight="1" x14ac:dyDescent="0.2">
      <c r="A41" s="73"/>
      <c r="B41" s="100"/>
      <c r="C41" s="76"/>
      <c r="D41" s="75"/>
      <c r="E41" s="76" t="s">
        <v>62</v>
      </c>
      <c r="F41" s="100"/>
      <c r="G41" s="304"/>
      <c r="H41" s="50"/>
      <c r="I41" s="71"/>
      <c r="J41" s="72"/>
      <c r="K41" s="50"/>
      <c r="L41" s="50"/>
    </row>
    <row r="42" spans="1:12" ht="70.900000000000006" customHeight="1" x14ac:dyDescent="0.2">
      <c r="A42" s="73" t="s">
        <v>66</v>
      </c>
      <c r="B42" s="101" t="s">
        <v>358</v>
      </c>
      <c r="C42" s="114">
        <v>1</v>
      </c>
      <c r="D42" s="114">
        <v>8</v>
      </c>
      <c r="E42" s="76" t="s">
        <v>302</v>
      </c>
      <c r="F42" s="76" t="s">
        <v>303</v>
      </c>
      <c r="G42" s="70">
        <f>ROUND(480*D42,2)</f>
        <v>3840</v>
      </c>
      <c r="H42" s="50"/>
      <c r="I42" s="71"/>
      <c r="J42" s="72"/>
      <c r="K42" s="50"/>
      <c r="L42" s="50"/>
    </row>
    <row r="43" spans="1:12" ht="127.5" x14ac:dyDescent="0.2">
      <c r="A43" s="77" t="s">
        <v>69</v>
      </c>
      <c r="B43" s="102" t="s">
        <v>70</v>
      </c>
      <c r="C43" s="78"/>
      <c r="D43" s="78"/>
      <c r="E43" s="86" t="s">
        <v>71</v>
      </c>
      <c r="F43" s="80" t="s">
        <v>532</v>
      </c>
      <c r="G43" s="103">
        <f>G42*4.3%*1.2</f>
        <v>198.14399999999998</v>
      </c>
      <c r="H43" s="50"/>
      <c r="I43" s="71"/>
      <c r="J43" s="72"/>
      <c r="K43" s="50"/>
      <c r="L43" s="50"/>
    </row>
    <row r="44" spans="1:12" s="410" customFormat="1" ht="12.75" x14ac:dyDescent="0.2">
      <c r="A44" s="401"/>
      <c r="B44" s="402" t="s">
        <v>45</v>
      </c>
      <c r="C44" s="403"/>
      <c r="D44" s="402"/>
      <c r="E44" s="404"/>
      <c r="F44" s="405"/>
      <c r="G44" s="406"/>
      <c r="H44" s="407"/>
      <c r="I44" s="408"/>
      <c r="J44" s="409"/>
      <c r="K44" s="407"/>
      <c r="L44" s="407"/>
    </row>
    <row r="45" spans="1:12" s="410" customFormat="1" ht="51" x14ac:dyDescent="0.2">
      <c r="A45" s="401"/>
      <c r="B45" s="417"/>
      <c r="C45" s="403"/>
      <c r="D45" s="402"/>
      <c r="E45" s="405" t="s">
        <v>64</v>
      </c>
      <c r="F45" s="405"/>
      <c r="G45" s="406"/>
      <c r="H45" s="407"/>
      <c r="I45" s="408"/>
      <c r="J45" s="409"/>
      <c r="K45" s="407"/>
      <c r="L45" s="407"/>
    </row>
    <row r="46" spans="1:12" ht="140.25" x14ac:dyDescent="0.2">
      <c r="A46" s="95" t="s">
        <v>72</v>
      </c>
      <c r="B46" s="423" t="s">
        <v>67</v>
      </c>
      <c r="C46" s="67"/>
      <c r="D46" s="96"/>
      <c r="E46" s="420" t="s">
        <v>68</v>
      </c>
      <c r="F46" s="69" t="s">
        <v>533</v>
      </c>
      <c r="G46" s="421">
        <f>G42*10%*1.2</f>
        <v>460.79999999999995</v>
      </c>
      <c r="H46" s="50"/>
      <c r="I46" s="71"/>
      <c r="J46" s="72"/>
      <c r="K46" s="50"/>
      <c r="L46" s="50"/>
    </row>
    <row r="47" spans="1:12" s="410" customFormat="1" ht="12.75" x14ac:dyDescent="0.2">
      <c r="A47" s="401"/>
      <c r="B47" s="402" t="s">
        <v>45</v>
      </c>
      <c r="C47" s="403"/>
      <c r="D47" s="402"/>
      <c r="E47" s="418"/>
      <c r="F47" s="405"/>
      <c r="G47" s="406"/>
      <c r="H47" s="407"/>
      <c r="I47" s="408"/>
      <c r="J47" s="409"/>
      <c r="K47" s="407"/>
      <c r="L47" s="407"/>
    </row>
    <row r="48" spans="1:12" s="410" customFormat="1" ht="51" x14ac:dyDescent="0.2">
      <c r="A48" s="411"/>
      <c r="B48" s="412"/>
      <c r="C48" s="413"/>
      <c r="D48" s="414"/>
      <c r="E48" s="422" t="s">
        <v>64</v>
      </c>
      <c r="F48" s="415"/>
      <c r="G48" s="416"/>
      <c r="H48" s="407"/>
      <c r="I48" s="408"/>
      <c r="J48" s="409"/>
      <c r="K48" s="407"/>
      <c r="L48" s="407"/>
    </row>
    <row r="49" spans="1:12" ht="12.75" customHeight="1" x14ac:dyDescent="0.2">
      <c r="A49" s="73" t="s">
        <v>73</v>
      </c>
      <c r="B49" s="97" t="s">
        <v>54</v>
      </c>
      <c r="C49" s="97"/>
      <c r="D49" s="97"/>
      <c r="E49" s="97"/>
      <c r="F49" s="97" t="s">
        <v>482</v>
      </c>
      <c r="G49" s="105">
        <f>SUM(G31:G46)</f>
        <v>19947.833999999999</v>
      </c>
      <c r="H49" s="50"/>
      <c r="I49" s="71"/>
      <c r="J49" s="72"/>
      <c r="K49" s="50"/>
      <c r="L49" s="50"/>
    </row>
    <row r="50" spans="1:12" ht="12.75" customHeight="1" x14ac:dyDescent="0.2">
      <c r="A50" s="63" t="s">
        <v>74</v>
      </c>
      <c r="B50" s="64" t="s">
        <v>56</v>
      </c>
      <c r="C50" s="64"/>
      <c r="D50" s="64"/>
      <c r="E50" s="64"/>
      <c r="F50" s="64" t="s">
        <v>75</v>
      </c>
      <c r="G50" s="106">
        <f>ROUND(($G$49),2)</f>
        <v>19947.830000000002</v>
      </c>
      <c r="H50" s="50"/>
      <c r="I50" s="71"/>
      <c r="J50" s="72"/>
      <c r="K50" s="50"/>
      <c r="L50" s="50"/>
    </row>
    <row r="51" spans="1:12" ht="12.75" customHeight="1" x14ac:dyDescent="0.2">
      <c r="A51" s="63" t="s">
        <v>6</v>
      </c>
      <c r="B51" s="64" t="s">
        <v>76</v>
      </c>
      <c r="C51" s="64"/>
      <c r="D51" s="64"/>
      <c r="E51" s="64"/>
      <c r="F51" s="64"/>
      <c r="G51" s="106">
        <f>G29+G50</f>
        <v>72504.581000000006</v>
      </c>
      <c r="H51" s="50"/>
      <c r="I51" s="71"/>
      <c r="J51" s="72"/>
      <c r="K51" s="50"/>
      <c r="L51" s="50"/>
    </row>
    <row r="52" spans="1:12" ht="12.75" customHeight="1" x14ac:dyDescent="0.2">
      <c r="A52" s="604" t="s">
        <v>146</v>
      </c>
      <c r="B52" s="605"/>
      <c r="C52" s="605"/>
      <c r="D52" s="605"/>
      <c r="E52" s="605"/>
      <c r="F52" s="605"/>
      <c r="G52" s="606"/>
      <c r="H52" s="50"/>
      <c r="I52" s="71"/>
      <c r="J52" s="72"/>
      <c r="K52" s="50"/>
      <c r="L52" s="50"/>
    </row>
    <row r="53" spans="1:12" ht="83.45" customHeight="1" x14ac:dyDescent="0.2">
      <c r="A53" s="63" t="s">
        <v>10</v>
      </c>
      <c r="B53" s="104" t="s">
        <v>324</v>
      </c>
      <c r="C53" s="104"/>
      <c r="D53" s="104"/>
      <c r="E53" s="104" t="s">
        <v>325</v>
      </c>
      <c r="F53" s="104" t="s">
        <v>326</v>
      </c>
      <c r="G53" s="107">
        <f>ROUND(($G$29)*18.75/100*1,2)</f>
        <v>9854.39</v>
      </c>
      <c r="H53" s="72">
        <f>G29</f>
        <v>52556.750999999997</v>
      </c>
      <c r="I53" s="71"/>
      <c r="J53" s="72"/>
      <c r="K53" s="50"/>
      <c r="L53" s="50"/>
    </row>
    <row r="54" spans="1:12" ht="108.6" customHeight="1" x14ac:dyDescent="0.2">
      <c r="A54" s="63" t="s">
        <v>11</v>
      </c>
      <c r="B54" s="108" t="s">
        <v>356</v>
      </c>
      <c r="C54" s="104"/>
      <c r="D54" s="104"/>
      <c r="E54" s="104" t="s">
        <v>484</v>
      </c>
      <c r="F54" s="108" t="s">
        <v>346</v>
      </c>
      <c r="G54" s="107">
        <f>ROUND(($G$29+$G$53)*30.8/100*1,2)</f>
        <v>19222.63</v>
      </c>
      <c r="H54" s="72">
        <f>H53+G53</f>
        <v>62411.140999999996</v>
      </c>
      <c r="I54" s="71"/>
      <c r="J54" s="72"/>
      <c r="K54" s="50"/>
      <c r="L54" s="50"/>
    </row>
    <row r="55" spans="1:12" ht="63.75" x14ac:dyDescent="0.2">
      <c r="A55" s="63" t="s">
        <v>12</v>
      </c>
      <c r="B55" s="104" t="s">
        <v>307</v>
      </c>
      <c r="C55" s="104"/>
      <c r="D55" s="104"/>
      <c r="E55" s="104" t="s">
        <v>78</v>
      </c>
      <c r="F55" s="104" t="s">
        <v>536</v>
      </c>
      <c r="G55" s="107">
        <f>ROUND(($G$29+$G$53)*6%*2,2)</f>
        <v>7489.34</v>
      </c>
      <c r="H55" s="50"/>
      <c r="I55" s="71"/>
      <c r="J55" s="72"/>
      <c r="K55" s="50"/>
      <c r="L55" s="50"/>
    </row>
    <row r="56" spans="1:12" ht="12.75" customHeight="1" x14ac:dyDescent="0.2">
      <c r="A56" s="63" t="s">
        <v>25</v>
      </c>
      <c r="B56" s="64" t="s">
        <v>56</v>
      </c>
      <c r="C56" s="64"/>
      <c r="D56" s="64"/>
      <c r="E56" s="64"/>
      <c r="F56" s="64" t="s">
        <v>481</v>
      </c>
      <c r="G56" s="106">
        <f>G53+G54+G55</f>
        <v>36566.36</v>
      </c>
      <c r="H56" s="50"/>
      <c r="I56" s="71"/>
      <c r="J56" s="72"/>
      <c r="K56" s="50"/>
      <c r="L56" s="50"/>
    </row>
    <row r="57" spans="1:12" ht="12.75" customHeight="1" x14ac:dyDescent="0.2">
      <c r="A57" s="63" t="s">
        <v>26</v>
      </c>
      <c r="B57" s="104" t="s">
        <v>79</v>
      </c>
      <c r="C57" s="104"/>
      <c r="D57" s="104"/>
      <c r="E57" s="104"/>
      <c r="F57" s="104" t="s">
        <v>462</v>
      </c>
      <c r="G57" s="107">
        <f>G56+G51</f>
        <v>109070.94100000001</v>
      </c>
      <c r="H57" s="50"/>
      <c r="I57" s="71"/>
      <c r="J57" s="72"/>
      <c r="K57" s="50"/>
      <c r="L57" s="50"/>
    </row>
    <row r="58" spans="1:12" ht="44.45" customHeight="1" x14ac:dyDescent="0.2">
      <c r="A58" s="63" t="s">
        <v>27</v>
      </c>
      <c r="B58" s="109" t="s">
        <v>237</v>
      </c>
      <c r="C58" s="104"/>
      <c r="D58" s="104"/>
      <c r="E58" s="109" t="s">
        <v>239</v>
      </c>
      <c r="F58" s="109" t="s">
        <v>238</v>
      </c>
      <c r="G58" s="107">
        <f>G57*5.83</f>
        <v>635883.58603000001</v>
      </c>
      <c r="H58" s="50"/>
      <c r="I58" s="71"/>
      <c r="J58" s="72"/>
      <c r="K58" s="50"/>
      <c r="L58" s="50"/>
    </row>
    <row r="59" spans="1:12" ht="12.75" customHeight="1" x14ac:dyDescent="0.2">
      <c r="A59" s="63" t="s">
        <v>28</v>
      </c>
      <c r="B59" s="64" t="s">
        <v>80</v>
      </c>
      <c r="C59" s="64"/>
      <c r="D59" s="64"/>
      <c r="E59" s="64"/>
      <c r="F59" s="64" t="s">
        <v>308</v>
      </c>
      <c r="G59" s="106">
        <f>G58</f>
        <v>635883.58603000001</v>
      </c>
      <c r="H59" s="50"/>
      <c r="I59" s="71"/>
      <c r="J59" s="72"/>
      <c r="K59" s="50"/>
      <c r="L59" s="50"/>
    </row>
    <row r="60" spans="1:12" ht="12.75" customHeight="1" x14ac:dyDescent="0.2">
      <c r="A60" s="54"/>
      <c r="B60" s="54"/>
      <c r="C60" s="54"/>
      <c r="D60" s="54"/>
      <c r="E60" s="54"/>
      <c r="F60" s="54"/>
      <c r="G60" s="292"/>
      <c r="H60" s="50"/>
      <c r="I60" s="71"/>
      <c r="J60" s="72"/>
      <c r="K60" s="50"/>
      <c r="L60" s="50"/>
    </row>
    <row r="61" spans="1:12" ht="12.75" customHeight="1" x14ac:dyDescent="0.2">
      <c r="A61" s="601"/>
      <c r="B61" s="594"/>
      <c r="C61" s="602"/>
      <c r="D61" s="594"/>
      <c r="E61" s="594"/>
      <c r="F61" s="594"/>
      <c r="G61" s="594"/>
      <c r="H61" s="50"/>
      <c r="I61" s="71"/>
      <c r="J61" s="72"/>
      <c r="K61" s="50"/>
      <c r="L61" s="50"/>
    </row>
    <row r="62" spans="1:12" ht="12.75" customHeight="1" x14ac:dyDescent="0.2">
      <c r="A62" s="110"/>
      <c r="B62" s="110"/>
      <c r="C62" s="110"/>
      <c r="D62" s="110"/>
      <c r="E62" s="110"/>
      <c r="F62" s="110"/>
      <c r="H62" s="50"/>
      <c r="I62" s="71"/>
      <c r="J62" s="72"/>
      <c r="K62" s="50"/>
      <c r="L62" s="50"/>
    </row>
    <row r="63" spans="1:12" ht="79.5" customHeight="1" x14ac:dyDescent="0.2">
      <c r="A63" s="110"/>
      <c r="B63" s="110"/>
      <c r="C63" s="110"/>
      <c r="D63" s="110"/>
      <c r="E63" s="110"/>
      <c r="F63" s="110"/>
      <c r="G63" s="305"/>
      <c r="H63" s="50"/>
      <c r="I63" s="71" t="e">
        <f>G59+'1.2 ИГДИ'!G59+'2. ИГИ'!G71+'3. ИЭИ'!L84+'4. ИГМИ'!G44+#REF!+#REF!+#REF!+#REF!+#REF!+#REF!+#REF!+#REF!</f>
        <v>#REF!</v>
      </c>
      <c r="J63" s="72"/>
      <c r="K63" s="50"/>
      <c r="L63" s="50"/>
    </row>
    <row r="64" spans="1:12" ht="12.75" customHeight="1" x14ac:dyDescent="0.2">
      <c r="A64" s="600"/>
      <c r="B64" s="594"/>
      <c r="C64" s="594"/>
      <c r="D64" s="594"/>
      <c r="E64" s="594"/>
      <c r="F64" s="594"/>
      <c r="G64" s="594"/>
      <c r="H64" s="50"/>
      <c r="I64" s="71"/>
      <c r="J64" s="72"/>
      <c r="K64" s="50"/>
      <c r="L64" s="50"/>
    </row>
    <row r="65" spans="1:12" ht="12.75" customHeight="1" x14ac:dyDescent="0.2">
      <c r="A65" s="600"/>
      <c r="B65" s="594"/>
      <c r="C65" s="594"/>
      <c r="D65" s="594"/>
      <c r="E65" s="594"/>
      <c r="F65" s="594"/>
      <c r="G65" s="594"/>
      <c r="H65" s="50"/>
      <c r="I65" s="71"/>
      <c r="J65" s="72"/>
      <c r="K65" s="50"/>
      <c r="L65" s="72"/>
    </row>
    <row r="66" spans="1:12" ht="12.75" customHeight="1" x14ac:dyDescent="0.2">
      <c r="A66" s="600"/>
      <c r="B66" s="594"/>
      <c r="C66" s="594"/>
      <c r="D66" s="594"/>
      <c r="E66" s="594"/>
      <c r="F66" s="594"/>
      <c r="G66" s="594"/>
      <c r="H66" s="50"/>
      <c r="I66" s="71"/>
      <c r="J66" s="72"/>
      <c r="K66" s="50"/>
      <c r="L66" s="50"/>
    </row>
    <row r="67" spans="1:12" ht="12.75" customHeight="1" x14ac:dyDescent="0.2">
      <c r="A67" s="600"/>
      <c r="B67" s="594"/>
      <c r="C67" s="594"/>
      <c r="D67" s="594"/>
      <c r="E67" s="594"/>
      <c r="F67" s="594"/>
      <c r="G67" s="594"/>
      <c r="H67" s="50"/>
      <c r="I67" s="71"/>
      <c r="J67" s="72"/>
      <c r="K67" s="50"/>
      <c r="L67" s="50"/>
    </row>
    <row r="68" spans="1:12" ht="12.75" customHeight="1" x14ac:dyDescent="0.2">
      <c r="A68" s="600"/>
      <c r="B68" s="594"/>
      <c r="C68" s="594"/>
      <c r="D68" s="594"/>
      <c r="E68" s="594"/>
      <c r="F68" s="594"/>
      <c r="G68" s="594"/>
      <c r="H68" s="50"/>
      <c r="I68" s="71"/>
      <c r="J68" s="72"/>
      <c r="K68" s="50"/>
      <c r="L68" s="50"/>
    </row>
    <row r="69" spans="1:12" ht="12.75" customHeight="1" x14ac:dyDescent="0.2">
      <c r="A69" s="600"/>
      <c r="B69" s="594"/>
      <c r="C69" s="594"/>
      <c r="D69" s="594"/>
      <c r="E69" s="594"/>
      <c r="F69" s="594"/>
      <c r="G69" s="594"/>
      <c r="H69" s="50"/>
      <c r="I69" s="71"/>
      <c r="J69" s="72"/>
      <c r="K69" s="50"/>
      <c r="L69" s="50"/>
    </row>
    <row r="70" spans="1:12" ht="12.75" customHeight="1" x14ac:dyDescent="0.2">
      <c r="A70" s="600"/>
      <c r="B70" s="594"/>
      <c r="C70" s="594"/>
      <c r="D70" s="594"/>
      <c r="E70" s="594"/>
      <c r="F70" s="594"/>
      <c r="G70" s="594"/>
      <c r="H70" s="50"/>
      <c r="I70" s="71"/>
      <c r="J70" s="72"/>
      <c r="K70" s="50"/>
      <c r="L70" s="50"/>
    </row>
    <row r="71" spans="1:12" ht="12.75" customHeight="1" x14ac:dyDescent="0.2">
      <c r="A71" s="600"/>
      <c r="B71" s="594"/>
      <c r="C71" s="594"/>
      <c r="D71" s="594"/>
      <c r="E71" s="594"/>
      <c r="F71" s="594"/>
      <c r="G71" s="594"/>
      <c r="H71" s="50"/>
      <c r="I71" s="71"/>
      <c r="J71" s="72"/>
      <c r="K71" s="50"/>
      <c r="L71" s="50"/>
    </row>
    <row r="72" spans="1:12" ht="12.75" customHeight="1" x14ac:dyDescent="0.2">
      <c r="A72" s="600"/>
      <c r="B72" s="594"/>
      <c r="C72" s="594"/>
      <c r="D72" s="594"/>
      <c r="E72" s="594"/>
      <c r="F72" s="594"/>
      <c r="G72" s="594"/>
      <c r="H72" s="50"/>
      <c r="I72" s="72"/>
      <c r="J72" s="72"/>
      <c r="K72" s="50"/>
      <c r="L72" s="50"/>
    </row>
    <row r="73" spans="1:12" ht="39.75" customHeight="1" x14ac:dyDescent="0.2">
      <c r="A73" s="600"/>
      <c r="B73" s="594"/>
      <c r="C73" s="594"/>
      <c r="D73" s="594"/>
      <c r="E73" s="594"/>
      <c r="F73" s="594"/>
      <c r="G73" s="594"/>
      <c r="H73" s="50"/>
      <c r="I73" s="72"/>
      <c r="J73" s="72"/>
      <c r="K73" s="50"/>
      <c r="L73" s="50"/>
    </row>
    <row r="74" spans="1:12" ht="30" customHeight="1" x14ac:dyDescent="0.2">
      <c r="A74" s="600"/>
      <c r="B74" s="594"/>
      <c r="C74" s="594"/>
      <c r="D74" s="594"/>
      <c r="E74" s="594"/>
      <c r="F74" s="594"/>
      <c r="G74" s="594"/>
      <c r="H74" s="50"/>
      <c r="I74" s="72"/>
      <c r="J74" s="72"/>
      <c r="K74" s="50"/>
      <c r="L74" s="50"/>
    </row>
    <row r="75" spans="1:12" ht="25.5" customHeight="1" x14ac:dyDescent="0.2">
      <c r="A75" s="600"/>
      <c r="B75" s="594"/>
      <c r="C75" s="594"/>
      <c r="D75" s="594"/>
      <c r="E75" s="594"/>
      <c r="F75" s="594"/>
      <c r="G75" s="594"/>
      <c r="H75" s="50"/>
      <c r="I75" s="72"/>
      <c r="J75" s="72"/>
      <c r="K75" s="50"/>
      <c r="L75" s="50"/>
    </row>
    <row r="76" spans="1:12" ht="38.25" customHeight="1" x14ac:dyDescent="0.2">
      <c r="A76" s="110"/>
      <c r="B76" s="110"/>
      <c r="C76" s="110"/>
      <c r="D76" s="110"/>
      <c r="E76" s="110"/>
      <c r="F76" s="110"/>
      <c r="G76" s="305"/>
      <c r="H76" s="50"/>
      <c r="I76" s="72"/>
      <c r="J76" s="72"/>
      <c r="K76" s="50"/>
      <c r="L76" s="50"/>
    </row>
    <row r="77" spans="1:12" ht="12.75" customHeight="1" x14ac:dyDescent="0.2">
      <c r="A77" s="110"/>
      <c r="B77" s="110"/>
      <c r="C77" s="110"/>
      <c r="D77" s="110"/>
      <c r="E77" s="110"/>
      <c r="F77" s="110"/>
      <c r="G77" s="305"/>
      <c r="H77" s="50"/>
      <c r="I77" s="50"/>
      <c r="J77" s="50"/>
      <c r="K77" s="50"/>
      <c r="L77" s="50"/>
    </row>
    <row r="78" spans="1:12" ht="12.75" customHeight="1" x14ac:dyDescent="0.2">
      <c r="A78" s="54"/>
      <c r="B78" s="54"/>
      <c r="C78" s="54"/>
      <c r="D78" s="54"/>
      <c r="E78" s="54"/>
      <c r="F78" s="54"/>
      <c r="G78" s="292"/>
      <c r="H78" s="50"/>
      <c r="I78" s="50"/>
      <c r="J78" s="50"/>
      <c r="K78" s="50"/>
      <c r="L78" s="50"/>
    </row>
    <row r="79" spans="1:12" ht="12.75" customHeight="1" x14ac:dyDescent="0.2">
      <c r="A79" s="54"/>
      <c r="B79" s="54"/>
      <c r="C79" s="54"/>
      <c r="D79" s="54"/>
      <c r="E79" s="54"/>
      <c r="F79" s="54"/>
      <c r="G79" s="292"/>
      <c r="H79" s="50"/>
      <c r="I79" s="50"/>
      <c r="J79" s="50"/>
      <c r="K79" s="50"/>
      <c r="L79" s="50"/>
    </row>
    <row r="80" spans="1:12" ht="12.75" customHeight="1" x14ac:dyDescent="0.2">
      <c r="A80" s="54"/>
      <c r="B80" s="54"/>
      <c r="C80" s="54"/>
      <c r="D80" s="54"/>
      <c r="E80" s="54"/>
      <c r="F80" s="54"/>
      <c r="G80" s="292"/>
      <c r="H80" s="50"/>
      <c r="I80" s="50"/>
      <c r="J80" s="50"/>
      <c r="K80" s="50"/>
      <c r="L80" s="50"/>
    </row>
    <row r="81" spans="1:12" ht="24.75" customHeight="1" x14ac:dyDescent="0.2">
      <c r="A81" s="54"/>
      <c r="B81" s="54"/>
      <c r="C81" s="54"/>
      <c r="D81" s="54"/>
      <c r="E81" s="54"/>
      <c r="F81" s="54"/>
      <c r="G81" s="292"/>
      <c r="H81" s="111"/>
      <c r="I81" s="111"/>
      <c r="J81" s="111"/>
      <c r="K81" s="111"/>
      <c r="L81" s="111"/>
    </row>
    <row r="82" spans="1:12" ht="12.75" customHeight="1" x14ac:dyDescent="0.2">
      <c r="A82" s="54"/>
      <c r="B82" s="54"/>
      <c r="C82" s="54"/>
      <c r="D82" s="54"/>
      <c r="E82" s="54"/>
      <c r="F82" s="54"/>
      <c r="G82" s="292"/>
      <c r="H82" s="50"/>
      <c r="I82" s="50"/>
      <c r="J82" s="50"/>
      <c r="K82" s="50"/>
      <c r="L82" s="50"/>
    </row>
    <row r="83" spans="1:12" ht="12.75" customHeight="1" x14ac:dyDescent="0.2">
      <c r="A83" s="54"/>
      <c r="B83" s="54"/>
      <c r="C83" s="54"/>
      <c r="D83" s="54"/>
      <c r="E83" s="54"/>
      <c r="F83" s="54"/>
      <c r="G83" s="292"/>
      <c r="H83" s="50"/>
      <c r="I83" s="50"/>
      <c r="J83" s="50"/>
      <c r="K83" s="50"/>
      <c r="L83" s="50"/>
    </row>
    <row r="84" spans="1:12" ht="12.75" customHeight="1" x14ac:dyDescent="0.2">
      <c r="A84" s="54"/>
      <c r="B84" s="54"/>
      <c r="C84" s="54"/>
      <c r="D84" s="54"/>
      <c r="E84" s="54"/>
      <c r="F84" s="54"/>
      <c r="G84" s="292"/>
      <c r="H84" s="50"/>
      <c r="I84" s="50"/>
      <c r="J84" s="50"/>
      <c r="K84" s="50"/>
      <c r="L84" s="50"/>
    </row>
    <row r="85" spans="1:12" ht="12.75" customHeight="1" x14ac:dyDescent="0.2">
      <c r="A85" s="54"/>
      <c r="B85" s="54"/>
      <c r="C85" s="54"/>
      <c r="D85" s="54"/>
      <c r="E85" s="54"/>
      <c r="F85" s="54"/>
      <c r="G85" s="292"/>
      <c r="H85" s="54"/>
      <c r="I85" s="54"/>
      <c r="J85" s="54"/>
      <c r="K85" s="54"/>
      <c r="L85" s="54"/>
    </row>
    <row r="86" spans="1:12" ht="12.75" customHeight="1" x14ac:dyDescent="0.2">
      <c r="A86" s="54"/>
      <c r="B86" s="54"/>
      <c r="C86" s="54"/>
      <c r="D86" s="54"/>
      <c r="E86" s="54"/>
      <c r="F86" s="54"/>
      <c r="G86" s="292"/>
      <c r="H86" s="54"/>
      <c r="I86" s="54"/>
      <c r="J86" s="54"/>
      <c r="K86" s="54"/>
      <c r="L86" s="54"/>
    </row>
    <row r="87" spans="1:12" ht="12.75" customHeight="1" x14ac:dyDescent="0.2">
      <c r="A87" s="54"/>
      <c r="B87" s="54"/>
      <c r="C87" s="54"/>
      <c r="D87" s="54"/>
      <c r="E87" s="54"/>
      <c r="F87" s="54"/>
      <c r="G87" s="292"/>
      <c r="H87" s="50"/>
      <c r="I87" s="50"/>
      <c r="J87" s="50"/>
      <c r="K87" s="50"/>
      <c r="L87" s="50"/>
    </row>
    <row r="88" spans="1:12" ht="12.75" customHeight="1" x14ac:dyDescent="0.2">
      <c r="A88" s="54"/>
      <c r="B88" s="54"/>
      <c r="C88" s="54"/>
      <c r="D88" s="54"/>
      <c r="E88" s="54"/>
      <c r="F88" s="54"/>
      <c r="G88" s="292"/>
      <c r="H88" s="54"/>
      <c r="I88" s="54"/>
      <c r="J88" s="54"/>
      <c r="K88" s="54"/>
      <c r="L88" s="54"/>
    </row>
    <row r="89" spans="1:12" ht="12.75" customHeight="1" x14ac:dyDescent="0.2">
      <c r="A89" s="54"/>
      <c r="B89" s="54"/>
      <c r="C89" s="54"/>
      <c r="D89" s="54"/>
      <c r="E89" s="54"/>
      <c r="F89" s="54"/>
      <c r="G89" s="292"/>
      <c r="H89" s="54"/>
      <c r="I89" s="54"/>
      <c r="J89" s="54"/>
      <c r="K89" s="54"/>
      <c r="L89" s="54"/>
    </row>
    <row r="90" spans="1:12" ht="12.75" customHeight="1" x14ac:dyDescent="0.2">
      <c r="A90" s="54"/>
      <c r="B90" s="54"/>
      <c r="C90" s="54"/>
      <c r="D90" s="54"/>
      <c r="E90" s="54"/>
      <c r="F90" s="54"/>
      <c r="G90" s="292"/>
      <c r="H90" s="50"/>
      <c r="I90" s="50"/>
      <c r="J90" s="50"/>
      <c r="K90" s="50"/>
      <c r="L90" s="50"/>
    </row>
    <row r="91" spans="1:12" ht="12.75" customHeight="1" x14ac:dyDescent="0.2">
      <c r="A91" s="54"/>
      <c r="B91" s="54"/>
      <c r="C91" s="54"/>
      <c r="D91" s="54"/>
      <c r="E91" s="54"/>
      <c r="F91" s="54"/>
      <c r="G91" s="292"/>
      <c r="H91" s="54"/>
      <c r="I91" s="54"/>
      <c r="J91" s="54"/>
      <c r="K91" s="54"/>
      <c r="L91" s="54"/>
    </row>
    <row r="92" spans="1:12" ht="12.75" customHeight="1" x14ac:dyDescent="0.2">
      <c r="A92" s="54"/>
      <c r="B92" s="54"/>
      <c r="C92" s="54"/>
      <c r="D92" s="54"/>
      <c r="E92" s="54"/>
      <c r="F92" s="54"/>
      <c r="G92" s="292"/>
      <c r="H92" s="54"/>
      <c r="I92" s="54"/>
      <c r="J92" s="54"/>
      <c r="K92" s="54"/>
      <c r="L92" s="54"/>
    </row>
    <row r="93" spans="1:12" ht="12.75" customHeight="1" x14ac:dyDescent="0.2">
      <c r="A93" s="54"/>
      <c r="B93" s="54"/>
      <c r="C93" s="54"/>
      <c r="D93" s="54"/>
      <c r="E93" s="54"/>
      <c r="F93" s="54"/>
      <c r="G93" s="292"/>
      <c r="H93" s="50"/>
      <c r="I93" s="50"/>
      <c r="J93" s="50"/>
      <c r="K93" s="50"/>
      <c r="L93" s="50"/>
    </row>
    <row r="94" spans="1:12" ht="12.75" customHeight="1" x14ac:dyDescent="0.2">
      <c r="A94" s="54"/>
      <c r="B94" s="54"/>
      <c r="C94" s="54"/>
      <c r="D94" s="54"/>
      <c r="E94" s="54"/>
      <c r="F94" s="54"/>
      <c r="G94" s="292"/>
      <c r="H94" s="54"/>
      <c r="I94" s="54"/>
      <c r="J94" s="54"/>
      <c r="K94" s="54"/>
      <c r="L94" s="54"/>
    </row>
    <row r="95" spans="1:12" ht="12.75" customHeight="1" x14ac:dyDescent="0.2">
      <c r="A95" s="54"/>
      <c r="B95" s="54"/>
      <c r="C95" s="54"/>
      <c r="D95" s="54"/>
      <c r="E95" s="54"/>
      <c r="F95" s="54"/>
      <c r="G95" s="292"/>
      <c r="H95" s="54"/>
      <c r="I95" s="54"/>
      <c r="J95" s="54"/>
      <c r="K95" s="54"/>
      <c r="L95" s="54"/>
    </row>
    <row r="96" spans="1:12" ht="12.75" customHeight="1" x14ac:dyDescent="0.2">
      <c r="A96" s="54"/>
      <c r="B96" s="54"/>
      <c r="C96" s="54"/>
      <c r="D96" s="54"/>
      <c r="E96" s="54"/>
      <c r="F96" s="54"/>
      <c r="G96" s="292"/>
      <c r="H96" s="50"/>
      <c r="I96" s="50"/>
      <c r="J96" s="50"/>
      <c r="K96" s="50"/>
      <c r="L96" s="50"/>
    </row>
    <row r="97" spans="1:12" ht="12.75" customHeight="1" x14ac:dyDescent="0.2">
      <c r="A97" s="54"/>
      <c r="B97" s="54"/>
      <c r="C97" s="54"/>
      <c r="D97" s="54"/>
      <c r="E97" s="54"/>
      <c r="F97" s="54"/>
      <c r="G97" s="292"/>
      <c r="H97" s="50"/>
      <c r="I97" s="50"/>
      <c r="J97" s="50"/>
      <c r="K97" s="50"/>
      <c r="L97" s="50"/>
    </row>
    <row r="98" spans="1:12" ht="12.75" customHeight="1" x14ac:dyDescent="0.2">
      <c r="A98" s="54"/>
      <c r="B98" s="54"/>
      <c r="C98" s="54"/>
      <c r="D98" s="54"/>
      <c r="E98" s="54"/>
      <c r="F98" s="54"/>
      <c r="G98" s="292"/>
      <c r="H98" s="50"/>
      <c r="I98" s="50"/>
      <c r="J98" s="50"/>
      <c r="K98" s="50"/>
      <c r="L98" s="50"/>
    </row>
    <row r="99" spans="1:12" ht="12.75" customHeight="1" x14ac:dyDescent="0.2">
      <c r="A99" s="54"/>
      <c r="B99" s="54"/>
      <c r="C99" s="54"/>
      <c r="D99" s="54"/>
      <c r="E99" s="54"/>
      <c r="F99" s="54"/>
      <c r="G99" s="292"/>
      <c r="H99" s="50"/>
      <c r="I99" s="50"/>
      <c r="J99" s="50"/>
      <c r="K99" s="50"/>
      <c r="L99" s="50"/>
    </row>
    <row r="100" spans="1:12" ht="12.75" customHeight="1" x14ac:dyDescent="0.2">
      <c r="A100" s="54"/>
      <c r="B100" s="54"/>
      <c r="C100" s="54"/>
      <c r="D100" s="54"/>
      <c r="E100" s="54"/>
      <c r="F100" s="54"/>
      <c r="G100" s="292"/>
      <c r="H100" s="50"/>
      <c r="I100" s="50"/>
      <c r="J100" s="50"/>
      <c r="K100" s="50"/>
      <c r="L100" s="50"/>
    </row>
    <row r="101" spans="1:12" ht="12.75" customHeight="1" x14ac:dyDescent="0.2">
      <c r="A101" s="54"/>
      <c r="B101" s="54"/>
      <c r="C101" s="54"/>
      <c r="D101" s="54"/>
      <c r="E101" s="54"/>
      <c r="F101" s="54"/>
      <c r="G101" s="292"/>
      <c r="H101" s="50"/>
      <c r="I101" s="50"/>
      <c r="J101" s="50"/>
      <c r="K101" s="50"/>
      <c r="L101" s="50"/>
    </row>
    <row r="102" spans="1:12" ht="12.75" customHeight="1" x14ac:dyDescent="0.2">
      <c r="A102" s="54"/>
      <c r="B102" s="54"/>
      <c r="C102" s="54"/>
      <c r="D102" s="54"/>
      <c r="E102" s="54"/>
      <c r="F102" s="54"/>
      <c r="G102" s="292"/>
      <c r="H102" s="50"/>
      <c r="I102" s="50"/>
      <c r="J102" s="50"/>
      <c r="K102" s="50"/>
      <c r="L102" s="50"/>
    </row>
    <row r="103" spans="1:12" ht="12.75" customHeight="1" x14ac:dyDescent="0.2">
      <c r="A103" s="54"/>
      <c r="B103" s="54"/>
      <c r="C103" s="54"/>
      <c r="D103" s="54"/>
      <c r="E103" s="54"/>
      <c r="F103" s="54"/>
      <c r="G103" s="292"/>
      <c r="H103" s="50"/>
      <c r="I103" s="50"/>
      <c r="J103" s="50"/>
      <c r="K103" s="50"/>
      <c r="L103" s="50"/>
    </row>
    <row r="104" spans="1:12" ht="12.75" customHeight="1" x14ac:dyDescent="0.2">
      <c r="A104" s="54"/>
      <c r="B104" s="54"/>
      <c r="C104" s="54"/>
      <c r="D104" s="54"/>
      <c r="E104" s="54"/>
      <c r="F104" s="54"/>
      <c r="G104" s="292"/>
      <c r="H104" s="50"/>
      <c r="I104" s="50"/>
      <c r="J104" s="50"/>
      <c r="K104" s="50"/>
      <c r="L104" s="50"/>
    </row>
    <row r="105" spans="1:12" ht="12.75" customHeight="1" x14ac:dyDescent="0.2">
      <c r="A105" s="54"/>
      <c r="B105" s="54"/>
      <c r="C105" s="54"/>
      <c r="D105" s="54"/>
      <c r="E105" s="54"/>
      <c r="F105" s="54"/>
      <c r="G105" s="292"/>
      <c r="H105" s="50"/>
      <c r="I105" s="50"/>
      <c r="J105" s="50"/>
      <c r="K105" s="50"/>
      <c r="L105" s="50"/>
    </row>
    <row r="106" spans="1:12" ht="12.75" customHeight="1" x14ac:dyDescent="0.2">
      <c r="A106" s="54"/>
      <c r="B106" s="54"/>
      <c r="C106" s="54"/>
      <c r="D106" s="54"/>
      <c r="E106" s="54"/>
      <c r="F106" s="54"/>
      <c r="G106" s="292"/>
      <c r="H106" s="50"/>
      <c r="I106" s="50"/>
      <c r="J106" s="50"/>
      <c r="K106" s="50"/>
      <c r="L106" s="50"/>
    </row>
    <row r="107" spans="1:12" ht="12.75" customHeight="1" x14ac:dyDescent="0.2">
      <c r="A107" s="54"/>
      <c r="B107" s="54"/>
      <c r="C107" s="54"/>
      <c r="D107" s="54"/>
      <c r="E107" s="54"/>
      <c r="F107" s="54"/>
      <c r="G107" s="292"/>
      <c r="H107" s="50"/>
      <c r="I107" s="50"/>
      <c r="J107" s="50"/>
      <c r="K107" s="50"/>
      <c r="L107" s="50"/>
    </row>
    <row r="108" spans="1:12" ht="12.75" customHeight="1" x14ac:dyDescent="0.2">
      <c r="A108" s="54"/>
      <c r="B108" s="54"/>
      <c r="C108" s="54"/>
      <c r="D108" s="54"/>
      <c r="E108" s="54"/>
      <c r="F108" s="54"/>
      <c r="G108" s="292"/>
      <c r="H108" s="50"/>
      <c r="I108" s="50"/>
      <c r="J108" s="50"/>
      <c r="K108" s="50"/>
      <c r="L108" s="50"/>
    </row>
    <row r="109" spans="1:12" ht="12.75" customHeight="1" x14ac:dyDescent="0.2">
      <c r="A109" s="54"/>
      <c r="B109" s="54"/>
      <c r="C109" s="54"/>
      <c r="D109" s="54"/>
      <c r="E109" s="54"/>
      <c r="F109" s="54"/>
      <c r="G109" s="292"/>
      <c r="H109" s="50"/>
      <c r="I109" s="50"/>
      <c r="J109" s="50"/>
      <c r="K109" s="50"/>
      <c r="L109" s="50"/>
    </row>
    <row r="110" spans="1:12" ht="12.75" customHeight="1" x14ac:dyDescent="0.2">
      <c r="A110" s="54"/>
      <c r="B110" s="54"/>
      <c r="C110" s="54"/>
      <c r="D110" s="54"/>
      <c r="E110" s="54"/>
      <c r="F110" s="54"/>
      <c r="G110" s="292"/>
      <c r="H110" s="50"/>
      <c r="I110" s="50"/>
      <c r="J110" s="50"/>
      <c r="K110" s="50"/>
      <c r="L110" s="50"/>
    </row>
    <row r="111" spans="1:12" ht="12.75" customHeight="1" x14ac:dyDescent="0.2">
      <c r="A111" s="54"/>
      <c r="B111" s="54"/>
      <c r="C111" s="54"/>
      <c r="D111" s="54"/>
      <c r="E111" s="54"/>
      <c r="F111" s="54"/>
      <c r="G111" s="292"/>
      <c r="H111" s="50"/>
      <c r="I111" s="50"/>
      <c r="J111" s="50"/>
      <c r="K111" s="50"/>
      <c r="L111" s="50"/>
    </row>
    <row r="112" spans="1:12" ht="12.75" customHeight="1" x14ac:dyDescent="0.2">
      <c r="A112" s="54"/>
      <c r="B112" s="54"/>
      <c r="C112" s="54"/>
      <c r="D112" s="54"/>
      <c r="E112" s="54"/>
      <c r="F112" s="54"/>
      <c r="G112" s="292"/>
      <c r="H112" s="50"/>
      <c r="I112" s="50"/>
      <c r="J112" s="50"/>
      <c r="K112" s="50"/>
      <c r="L112" s="50"/>
    </row>
    <row r="113" spans="1:12" ht="12.75" customHeight="1" x14ac:dyDescent="0.2">
      <c r="A113" s="54"/>
      <c r="B113" s="54"/>
      <c r="C113" s="54"/>
      <c r="D113" s="54"/>
      <c r="E113" s="54"/>
      <c r="F113" s="54"/>
      <c r="G113" s="292"/>
      <c r="H113" s="50"/>
      <c r="I113" s="50"/>
      <c r="J113" s="50"/>
      <c r="K113" s="50"/>
      <c r="L113" s="50"/>
    </row>
    <row r="114" spans="1:12" ht="12.75" customHeight="1" x14ac:dyDescent="0.2">
      <c r="A114" s="54"/>
      <c r="B114" s="54"/>
      <c r="C114" s="54"/>
      <c r="D114" s="54"/>
      <c r="E114" s="54"/>
      <c r="F114" s="54"/>
      <c r="G114" s="292"/>
      <c r="H114" s="50"/>
      <c r="I114" s="50"/>
      <c r="J114" s="50"/>
      <c r="K114" s="50"/>
      <c r="L114" s="50"/>
    </row>
    <row r="115" spans="1:12" ht="12.75" customHeight="1" x14ac:dyDescent="0.2">
      <c r="A115" s="54"/>
      <c r="B115" s="54"/>
      <c r="C115" s="54"/>
      <c r="D115" s="54"/>
      <c r="E115" s="54"/>
      <c r="F115" s="54"/>
      <c r="G115" s="292"/>
      <c r="H115" s="50"/>
      <c r="I115" s="50"/>
      <c r="J115" s="50"/>
      <c r="K115" s="50"/>
      <c r="L115" s="50"/>
    </row>
    <row r="116" spans="1:12" ht="12.75" customHeight="1" x14ac:dyDescent="0.2">
      <c r="A116" s="54"/>
      <c r="B116" s="54"/>
      <c r="C116" s="54"/>
      <c r="D116" s="54"/>
      <c r="E116" s="54"/>
      <c r="F116" s="54"/>
      <c r="G116" s="292"/>
      <c r="H116" s="50"/>
      <c r="I116" s="50"/>
      <c r="J116" s="50"/>
      <c r="K116" s="50"/>
      <c r="L116" s="50"/>
    </row>
    <row r="117" spans="1:12" ht="12.75" customHeight="1" x14ac:dyDescent="0.2">
      <c r="A117" s="54"/>
      <c r="B117" s="54"/>
      <c r="C117" s="54"/>
      <c r="D117" s="54"/>
      <c r="E117" s="54"/>
      <c r="F117" s="54"/>
      <c r="G117" s="292"/>
      <c r="H117" s="50"/>
      <c r="I117" s="50"/>
      <c r="J117" s="50"/>
      <c r="K117" s="50"/>
      <c r="L117" s="50"/>
    </row>
  </sheetData>
  <mergeCells count="35">
    <mergeCell ref="A10:C10"/>
    <mergeCell ref="A12:C12"/>
    <mergeCell ref="D12:G12"/>
    <mergeCell ref="D10:G10"/>
    <mergeCell ref="A52:G52"/>
    <mergeCell ref="A11:C11"/>
    <mergeCell ref="D11:G11"/>
    <mergeCell ref="A15:C15"/>
    <mergeCell ref="D15:G15"/>
    <mergeCell ref="H11:J11"/>
    <mergeCell ref="K11:R11"/>
    <mergeCell ref="A13:C13"/>
    <mergeCell ref="D13:G13"/>
    <mergeCell ref="H13:J13"/>
    <mergeCell ref="K13:R13"/>
    <mergeCell ref="A71:G71"/>
    <mergeCell ref="A72:G72"/>
    <mergeCell ref="A73:G73"/>
    <mergeCell ref="A74:G74"/>
    <mergeCell ref="A75:G75"/>
    <mergeCell ref="A70:G70"/>
    <mergeCell ref="A61:B61"/>
    <mergeCell ref="C61:G61"/>
    <mergeCell ref="A64:G64"/>
    <mergeCell ref="A65:G65"/>
    <mergeCell ref="A66:G66"/>
    <mergeCell ref="A67:G67"/>
    <mergeCell ref="A68:G68"/>
    <mergeCell ref="A69:G69"/>
    <mergeCell ref="A1:B1"/>
    <mergeCell ref="C1:G1"/>
    <mergeCell ref="B4:F4"/>
    <mergeCell ref="B5:F5"/>
    <mergeCell ref="A8:C8"/>
    <mergeCell ref="D8:G8"/>
  </mergeCells>
  <pageMargins left="0.7" right="0.7" top="0.75" bottom="0.75" header="0" footer="0"/>
  <pageSetup paperSize="9" firstPageNumber="4294967295" orientation="landscape" r:id="rId1"/>
  <headerFooter>
    <oddFooter>&amp;CСтраница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7"/>
  <sheetViews>
    <sheetView topLeftCell="A49" zoomScale="75" zoomScaleNormal="75" workbookViewId="0">
      <selection activeCell="D18" sqref="D18:G18"/>
    </sheetView>
  </sheetViews>
  <sheetFormatPr defaultColWidth="14.42578125" defaultRowHeight="15" customHeight="1" x14ac:dyDescent="0.2"/>
  <cols>
    <col min="1" max="1" width="4.28515625" style="51" customWidth="1"/>
    <col min="2" max="2" width="26.7109375" style="51" customWidth="1"/>
    <col min="3" max="3" width="14.28515625" style="51" customWidth="1"/>
    <col min="4" max="4" width="7.28515625" style="51" customWidth="1"/>
    <col min="5" max="5" width="27.7109375" style="51" customWidth="1"/>
    <col min="6" max="6" width="15.5703125" style="51" customWidth="1"/>
    <col min="7" max="7" width="10.5703125" style="294" customWidth="1"/>
    <col min="8" max="10" width="11.5703125" style="51" customWidth="1"/>
    <col min="11" max="11" width="24.42578125" style="51" customWidth="1"/>
    <col min="12" max="12" width="11.5703125" style="51" customWidth="1"/>
    <col min="13" max="16384" width="14.42578125" style="51"/>
  </cols>
  <sheetData>
    <row r="1" spans="1:18" ht="12.75" x14ac:dyDescent="0.2">
      <c r="A1" s="593"/>
      <c r="B1" s="594"/>
      <c r="C1" s="595" t="s">
        <v>32</v>
      </c>
      <c r="D1" s="595"/>
      <c r="E1" s="595"/>
      <c r="F1" s="595"/>
      <c r="G1" s="595"/>
      <c r="H1" s="50"/>
      <c r="I1" s="50"/>
      <c r="J1" s="50"/>
      <c r="K1" s="50"/>
      <c r="L1" s="50"/>
    </row>
    <row r="2" spans="1:18" ht="12.75" x14ac:dyDescent="0.2">
      <c r="A2" s="119"/>
      <c r="C2" s="120"/>
      <c r="D2" s="120"/>
      <c r="E2" s="120"/>
      <c r="F2" s="120"/>
      <c r="G2" s="306"/>
      <c r="H2" s="50"/>
      <c r="I2" s="50"/>
      <c r="J2" s="50"/>
      <c r="K2" s="50"/>
      <c r="L2" s="50"/>
    </row>
    <row r="3" spans="1:18" ht="12.75" x14ac:dyDescent="0.2">
      <c r="A3" s="119"/>
      <c r="C3" s="120"/>
      <c r="D3" s="120"/>
      <c r="E3" s="120"/>
      <c r="F3" s="120"/>
      <c r="G3" s="306"/>
      <c r="H3" s="50"/>
      <c r="I3" s="50"/>
      <c r="J3" s="50"/>
      <c r="K3" s="50"/>
      <c r="L3" s="50"/>
    </row>
    <row r="4" spans="1:18" ht="12" customHeight="1" x14ac:dyDescent="0.2">
      <c r="A4" s="54"/>
      <c r="B4" s="596" t="s">
        <v>490</v>
      </c>
      <c r="C4" s="596"/>
      <c r="D4" s="596"/>
      <c r="E4" s="596"/>
      <c r="F4" s="596"/>
      <c r="G4" s="292"/>
      <c r="H4" s="50"/>
      <c r="I4" s="50"/>
      <c r="J4" s="50"/>
      <c r="K4" s="50"/>
      <c r="L4" s="50"/>
    </row>
    <row r="5" spans="1:18" ht="12.75" customHeight="1" x14ac:dyDescent="0.2">
      <c r="A5" s="54"/>
      <c r="B5" s="597" t="s">
        <v>402</v>
      </c>
      <c r="C5" s="597"/>
      <c r="D5" s="597"/>
      <c r="E5" s="597"/>
      <c r="F5" s="597"/>
      <c r="G5" s="292"/>
      <c r="H5" s="50"/>
      <c r="I5" s="50"/>
      <c r="J5" s="50"/>
      <c r="K5" s="50"/>
      <c r="L5" s="50"/>
    </row>
    <row r="6" spans="1:18" ht="12.75" customHeight="1" x14ac:dyDescent="0.2">
      <c r="A6" s="54"/>
      <c r="B6" s="611" t="s">
        <v>403</v>
      </c>
      <c r="C6" s="611"/>
      <c r="D6" s="611"/>
      <c r="E6" s="611"/>
      <c r="F6" s="611"/>
      <c r="G6" s="292"/>
      <c r="H6" s="50"/>
      <c r="I6" s="50"/>
      <c r="J6" s="50"/>
      <c r="K6" s="50"/>
      <c r="L6" s="50"/>
    </row>
    <row r="7" spans="1:18" ht="12.75" customHeight="1" x14ac:dyDescent="0.2">
      <c r="A7" s="54"/>
      <c r="B7" s="54"/>
      <c r="C7" s="52"/>
      <c r="D7" s="52"/>
      <c r="E7" s="52"/>
      <c r="F7" s="54"/>
      <c r="G7" s="292"/>
      <c r="H7" s="50"/>
      <c r="I7" s="50"/>
      <c r="J7" s="50"/>
      <c r="K7" s="50"/>
      <c r="L7" s="50"/>
    </row>
    <row r="8" spans="1:18" ht="107.25" customHeight="1" x14ac:dyDescent="0.2">
      <c r="A8" s="598" t="s">
        <v>33</v>
      </c>
      <c r="B8" s="599"/>
      <c r="C8" s="599"/>
      <c r="D8" s="598" t="s">
        <v>34</v>
      </c>
      <c r="E8" s="599"/>
      <c r="F8" s="599"/>
      <c r="G8" s="599"/>
      <c r="H8" s="50"/>
      <c r="I8" s="50"/>
      <c r="J8" s="50"/>
      <c r="K8" s="50"/>
      <c r="L8" s="50"/>
    </row>
    <row r="9" spans="1:18" ht="12.75" x14ac:dyDescent="0.2">
      <c r="A9" s="56"/>
      <c r="B9" s="56"/>
      <c r="C9" s="57"/>
      <c r="D9" s="610"/>
      <c r="E9" s="610"/>
      <c r="F9" s="610"/>
      <c r="G9" s="610"/>
      <c r="H9" s="50"/>
      <c r="I9" s="50"/>
      <c r="J9" s="50"/>
      <c r="K9" s="50"/>
      <c r="L9" s="50"/>
    </row>
    <row r="10" spans="1:18" ht="12.75" x14ac:dyDescent="0.2">
      <c r="A10" s="591" t="s">
        <v>234</v>
      </c>
      <c r="B10" s="591"/>
      <c r="C10" s="591"/>
      <c r="D10" s="591" t="s">
        <v>232</v>
      </c>
      <c r="E10" s="591"/>
      <c r="F10" s="591"/>
      <c r="G10" s="591"/>
      <c r="H10" s="50"/>
      <c r="I10" s="50"/>
      <c r="J10" s="50"/>
      <c r="K10" s="50"/>
      <c r="L10" s="50"/>
    </row>
    <row r="11" spans="1:18" s="112" customFormat="1" ht="12.75" x14ac:dyDescent="0.2">
      <c r="A11" s="566" t="s">
        <v>398</v>
      </c>
      <c r="B11" s="567"/>
      <c r="C11" s="567"/>
      <c r="D11" s="582" t="s">
        <v>235</v>
      </c>
      <c r="E11" s="592"/>
      <c r="F11" s="592"/>
      <c r="G11" s="592"/>
      <c r="H11" s="566"/>
      <c r="I11" s="567"/>
      <c r="J11" s="567"/>
      <c r="K11" s="580"/>
      <c r="L11" s="581"/>
      <c r="M11" s="581"/>
      <c r="N11" s="581"/>
      <c r="O11" s="581"/>
      <c r="P11" s="581"/>
      <c r="Q11" s="581"/>
      <c r="R11" s="581"/>
    </row>
    <row r="12" spans="1:18" s="112" customFormat="1" ht="12.75" x14ac:dyDescent="0.2">
      <c r="A12" s="566" t="s">
        <v>399</v>
      </c>
      <c r="B12" s="566"/>
      <c r="C12" s="566"/>
      <c r="D12" s="582" t="s">
        <v>400</v>
      </c>
      <c r="E12" s="582"/>
      <c r="F12" s="582"/>
      <c r="G12" s="582"/>
      <c r="H12" s="115"/>
      <c r="I12" s="116"/>
      <c r="J12" s="116"/>
      <c r="K12" s="117"/>
      <c r="L12" s="118"/>
      <c r="M12" s="118"/>
      <c r="N12" s="118"/>
      <c r="O12" s="118"/>
      <c r="P12" s="118"/>
      <c r="Q12" s="118"/>
      <c r="R12" s="118"/>
    </row>
    <row r="13" spans="1:18" s="112" customFormat="1" ht="12.75" x14ac:dyDescent="0.2">
      <c r="A13" s="566" t="s">
        <v>397</v>
      </c>
      <c r="B13" s="567"/>
      <c r="C13" s="567"/>
      <c r="D13" s="603" t="s">
        <v>401</v>
      </c>
      <c r="E13" s="603"/>
      <c r="F13" s="603"/>
      <c r="G13" s="603"/>
      <c r="H13" s="566"/>
      <c r="I13" s="567"/>
      <c r="J13" s="567"/>
      <c r="K13" s="580"/>
      <c r="L13" s="581"/>
      <c r="M13" s="581"/>
      <c r="N13" s="581"/>
      <c r="O13" s="581"/>
      <c r="P13" s="581"/>
      <c r="Q13" s="581"/>
      <c r="R13" s="581"/>
    </row>
    <row r="14" spans="1:18" ht="12.75" customHeight="1" x14ac:dyDescent="0.2">
      <c r="A14" s="52"/>
      <c r="B14" s="52"/>
      <c r="C14" s="53"/>
      <c r="D14" s="53"/>
      <c r="E14" s="53"/>
      <c r="F14" s="53"/>
      <c r="G14" s="291"/>
      <c r="H14" s="50"/>
      <c r="I14" s="50"/>
      <c r="J14" s="50"/>
      <c r="K14" s="50"/>
      <c r="L14" s="50"/>
    </row>
    <row r="15" spans="1:18" ht="12.75" customHeight="1" x14ac:dyDescent="0.2">
      <c r="A15" s="52"/>
      <c r="B15" s="52"/>
      <c r="C15" s="53"/>
      <c r="D15" s="53"/>
      <c r="E15" s="53"/>
      <c r="F15" s="53"/>
      <c r="G15" s="291"/>
      <c r="H15" s="50"/>
      <c r="I15" s="50"/>
      <c r="J15" s="50"/>
      <c r="K15" s="50"/>
      <c r="L15" s="50"/>
    </row>
    <row r="16" spans="1:18" ht="27" customHeight="1" x14ac:dyDescent="0.2">
      <c r="A16" s="566" t="s">
        <v>350</v>
      </c>
      <c r="B16" s="607"/>
      <c r="C16" s="607"/>
      <c r="D16" s="609" t="s">
        <v>351</v>
      </c>
      <c r="E16" s="609"/>
      <c r="F16" s="609"/>
      <c r="G16" s="609"/>
      <c r="H16" s="113"/>
      <c r="I16" s="113"/>
      <c r="J16" s="113"/>
      <c r="K16" s="113"/>
      <c r="L16" s="113"/>
    </row>
    <row r="17" spans="1:12" ht="12" customHeight="1" x14ac:dyDescent="0.2">
      <c r="A17" s="57"/>
      <c r="B17" s="57"/>
      <c r="C17" s="54"/>
      <c r="D17" s="121"/>
      <c r="E17" s="121"/>
      <c r="F17" s="121"/>
      <c r="G17" s="307"/>
      <c r="H17" s="50"/>
      <c r="I17" s="50"/>
      <c r="J17" s="50"/>
      <c r="K17" s="50"/>
      <c r="L17" s="50"/>
    </row>
    <row r="18" spans="1:12" ht="42.75" customHeight="1" x14ac:dyDescent="0.2">
      <c r="A18" s="60" t="s">
        <v>9</v>
      </c>
      <c r="B18" s="60" t="s">
        <v>35</v>
      </c>
      <c r="C18" s="60" t="s">
        <v>36</v>
      </c>
      <c r="D18" s="60" t="s">
        <v>37</v>
      </c>
      <c r="E18" s="60" t="s">
        <v>38</v>
      </c>
      <c r="F18" s="60" t="s">
        <v>39</v>
      </c>
      <c r="G18" s="295" t="s">
        <v>40</v>
      </c>
      <c r="H18" s="50"/>
      <c r="I18" s="50"/>
      <c r="J18" s="50"/>
      <c r="K18" s="50"/>
      <c r="L18" s="50"/>
    </row>
    <row r="19" spans="1:12" ht="12.75" customHeight="1" x14ac:dyDescent="0.2">
      <c r="A19" s="61">
        <v>1</v>
      </c>
      <c r="B19" s="62">
        <v>2</v>
      </c>
      <c r="C19" s="62">
        <v>3</v>
      </c>
      <c r="D19" s="62">
        <v>4</v>
      </c>
      <c r="E19" s="62">
        <v>5</v>
      </c>
      <c r="F19" s="62">
        <v>6</v>
      </c>
      <c r="G19" s="296">
        <v>7</v>
      </c>
      <c r="H19" s="50"/>
      <c r="I19" s="50"/>
      <c r="J19" s="50"/>
      <c r="K19" s="50"/>
      <c r="L19" s="50"/>
    </row>
    <row r="20" spans="1:12" ht="12.75" customHeight="1" x14ac:dyDescent="0.2">
      <c r="A20" s="63" t="s">
        <v>4</v>
      </c>
      <c r="B20" s="64" t="s">
        <v>41</v>
      </c>
      <c r="C20" s="64"/>
      <c r="D20" s="64"/>
      <c r="E20" s="64" t="s">
        <v>42</v>
      </c>
      <c r="F20" s="64"/>
      <c r="G20" s="106"/>
      <c r="H20" s="50"/>
      <c r="I20" s="50"/>
      <c r="J20" s="50"/>
      <c r="K20" s="50"/>
      <c r="L20" s="50"/>
    </row>
    <row r="21" spans="1:12" ht="76.5" x14ac:dyDescent="0.2">
      <c r="A21" s="87" t="s">
        <v>43</v>
      </c>
      <c r="B21" s="88" t="s">
        <v>280</v>
      </c>
      <c r="C21" s="89" t="s">
        <v>44</v>
      </c>
      <c r="D21" s="89">
        <v>2.15</v>
      </c>
      <c r="E21" s="69" t="s">
        <v>485</v>
      </c>
      <c r="F21" s="90" t="s">
        <v>312</v>
      </c>
      <c r="G21" s="308">
        <f>ROUND(4824*D21*1.55*1.2,2)</f>
        <v>19291.18</v>
      </c>
      <c r="H21" s="50"/>
      <c r="I21" s="71"/>
      <c r="J21" s="72"/>
      <c r="K21" s="50"/>
      <c r="L21" s="50"/>
    </row>
    <row r="22" spans="1:12" ht="12.75" customHeight="1" x14ac:dyDescent="0.2">
      <c r="A22" s="91"/>
      <c r="B22" s="83" t="s">
        <v>45</v>
      </c>
      <c r="C22" s="92"/>
      <c r="D22" s="79"/>
      <c r="E22" s="80"/>
      <c r="F22" s="81"/>
      <c r="G22" s="299"/>
      <c r="H22" s="50"/>
      <c r="I22" s="71"/>
      <c r="J22" s="72"/>
      <c r="K22" s="50"/>
      <c r="L22" s="50"/>
    </row>
    <row r="23" spans="1:12" ht="51" x14ac:dyDescent="0.2">
      <c r="A23" s="77"/>
      <c r="B23" s="50"/>
      <c r="C23" s="78"/>
      <c r="D23" s="93"/>
      <c r="E23" s="80" t="s">
        <v>46</v>
      </c>
      <c r="F23" s="78"/>
      <c r="G23" s="300"/>
      <c r="H23" s="50"/>
      <c r="I23" s="71"/>
      <c r="J23" s="72"/>
      <c r="K23" s="50"/>
      <c r="L23" s="50"/>
    </row>
    <row r="24" spans="1:12" ht="63.75" x14ac:dyDescent="0.2">
      <c r="A24" s="77"/>
      <c r="B24" s="50"/>
      <c r="C24" s="78"/>
      <c r="D24" s="93"/>
      <c r="E24" s="80" t="s">
        <v>314</v>
      </c>
      <c r="F24" s="78"/>
      <c r="G24" s="300"/>
      <c r="H24" s="50"/>
      <c r="I24" s="71"/>
      <c r="J24" s="72"/>
      <c r="K24" s="50"/>
      <c r="L24" s="50"/>
    </row>
    <row r="25" spans="1:12" ht="89.25" x14ac:dyDescent="0.2">
      <c r="A25" s="87" t="s">
        <v>47</v>
      </c>
      <c r="B25" s="88" t="s">
        <v>313</v>
      </c>
      <c r="C25" s="89" t="s">
        <v>44</v>
      </c>
      <c r="D25" s="89">
        <v>2.15</v>
      </c>
      <c r="E25" s="122" t="s">
        <v>485</v>
      </c>
      <c r="F25" s="90" t="s">
        <v>317</v>
      </c>
      <c r="G25" s="308">
        <f>ROUND(4824*D25*0.7,2)</f>
        <v>7260.12</v>
      </c>
      <c r="H25" s="50"/>
      <c r="I25" s="71"/>
      <c r="J25" s="72"/>
      <c r="K25" s="50"/>
      <c r="L25" s="50"/>
    </row>
    <row r="26" spans="1:12" ht="12.75" customHeight="1" x14ac:dyDescent="0.2">
      <c r="A26" s="91"/>
      <c r="B26" s="83" t="s">
        <v>45</v>
      </c>
      <c r="C26" s="92"/>
      <c r="D26" s="79"/>
      <c r="E26" s="80"/>
      <c r="F26" s="81"/>
      <c r="G26" s="299"/>
      <c r="H26" s="50"/>
      <c r="I26" s="71"/>
      <c r="J26" s="72"/>
      <c r="K26" s="50"/>
      <c r="L26" s="50"/>
    </row>
    <row r="27" spans="1:12" ht="51" x14ac:dyDescent="0.2">
      <c r="A27" s="73"/>
      <c r="B27" s="123"/>
      <c r="C27" s="97"/>
      <c r="D27" s="124"/>
      <c r="E27" s="76" t="s">
        <v>316</v>
      </c>
      <c r="F27" s="97"/>
      <c r="G27" s="105"/>
      <c r="H27" s="50"/>
      <c r="I27" s="71"/>
      <c r="J27" s="72"/>
      <c r="K27" s="50"/>
      <c r="L27" s="50"/>
    </row>
    <row r="28" spans="1:12" ht="63.75" x14ac:dyDescent="0.2">
      <c r="A28" s="63" t="s">
        <v>50</v>
      </c>
      <c r="B28" s="125" t="s">
        <v>282</v>
      </c>
      <c r="C28" s="104" t="s">
        <v>283</v>
      </c>
      <c r="D28" s="60">
        <v>48</v>
      </c>
      <c r="E28" s="104" t="s">
        <v>284</v>
      </c>
      <c r="F28" s="104" t="s">
        <v>285</v>
      </c>
      <c r="G28" s="107">
        <f>ROUND(36*D28,2)</f>
        <v>1728</v>
      </c>
      <c r="H28" s="50"/>
      <c r="I28" s="71"/>
      <c r="J28" s="72"/>
      <c r="K28" s="50"/>
      <c r="L28" s="50"/>
    </row>
    <row r="29" spans="1:12" ht="63.75" x14ac:dyDescent="0.2">
      <c r="A29" s="63" t="s">
        <v>53</v>
      </c>
      <c r="B29" s="125" t="s">
        <v>286</v>
      </c>
      <c r="C29" s="104" t="s">
        <v>283</v>
      </c>
      <c r="D29" s="60">
        <v>48</v>
      </c>
      <c r="E29" s="104" t="s">
        <v>287</v>
      </c>
      <c r="F29" s="104" t="s">
        <v>288</v>
      </c>
      <c r="G29" s="107">
        <f>ROUND(49*D29,2)</f>
        <v>2352</v>
      </c>
      <c r="H29" s="50"/>
      <c r="I29" s="71"/>
      <c r="J29" s="72"/>
      <c r="K29" s="50"/>
      <c r="L29" s="50"/>
    </row>
    <row r="30" spans="1:12" ht="87" customHeight="1" x14ac:dyDescent="0.2">
      <c r="A30" s="77" t="s">
        <v>55</v>
      </c>
      <c r="B30" s="126" t="s">
        <v>309</v>
      </c>
      <c r="C30" s="80" t="s">
        <v>289</v>
      </c>
      <c r="D30" s="92">
        <v>8</v>
      </c>
      <c r="E30" s="80" t="s">
        <v>310</v>
      </c>
      <c r="F30" s="80" t="s">
        <v>311</v>
      </c>
      <c r="G30" s="301">
        <f>ROUND(141*D30,2)</f>
        <v>1128</v>
      </c>
      <c r="H30" s="50"/>
      <c r="I30" s="71"/>
      <c r="J30" s="72"/>
      <c r="K30" s="50"/>
      <c r="L30" s="50"/>
    </row>
    <row r="31" spans="1:12" ht="12.75" customHeight="1" x14ac:dyDescent="0.2">
      <c r="A31" s="63" t="s">
        <v>304</v>
      </c>
      <c r="B31" s="64" t="s">
        <v>54</v>
      </c>
      <c r="C31" s="64"/>
      <c r="D31" s="94"/>
      <c r="E31" s="64"/>
      <c r="F31" s="64" t="s">
        <v>486</v>
      </c>
      <c r="G31" s="106">
        <f>SUM(G21:G30)</f>
        <v>31759.3</v>
      </c>
      <c r="H31" s="50"/>
      <c r="I31" s="71"/>
      <c r="J31" s="72"/>
      <c r="K31" s="50"/>
      <c r="L31" s="50"/>
    </row>
    <row r="32" spans="1:12" ht="12.75" customHeight="1" x14ac:dyDescent="0.2">
      <c r="A32" s="77" t="s">
        <v>318</v>
      </c>
      <c r="B32" s="64" t="s">
        <v>56</v>
      </c>
      <c r="C32" s="64"/>
      <c r="D32" s="60"/>
      <c r="E32" s="64"/>
      <c r="F32" s="64" t="s">
        <v>57</v>
      </c>
      <c r="G32" s="106">
        <f>ROUND(($G$31),2)</f>
        <v>31759.3</v>
      </c>
      <c r="H32" s="50"/>
      <c r="I32" s="71"/>
      <c r="J32" s="72"/>
      <c r="K32" s="50"/>
      <c r="L32" s="50"/>
    </row>
    <row r="33" spans="1:12" ht="12.75" customHeight="1" x14ac:dyDescent="0.2">
      <c r="A33" s="63" t="s">
        <v>5</v>
      </c>
      <c r="B33" s="64" t="s">
        <v>41</v>
      </c>
      <c r="C33" s="64"/>
      <c r="D33" s="94"/>
      <c r="E33" s="64" t="s">
        <v>58</v>
      </c>
      <c r="F33" s="64"/>
      <c r="G33" s="106"/>
      <c r="H33" s="50"/>
      <c r="I33" s="71"/>
      <c r="J33" s="72"/>
      <c r="K33" s="50"/>
      <c r="L33" s="50"/>
    </row>
    <row r="34" spans="1:12" ht="76.5" x14ac:dyDescent="0.2">
      <c r="A34" s="66" t="s">
        <v>59</v>
      </c>
      <c r="B34" s="88" t="s">
        <v>280</v>
      </c>
      <c r="C34" s="68" t="s">
        <v>44</v>
      </c>
      <c r="D34" s="68">
        <f>D21</f>
        <v>2.15</v>
      </c>
      <c r="E34" s="69" t="s">
        <v>281</v>
      </c>
      <c r="F34" s="69" t="s">
        <v>319</v>
      </c>
      <c r="G34" s="70">
        <f>ROUND(1559*D34*1.55*1.2 * 1.1,2)</f>
        <v>6857.89</v>
      </c>
      <c r="H34" s="50"/>
      <c r="I34" s="71"/>
      <c r="J34" s="72"/>
      <c r="K34" s="50"/>
      <c r="L34" s="72"/>
    </row>
    <row r="35" spans="1:12" ht="12.75" customHeight="1" x14ac:dyDescent="0.2">
      <c r="A35" s="82" t="s">
        <v>14</v>
      </c>
      <c r="B35" s="83" t="s">
        <v>45</v>
      </c>
      <c r="C35" s="83"/>
      <c r="D35" s="85"/>
      <c r="E35" s="83"/>
      <c r="F35" s="84"/>
      <c r="G35" s="302"/>
      <c r="H35" s="50"/>
      <c r="I35" s="71"/>
      <c r="J35" s="72"/>
      <c r="K35" s="50"/>
      <c r="L35" s="50"/>
    </row>
    <row r="36" spans="1:12" ht="63.75" x14ac:dyDescent="0.2">
      <c r="A36" s="77" t="s">
        <v>14</v>
      </c>
      <c r="B36" s="80"/>
      <c r="C36" s="98"/>
      <c r="D36" s="92"/>
      <c r="E36" s="80" t="s">
        <v>60</v>
      </c>
      <c r="F36" s="99"/>
      <c r="G36" s="303"/>
      <c r="H36" s="50"/>
      <c r="I36" s="71"/>
      <c r="J36" s="72"/>
      <c r="K36" s="50"/>
      <c r="L36" s="50"/>
    </row>
    <row r="37" spans="1:12" ht="65.45" customHeight="1" x14ac:dyDescent="0.2">
      <c r="A37" s="77"/>
      <c r="B37" s="99"/>
      <c r="C37" s="80"/>
      <c r="D37" s="92"/>
      <c r="E37" s="80" t="s">
        <v>61</v>
      </c>
      <c r="F37" s="99"/>
      <c r="G37" s="303"/>
      <c r="H37" s="50"/>
      <c r="I37" s="71"/>
      <c r="J37" s="72"/>
      <c r="K37" s="50"/>
      <c r="L37" s="50"/>
    </row>
    <row r="38" spans="1:12" ht="62.45" customHeight="1" x14ac:dyDescent="0.2">
      <c r="A38" s="73"/>
      <c r="B38" s="100"/>
      <c r="C38" s="76"/>
      <c r="D38" s="75"/>
      <c r="E38" s="76" t="s">
        <v>62</v>
      </c>
      <c r="F38" s="100"/>
      <c r="G38" s="304"/>
      <c r="H38" s="50"/>
      <c r="I38" s="71"/>
      <c r="J38" s="72"/>
      <c r="K38" s="50"/>
      <c r="L38" s="50"/>
    </row>
    <row r="39" spans="1:12" ht="89.25" x14ac:dyDescent="0.2">
      <c r="A39" s="77" t="s">
        <v>63</v>
      </c>
      <c r="B39" s="127" t="str">
        <f>B25</f>
        <v>Инженерно-топографические планы. Масштаб съемки 1:500. Высота сечения рельефа 0,5 м. Категория сложности III. Вид территории: застроенная. Подеревная съемка</v>
      </c>
      <c r="C39" s="92" t="s">
        <v>44</v>
      </c>
      <c r="D39" s="92">
        <f>D25</f>
        <v>2.15</v>
      </c>
      <c r="E39" s="80" t="s">
        <v>281</v>
      </c>
      <c r="F39" s="80" t="s">
        <v>320</v>
      </c>
      <c r="G39" s="301">
        <f>ROUND(1559*D39*0.7,2)</f>
        <v>2346.3000000000002</v>
      </c>
      <c r="H39" s="50"/>
      <c r="I39" s="71"/>
      <c r="J39" s="72"/>
      <c r="K39" s="50"/>
      <c r="L39" s="72"/>
    </row>
    <row r="40" spans="1:12" ht="12.75" customHeight="1" x14ac:dyDescent="0.2">
      <c r="A40" s="82" t="s">
        <v>14</v>
      </c>
      <c r="B40" s="83" t="s">
        <v>45</v>
      </c>
      <c r="C40" s="83"/>
      <c r="D40" s="85"/>
      <c r="E40" s="83"/>
      <c r="F40" s="84"/>
      <c r="G40" s="302"/>
      <c r="H40" s="50"/>
      <c r="I40" s="71"/>
      <c r="J40" s="72"/>
      <c r="K40" s="50"/>
      <c r="L40" s="50"/>
    </row>
    <row r="41" spans="1:12" ht="65.45" customHeight="1" x14ac:dyDescent="0.2">
      <c r="A41" s="77" t="s">
        <v>14</v>
      </c>
      <c r="B41" s="80"/>
      <c r="C41" s="98"/>
      <c r="D41" s="92"/>
      <c r="E41" s="80" t="str">
        <f>E27</f>
        <v>K1 = 0,7 - подеревная съемка,                            СБЦ на инж.из. для стр-ва. Инженерно-геодезические изыскания, 2004 г., п.5</v>
      </c>
      <c r="F41" s="99"/>
      <c r="G41" s="303"/>
      <c r="H41" s="50"/>
      <c r="I41" s="71"/>
      <c r="J41" s="72"/>
      <c r="K41" s="50"/>
      <c r="L41" s="50"/>
    </row>
    <row r="42" spans="1:12" ht="77.45" customHeight="1" x14ac:dyDescent="0.2">
      <c r="A42" s="66" t="s">
        <v>65</v>
      </c>
      <c r="B42" s="424" t="s">
        <v>290</v>
      </c>
      <c r="C42" s="425">
        <v>1</v>
      </c>
      <c r="D42" s="425">
        <v>12</v>
      </c>
      <c r="E42" s="69" t="s">
        <v>458</v>
      </c>
      <c r="F42" s="69" t="s">
        <v>291</v>
      </c>
      <c r="G42" s="70">
        <f>ROUND(480*12,2)</f>
        <v>5760</v>
      </c>
      <c r="H42" s="50"/>
      <c r="I42" s="71"/>
      <c r="J42" s="72"/>
      <c r="K42" s="50"/>
      <c r="L42" s="50"/>
    </row>
    <row r="43" spans="1:12" ht="127.5" x14ac:dyDescent="0.2">
      <c r="A43" s="95" t="s">
        <v>66</v>
      </c>
      <c r="B43" s="423" t="s">
        <v>70</v>
      </c>
      <c r="C43" s="67"/>
      <c r="D43" s="96"/>
      <c r="E43" s="426" t="s">
        <v>71</v>
      </c>
      <c r="F43" s="69" t="s">
        <v>534</v>
      </c>
      <c r="G43" s="421">
        <f>(G42+G28+G29+G30)*4.3%*1.2</f>
        <v>565.94879999999989</v>
      </c>
      <c r="H43" s="50"/>
      <c r="I43" s="71"/>
      <c r="J43" s="72"/>
      <c r="K43" s="50"/>
      <c r="L43" s="50"/>
    </row>
    <row r="44" spans="1:12" s="410" customFormat="1" ht="12.75" x14ac:dyDescent="0.2">
      <c r="A44" s="401"/>
      <c r="B44" s="402" t="s">
        <v>45</v>
      </c>
      <c r="C44" s="403"/>
      <c r="D44" s="402"/>
      <c r="E44" s="418"/>
      <c r="F44" s="405"/>
      <c r="G44" s="406"/>
      <c r="H44" s="407"/>
      <c r="I44" s="408"/>
      <c r="J44" s="409"/>
      <c r="K44" s="407"/>
      <c r="L44" s="407"/>
    </row>
    <row r="45" spans="1:12" s="410" customFormat="1" ht="51" x14ac:dyDescent="0.2">
      <c r="A45" s="401"/>
      <c r="B45" s="417"/>
      <c r="C45" s="403"/>
      <c r="D45" s="402"/>
      <c r="E45" s="419" t="s">
        <v>64</v>
      </c>
      <c r="F45" s="405"/>
      <c r="G45" s="406"/>
      <c r="H45" s="407"/>
      <c r="I45" s="408"/>
      <c r="J45" s="409"/>
      <c r="K45" s="407"/>
      <c r="L45" s="407"/>
    </row>
    <row r="46" spans="1:12" ht="140.25" x14ac:dyDescent="0.2">
      <c r="A46" s="95" t="s">
        <v>69</v>
      </c>
      <c r="B46" s="423" t="s">
        <v>67</v>
      </c>
      <c r="C46" s="67"/>
      <c r="D46" s="96"/>
      <c r="E46" s="420" t="s">
        <v>68</v>
      </c>
      <c r="F46" s="69" t="s">
        <v>535</v>
      </c>
      <c r="G46" s="421">
        <f>(G42+G28+G29+G30)*10%*1.2</f>
        <v>1316.1599999999999</v>
      </c>
      <c r="H46" s="50"/>
      <c r="I46" s="71"/>
      <c r="J46" s="72"/>
      <c r="K46" s="50"/>
      <c r="L46" s="50"/>
    </row>
    <row r="47" spans="1:12" s="410" customFormat="1" ht="12.75" x14ac:dyDescent="0.2">
      <c r="A47" s="401"/>
      <c r="B47" s="402" t="s">
        <v>45</v>
      </c>
      <c r="C47" s="403"/>
      <c r="D47" s="402"/>
      <c r="E47" s="418"/>
      <c r="F47" s="405"/>
      <c r="G47" s="406"/>
      <c r="H47" s="407"/>
      <c r="I47" s="408"/>
      <c r="J47" s="409"/>
      <c r="K47" s="407"/>
      <c r="L47" s="407"/>
    </row>
    <row r="48" spans="1:12" s="410" customFormat="1" ht="51" x14ac:dyDescent="0.2">
      <c r="A48" s="411"/>
      <c r="B48" s="412"/>
      <c r="C48" s="413"/>
      <c r="D48" s="414"/>
      <c r="E48" s="422" t="s">
        <v>64</v>
      </c>
      <c r="F48" s="415"/>
      <c r="G48" s="416"/>
      <c r="H48" s="407"/>
      <c r="I48" s="408"/>
      <c r="J48" s="409"/>
      <c r="K48" s="407"/>
      <c r="L48" s="407"/>
    </row>
    <row r="49" spans="1:12" ht="30" customHeight="1" x14ac:dyDescent="0.2">
      <c r="A49" s="73" t="s">
        <v>72</v>
      </c>
      <c r="B49" s="97" t="s">
        <v>54</v>
      </c>
      <c r="C49" s="97"/>
      <c r="D49" s="97"/>
      <c r="E49" s="97"/>
      <c r="F49" s="97" t="s">
        <v>488</v>
      </c>
      <c r="G49" s="105">
        <f>SUM(G34:G46)</f>
        <v>16846.2988</v>
      </c>
      <c r="H49" s="50"/>
      <c r="I49" s="71"/>
      <c r="J49" s="72"/>
      <c r="K49" s="50"/>
      <c r="L49" s="50"/>
    </row>
    <row r="50" spans="1:12" ht="12.75" customHeight="1" x14ac:dyDescent="0.2">
      <c r="A50" s="63" t="s">
        <v>73</v>
      </c>
      <c r="B50" s="64" t="s">
        <v>56</v>
      </c>
      <c r="C50" s="64"/>
      <c r="D50" s="64"/>
      <c r="E50" s="64"/>
      <c r="F50" s="64" t="s">
        <v>321</v>
      </c>
      <c r="G50" s="106">
        <f>ROUND(($G$49),2)</f>
        <v>16846.3</v>
      </c>
      <c r="H50" s="50"/>
      <c r="I50" s="71"/>
      <c r="J50" s="72"/>
      <c r="K50" s="50"/>
      <c r="L50" s="50"/>
    </row>
    <row r="51" spans="1:12" ht="31.9" customHeight="1" x14ac:dyDescent="0.2">
      <c r="A51" s="63" t="s">
        <v>6</v>
      </c>
      <c r="B51" s="64" t="s">
        <v>76</v>
      </c>
      <c r="C51" s="64"/>
      <c r="D51" s="64"/>
      <c r="E51" s="64"/>
      <c r="F51" s="64" t="s">
        <v>487</v>
      </c>
      <c r="G51" s="106">
        <f>G32+G50</f>
        <v>48605.599999999999</v>
      </c>
      <c r="H51" s="50"/>
      <c r="I51" s="71"/>
      <c r="J51" s="72"/>
      <c r="K51" s="50"/>
      <c r="L51" s="50"/>
    </row>
    <row r="52" spans="1:12" ht="12.75" x14ac:dyDescent="0.2">
      <c r="A52" s="604" t="s">
        <v>146</v>
      </c>
      <c r="B52" s="605"/>
      <c r="C52" s="605"/>
      <c r="D52" s="605"/>
      <c r="E52" s="605"/>
      <c r="F52" s="605"/>
      <c r="G52" s="606"/>
      <c r="H52" s="50"/>
      <c r="I52" s="71"/>
      <c r="J52" s="72"/>
      <c r="K52" s="50"/>
      <c r="L52" s="50"/>
    </row>
    <row r="53" spans="1:12" ht="84" customHeight="1" x14ac:dyDescent="0.2">
      <c r="A53" s="63" t="s">
        <v>10</v>
      </c>
      <c r="B53" s="104" t="s">
        <v>77</v>
      </c>
      <c r="C53" s="104"/>
      <c r="D53" s="104"/>
      <c r="E53" s="104" t="s">
        <v>459</v>
      </c>
      <c r="F53" s="104" t="s">
        <v>322</v>
      </c>
      <c r="G53" s="107">
        <f>ROUND(($G$31)*11.25/100*1,2)</f>
        <v>3572.92</v>
      </c>
      <c r="H53" s="279">
        <f>G32</f>
        <v>31759.3</v>
      </c>
      <c r="I53" s="71"/>
      <c r="J53" s="72"/>
      <c r="K53" s="50"/>
      <c r="L53" s="50"/>
    </row>
    <row r="54" spans="1:12" ht="94.9" customHeight="1" x14ac:dyDescent="0.2">
      <c r="A54" s="63" t="s">
        <v>11</v>
      </c>
      <c r="B54" s="104" t="s">
        <v>347</v>
      </c>
      <c r="C54" s="104"/>
      <c r="D54" s="104"/>
      <c r="E54" s="104" t="s">
        <v>460</v>
      </c>
      <c r="F54" s="104" t="s">
        <v>323</v>
      </c>
      <c r="G54" s="107">
        <f>ROUND(($G$32+$G$53)*36.4/100*1,2)</f>
        <v>12860.93</v>
      </c>
      <c r="H54" s="50"/>
      <c r="I54" s="71"/>
      <c r="J54" s="72"/>
      <c r="K54" s="50"/>
      <c r="L54" s="50"/>
    </row>
    <row r="55" spans="1:12" ht="68.45" customHeight="1" x14ac:dyDescent="0.2">
      <c r="A55" s="63" t="s">
        <v>12</v>
      </c>
      <c r="B55" s="104" t="s">
        <v>307</v>
      </c>
      <c r="C55" s="104"/>
      <c r="D55" s="104"/>
      <c r="E55" s="104" t="s">
        <v>78</v>
      </c>
      <c r="F55" s="104" t="s">
        <v>542</v>
      </c>
      <c r="G55" s="107">
        <f>ROUND(($G$32+$G$53)*6/100*2,2)</f>
        <v>4239.87</v>
      </c>
      <c r="H55" s="72">
        <f>G53+G32</f>
        <v>35332.22</v>
      </c>
      <c r="I55" s="71"/>
      <c r="J55" s="72"/>
      <c r="K55" s="50"/>
      <c r="L55" s="50"/>
    </row>
    <row r="56" spans="1:12" ht="12.75" customHeight="1" x14ac:dyDescent="0.2">
      <c r="A56" s="63" t="s">
        <v>25</v>
      </c>
      <c r="B56" s="104" t="s">
        <v>456</v>
      </c>
      <c r="C56" s="104"/>
      <c r="D56" s="104"/>
      <c r="E56" s="104"/>
      <c r="F56" s="104" t="s">
        <v>461</v>
      </c>
      <c r="G56" s="107">
        <f>ROUND((SUM($G$53:$G$55)),2)</f>
        <v>20673.72</v>
      </c>
      <c r="H56" s="50"/>
      <c r="I56" s="71"/>
      <c r="J56" s="72"/>
      <c r="K56" s="50"/>
      <c r="L56" s="50"/>
    </row>
    <row r="57" spans="1:12" ht="29.45" customHeight="1" x14ac:dyDescent="0.2">
      <c r="A57" s="63" t="s">
        <v>26</v>
      </c>
      <c r="B57" s="104" t="s">
        <v>79</v>
      </c>
      <c r="C57" s="104"/>
      <c r="D57" s="104"/>
      <c r="E57" s="104"/>
      <c r="F57" s="104" t="s">
        <v>462</v>
      </c>
      <c r="G57" s="107">
        <f>G51+G56</f>
        <v>69279.320000000007</v>
      </c>
      <c r="H57" s="50"/>
      <c r="I57" s="71"/>
      <c r="J57" s="72"/>
      <c r="K57" s="50"/>
      <c r="L57" s="50"/>
    </row>
    <row r="58" spans="1:12" ht="38.25" x14ac:dyDescent="0.2">
      <c r="A58" s="63" t="s">
        <v>27</v>
      </c>
      <c r="B58" s="109" t="s">
        <v>237</v>
      </c>
      <c r="C58" s="104"/>
      <c r="D58" s="104"/>
      <c r="E58" s="109" t="s">
        <v>239</v>
      </c>
      <c r="F58" s="109" t="s">
        <v>238</v>
      </c>
      <c r="G58" s="107">
        <f>G57*5.83</f>
        <v>403898.43560000003</v>
      </c>
      <c r="H58" s="50"/>
      <c r="I58" s="71"/>
      <c r="J58" s="72"/>
      <c r="K58" s="50"/>
      <c r="L58" s="50"/>
    </row>
    <row r="59" spans="1:12" ht="12.75" customHeight="1" x14ac:dyDescent="0.2">
      <c r="A59" s="63" t="s">
        <v>28</v>
      </c>
      <c r="B59" s="64" t="s">
        <v>80</v>
      </c>
      <c r="C59" s="64"/>
      <c r="D59" s="64"/>
      <c r="E59" s="64"/>
      <c r="F59" s="64" t="s">
        <v>308</v>
      </c>
      <c r="G59" s="106">
        <f>G58</f>
        <v>403898.43560000003</v>
      </c>
      <c r="H59" s="50"/>
      <c r="I59" s="71"/>
      <c r="J59" s="72"/>
      <c r="K59" s="50"/>
      <c r="L59" s="50"/>
    </row>
    <row r="60" spans="1:12" ht="12.75" customHeight="1" x14ac:dyDescent="0.2">
      <c r="A60" s="54"/>
      <c r="B60" s="54"/>
      <c r="C60" s="54"/>
      <c r="D60" s="54"/>
      <c r="E60" s="54"/>
      <c r="F60" s="54"/>
      <c r="G60" s="292"/>
      <c r="H60" s="50"/>
      <c r="I60" s="71"/>
      <c r="J60" s="72"/>
      <c r="K60" s="50"/>
      <c r="L60" s="50"/>
    </row>
    <row r="61" spans="1:12" ht="12.75" customHeight="1" x14ac:dyDescent="0.2">
      <c r="A61" s="601"/>
      <c r="B61" s="594"/>
      <c r="C61" s="602"/>
      <c r="D61" s="594"/>
      <c r="E61" s="594"/>
      <c r="F61" s="594"/>
      <c r="G61" s="594"/>
      <c r="H61" s="50"/>
      <c r="I61" s="71"/>
      <c r="J61" s="72"/>
      <c r="K61" s="50"/>
      <c r="L61" s="50"/>
    </row>
    <row r="62" spans="1:12" ht="12.75" customHeight="1" x14ac:dyDescent="0.2">
      <c r="A62" s="110"/>
      <c r="B62" s="110"/>
      <c r="C62" s="110"/>
      <c r="D62" s="110"/>
      <c r="E62" s="110"/>
      <c r="F62" s="110"/>
      <c r="H62" s="50"/>
      <c r="I62" s="71"/>
      <c r="J62" s="72"/>
      <c r="K62" s="50"/>
      <c r="L62" s="50"/>
    </row>
    <row r="63" spans="1:12" ht="79.5" customHeight="1" x14ac:dyDescent="0.2">
      <c r="A63" s="110"/>
      <c r="B63" s="110"/>
      <c r="C63" s="110"/>
      <c r="D63" s="110"/>
      <c r="E63" s="110"/>
      <c r="F63" s="110"/>
      <c r="G63" s="305"/>
      <c r="H63" s="50"/>
      <c r="I63" s="71"/>
      <c r="J63" s="72"/>
      <c r="K63" s="50"/>
      <c r="L63" s="50"/>
    </row>
    <row r="64" spans="1:12" ht="12.75" customHeight="1" x14ac:dyDescent="0.2">
      <c r="A64" s="600"/>
      <c r="B64" s="594"/>
      <c r="C64" s="594"/>
      <c r="D64" s="594"/>
      <c r="E64" s="594"/>
      <c r="F64" s="594"/>
      <c r="G64" s="594"/>
      <c r="H64" s="50"/>
      <c r="I64" s="71"/>
      <c r="J64" s="72"/>
      <c r="K64" s="50"/>
      <c r="L64" s="50"/>
    </row>
    <row r="65" spans="1:12" ht="12.75" customHeight="1" x14ac:dyDescent="0.2">
      <c r="A65" s="600"/>
      <c r="B65" s="594"/>
      <c r="C65" s="594"/>
      <c r="D65" s="594"/>
      <c r="E65" s="594"/>
      <c r="F65" s="594"/>
      <c r="G65" s="594"/>
      <c r="H65" s="50"/>
      <c r="I65" s="71"/>
      <c r="J65" s="72"/>
      <c r="K65" s="50"/>
      <c r="L65" s="72"/>
    </row>
    <row r="66" spans="1:12" ht="12.75" customHeight="1" x14ac:dyDescent="0.2">
      <c r="A66" s="600"/>
      <c r="B66" s="594"/>
      <c r="C66" s="594"/>
      <c r="D66" s="594"/>
      <c r="E66" s="594"/>
      <c r="F66" s="594"/>
      <c r="G66" s="594"/>
      <c r="H66" s="50"/>
      <c r="I66" s="71"/>
      <c r="J66" s="72"/>
      <c r="K66" s="50"/>
      <c r="L66" s="50"/>
    </row>
    <row r="67" spans="1:12" ht="12.75" customHeight="1" x14ac:dyDescent="0.2">
      <c r="A67" s="600"/>
      <c r="B67" s="594"/>
      <c r="C67" s="594"/>
      <c r="D67" s="594"/>
      <c r="E67" s="594"/>
      <c r="F67" s="594"/>
      <c r="G67" s="594"/>
      <c r="H67" s="50"/>
      <c r="I67" s="71"/>
      <c r="J67" s="72"/>
      <c r="K67" s="50"/>
      <c r="L67" s="50"/>
    </row>
    <row r="68" spans="1:12" ht="12.75" customHeight="1" x14ac:dyDescent="0.2">
      <c r="A68" s="600"/>
      <c r="B68" s="594"/>
      <c r="C68" s="594"/>
      <c r="D68" s="594"/>
      <c r="E68" s="594"/>
      <c r="F68" s="594"/>
      <c r="G68" s="594"/>
      <c r="H68" s="50"/>
      <c r="I68" s="71"/>
      <c r="J68" s="72"/>
      <c r="K68" s="50"/>
      <c r="L68" s="50"/>
    </row>
    <row r="69" spans="1:12" ht="12.75" customHeight="1" x14ac:dyDescent="0.2">
      <c r="A69" s="600"/>
      <c r="B69" s="594"/>
      <c r="C69" s="594"/>
      <c r="D69" s="594"/>
      <c r="E69" s="594"/>
      <c r="F69" s="594"/>
      <c r="G69" s="594"/>
      <c r="H69" s="50"/>
      <c r="I69" s="71"/>
      <c r="J69" s="72"/>
      <c r="K69" s="50"/>
      <c r="L69" s="50"/>
    </row>
    <row r="70" spans="1:12" ht="12.75" customHeight="1" x14ac:dyDescent="0.2">
      <c r="A70" s="600"/>
      <c r="B70" s="594"/>
      <c r="C70" s="594"/>
      <c r="D70" s="594"/>
      <c r="E70" s="594"/>
      <c r="F70" s="594"/>
      <c r="G70" s="594"/>
      <c r="H70" s="50"/>
      <c r="I70" s="71"/>
      <c r="J70" s="72"/>
      <c r="K70" s="50"/>
      <c r="L70" s="50"/>
    </row>
    <row r="71" spans="1:12" ht="12.75" customHeight="1" x14ac:dyDescent="0.2">
      <c r="A71" s="600"/>
      <c r="B71" s="594"/>
      <c r="C71" s="594"/>
      <c r="D71" s="594"/>
      <c r="E71" s="594"/>
      <c r="F71" s="594"/>
      <c r="G71" s="594"/>
      <c r="H71" s="50"/>
      <c r="I71" s="71"/>
      <c r="J71" s="72"/>
      <c r="K71" s="50"/>
      <c r="L71" s="50"/>
    </row>
    <row r="72" spans="1:12" ht="12.75" customHeight="1" x14ac:dyDescent="0.2">
      <c r="A72" s="600"/>
      <c r="B72" s="594"/>
      <c r="C72" s="594"/>
      <c r="D72" s="594"/>
      <c r="E72" s="594"/>
      <c r="F72" s="594"/>
      <c r="G72" s="594"/>
      <c r="H72" s="50"/>
      <c r="I72" s="72"/>
      <c r="J72" s="72"/>
      <c r="K72" s="50"/>
      <c r="L72" s="50"/>
    </row>
    <row r="73" spans="1:12" ht="39.75" customHeight="1" x14ac:dyDescent="0.2">
      <c r="A73" s="600"/>
      <c r="B73" s="594"/>
      <c r="C73" s="594"/>
      <c r="D73" s="594"/>
      <c r="E73" s="594"/>
      <c r="F73" s="594"/>
      <c r="G73" s="594"/>
      <c r="H73" s="50"/>
      <c r="I73" s="72"/>
      <c r="J73" s="72"/>
      <c r="K73" s="50"/>
      <c r="L73" s="50"/>
    </row>
    <row r="74" spans="1:12" ht="30" customHeight="1" x14ac:dyDescent="0.2">
      <c r="A74" s="600"/>
      <c r="B74" s="594"/>
      <c r="C74" s="594"/>
      <c r="D74" s="594"/>
      <c r="E74" s="594"/>
      <c r="F74" s="594"/>
      <c r="G74" s="594"/>
      <c r="H74" s="50"/>
      <c r="I74" s="72"/>
      <c r="J74" s="72"/>
      <c r="K74" s="50"/>
      <c r="L74" s="50"/>
    </row>
    <row r="75" spans="1:12" ht="25.5" customHeight="1" x14ac:dyDescent="0.2">
      <c r="A75" s="600"/>
      <c r="B75" s="594"/>
      <c r="C75" s="594"/>
      <c r="D75" s="594"/>
      <c r="E75" s="594"/>
      <c r="F75" s="594"/>
      <c r="G75" s="594"/>
      <c r="H75" s="50"/>
      <c r="I75" s="72"/>
      <c r="J75" s="72"/>
      <c r="K75" s="50"/>
      <c r="L75" s="50"/>
    </row>
    <row r="76" spans="1:12" ht="38.25" customHeight="1" x14ac:dyDescent="0.2">
      <c r="A76" s="110"/>
      <c r="B76" s="110"/>
      <c r="C76" s="110"/>
      <c r="D76" s="110"/>
      <c r="E76" s="110"/>
      <c r="F76" s="110"/>
      <c r="G76" s="305"/>
      <c r="H76" s="50"/>
      <c r="I76" s="72"/>
      <c r="J76" s="72"/>
      <c r="K76" s="50"/>
      <c r="L76" s="50"/>
    </row>
    <row r="77" spans="1:12" ht="12.75" customHeight="1" x14ac:dyDescent="0.2">
      <c r="A77" s="110"/>
      <c r="B77" s="110"/>
      <c r="C77" s="110"/>
      <c r="D77" s="110"/>
      <c r="E77" s="110"/>
      <c r="F77" s="110"/>
      <c r="G77" s="305"/>
      <c r="H77" s="50"/>
      <c r="I77" s="50"/>
      <c r="J77" s="50"/>
      <c r="K77" s="50"/>
      <c r="L77" s="50"/>
    </row>
    <row r="78" spans="1:12" ht="12.75" customHeight="1" x14ac:dyDescent="0.2">
      <c r="A78" s="54"/>
      <c r="B78" s="54"/>
      <c r="C78" s="54"/>
      <c r="D78" s="54"/>
      <c r="E78" s="54"/>
      <c r="F78" s="54"/>
      <c r="G78" s="292"/>
      <c r="H78" s="50"/>
      <c r="I78" s="50"/>
      <c r="J78" s="50"/>
      <c r="K78" s="50"/>
      <c r="L78" s="50"/>
    </row>
    <row r="79" spans="1:12" ht="12.75" customHeight="1" x14ac:dyDescent="0.2">
      <c r="A79" s="54"/>
      <c r="B79" s="54"/>
      <c r="C79" s="54"/>
      <c r="D79" s="54"/>
      <c r="E79" s="54"/>
      <c r="F79" s="54"/>
      <c r="G79" s="292"/>
      <c r="H79" s="50"/>
      <c r="I79" s="50"/>
      <c r="J79" s="50"/>
      <c r="K79" s="50"/>
      <c r="L79" s="50"/>
    </row>
    <row r="80" spans="1:12" ht="12.75" customHeight="1" x14ac:dyDescent="0.2">
      <c r="A80" s="54"/>
      <c r="B80" s="54"/>
      <c r="C80" s="54"/>
      <c r="D80" s="54"/>
      <c r="E80" s="54"/>
      <c r="F80" s="54"/>
      <c r="G80" s="292"/>
      <c r="H80" s="50"/>
      <c r="I80" s="50"/>
      <c r="J80" s="50"/>
      <c r="K80" s="50"/>
      <c r="L80" s="50"/>
    </row>
    <row r="81" spans="1:12" ht="24.75" customHeight="1" x14ac:dyDescent="0.2">
      <c r="A81" s="54"/>
      <c r="B81" s="54"/>
      <c r="C81" s="54"/>
      <c r="D81" s="54"/>
      <c r="E81" s="54"/>
      <c r="F81" s="54"/>
      <c r="G81" s="292"/>
      <c r="H81" s="111"/>
      <c r="I81" s="111"/>
      <c r="J81" s="111"/>
      <c r="K81" s="111"/>
      <c r="L81" s="111"/>
    </row>
    <row r="82" spans="1:12" ht="12.75" customHeight="1" x14ac:dyDescent="0.2">
      <c r="A82" s="54"/>
      <c r="B82" s="54"/>
      <c r="C82" s="54"/>
      <c r="D82" s="54"/>
      <c r="E82" s="54"/>
      <c r="F82" s="54"/>
      <c r="G82" s="292"/>
      <c r="H82" s="50"/>
      <c r="I82" s="50"/>
      <c r="J82" s="50"/>
      <c r="K82" s="50"/>
      <c r="L82" s="50"/>
    </row>
    <row r="83" spans="1:12" ht="12.75" customHeight="1" x14ac:dyDescent="0.2">
      <c r="A83" s="54"/>
      <c r="B83" s="54"/>
      <c r="C83" s="54"/>
      <c r="D83" s="54"/>
      <c r="E83" s="54"/>
      <c r="F83" s="54"/>
      <c r="G83" s="292"/>
      <c r="H83" s="50"/>
      <c r="I83" s="50"/>
      <c r="J83" s="50"/>
      <c r="K83" s="50"/>
      <c r="L83" s="50"/>
    </row>
    <row r="84" spans="1:12" ht="12.75" customHeight="1" x14ac:dyDescent="0.2">
      <c r="A84" s="54"/>
      <c r="B84" s="54"/>
      <c r="C84" s="54"/>
      <c r="D84" s="54"/>
      <c r="E84" s="54"/>
      <c r="F84" s="54"/>
      <c r="G84" s="292"/>
      <c r="H84" s="50"/>
      <c r="I84" s="50"/>
      <c r="J84" s="50"/>
      <c r="K84" s="50"/>
      <c r="L84" s="50"/>
    </row>
    <row r="85" spans="1:12" ht="12.75" customHeight="1" x14ac:dyDescent="0.2">
      <c r="A85" s="54"/>
      <c r="B85" s="54"/>
      <c r="C85" s="54"/>
      <c r="D85" s="54"/>
      <c r="E85" s="54"/>
      <c r="F85" s="54"/>
      <c r="G85" s="292"/>
      <c r="H85" s="54"/>
      <c r="I85" s="54"/>
      <c r="J85" s="54"/>
      <c r="K85" s="54"/>
      <c r="L85" s="54"/>
    </row>
    <row r="86" spans="1:12" ht="12.75" customHeight="1" x14ac:dyDescent="0.2">
      <c r="A86" s="54"/>
      <c r="B86" s="54"/>
      <c r="C86" s="54"/>
      <c r="D86" s="54"/>
      <c r="E86" s="54"/>
      <c r="F86" s="54"/>
      <c r="G86" s="292"/>
      <c r="H86" s="54"/>
      <c r="I86" s="54"/>
      <c r="J86" s="54"/>
      <c r="K86" s="54"/>
      <c r="L86" s="54"/>
    </row>
    <row r="87" spans="1:12" ht="12.75" customHeight="1" x14ac:dyDescent="0.2">
      <c r="A87" s="54"/>
      <c r="B87" s="54"/>
      <c r="C87" s="54"/>
      <c r="D87" s="54"/>
      <c r="E87" s="54"/>
      <c r="F87" s="54"/>
      <c r="G87" s="292"/>
      <c r="H87" s="50"/>
      <c r="I87" s="50"/>
      <c r="J87" s="50"/>
      <c r="K87" s="50"/>
      <c r="L87" s="50"/>
    </row>
    <row r="88" spans="1:12" ht="12.75" customHeight="1" x14ac:dyDescent="0.2">
      <c r="A88" s="54"/>
      <c r="B88" s="54"/>
      <c r="C88" s="54"/>
      <c r="D88" s="54"/>
      <c r="E88" s="54"/>
      <c r="F88" s="54"/>
      <c r="G88" s="292"/>
      <c r="H88" s="54"/>
      <c r="I88" s="54"/>
      <c r="J88" s="54"/>
      <c r="K88" s="54"/>
      <c r="L88" s="54"/>
    </row>
    <row r="89" spans="1:12" ht="12.75" customHeight="1" x14ac:dyDescent="0.2">
      <c r="A89" s="54"/>
      <c r="B89" s="54"/>
      <c r="C89" s="54"/>
      <c r="D89" s="54"/>
      <c r="E89" s="54"/>
      <c r="F89" s="54"/>
      <c r="G89" s="292"/>
      <c r="H89" s="54"/>
      <c r="I89" s="54"/>
      <c r="J89" s="54"/>
      <c r="K89" s="54"/>
      <c r="L89" s="54"/>
    </row>
    <row r="90" spans="1:12" ht="12.75" customHeight="1" x14ac:dyDescent="0.2">
      <c r="A90" s="54"/>
      <c r="B90" s="54"/>
      <c r="C90" s="54"/>
      <c r="D90" s="54"/>
      <c r="E90" s="54"/>
      <c r="F90" s="54"/>
      <c r="G90" s="292"/>
      <c r="H90" s="50"/>
      <c r="I90" s="50"/>
      <c r="J90" s="50"/>
      <c r="K90" s="50"/>
      <c r="L90" s="50"/>
    </row>
    <row r="91" spans="1:12" ht="12.75" customHeight="1" x14ac:dyDescent="0.2">
      <c r="A91" s="54"/>
      <c r="B91" s="54"/>
      <c r="C91" s="54"/>
      <c r="D91" s="54"/>
      <c r="E91" s="54"/>
      <c r="F91" s="54"/>
      <c r="G91" s="292"/>
      <c r="H91" s="54"/>
      <c r="I91" s="54"/>
      <c r="J91" s="54"/>
      <c r="K91" s="54"/>
      <c r="L91" s="54"/>
    </row>
    <row r="92" spans="1:12" ht="12.75" customHeight="1" x14ac:dyDescent="0.2">
      <c r="A92" s="54"/>
      <c r="B92" s="54"/>
      <c r="C92" s="54"/>
      <c r="D92" s="54"/>
      <c r="E92" s="54"/>
      <c r="F92" s="54"/>
      <c r="G92" s="292"/>
      <c r="H92" s="54"/>
      <c r="I92" s="54"/>
      <c r="J92" s="54"/>
      <c r="K92" s="54"/>
      <c r="L92" s="54"/>
    </row>
    <row r="93" spans="1:12" ht="12.75" customHeight="1" x14ac:dyDescent="0.2">
      <c r="A93" s="54"/>
      <c r="B93" s="54"/>
      <c r="C93" s="54"/>
      <c r="D93" s="54"/>
      <c r="E93" s="54"/>
      <c r="F93" s="54"/>
      <c r="G93" s="292"/>
      <c r="H93" s="50"/>
      <c r="I93" s="50"/>
      <c r="J93" s="50"/>
      <c r="K93" s="50"/>
      <c r="L93" s="50"/>
    </row>
    <row r="94" spans="1:12" ht="12.75" customHeight="1" x14ac:dyDescent="0.2">
      <c r="A94" s="54"/>
      <c r="B94" s="54"/>
      <c r="C94" s="54"/>
      <c r="D94" s="54"/>
      <c r="E94" s="54"/>
      <c r="F94" s="54"/>
      <c r="G94" s="292"/>
      <c r="H94" s="54"/>
      <c r="I94" s="54"/>
      <c r="J94" s="54"/>
      <c r="K94" s="54"/>
      <c r="L94" s="54"/>
    </row>
    <row r="95" spans="1:12" ht="12.75" customHeight="1" x14ac:dyDescent="0.2">
      <c r="A95" s="54"/>
      <c r="B95" s="54"/>
      <c r="C95" s="54"/>
      <c r="D95" s="54"/>
      <c r="E95" s="54"/>
      <c r="F95" s="54"/>
      <c r="G95" s="292"/>
      <c r="H95" s="54"/>
      <c r="I95" s="54"/>
      <c r="J95" s="54"/>
      <c r="K95" s="54"/>
      <c r="L95" s="54"/>
    </row>
    <row r="96" spans="1:12" ht="12.75" customHeight="1" x14ac:dyDescent="0.2">
      <c r="A96" s="54"/>
      <c r="B96" s="54"/>
      <c r="C96" s="54"/>
      <c r="D96" s="54"/>
      <c r="E96" s="54"/>
      <c r="F96" s="54"/>
      <c r="G96" s="292"/>
      <c r="H96" s="50"/>
      <c r="I96" s="50"/>
      <c r="J96" s="50"/>
      <c r="K96" s="50"/>
      <c r="L96" s="50"/>
    </row>
    <row r="97" spans="1:12" ht="12.75" customHeight="1" x14ac:dyDescent="0.2">
      <c r="A97" s="54"/>
      <c r="B97" s="54"/>
      <c r="C97" s="54"/>
      <c r="D97" s="54"/>
      <c r="E97" s="54"/>
      <c r="F97" s="54"/>
      <c r="G97" s="292"/>
      <c r="H97" s="50"/>
      <c r="I97" s="50"/>
      <c r="J97" s="50"/>
      <c r="K97" s="50"/>
      <c r="L97" s="50"/>
    </row>
    <row r="98" spans="1:12" ht="12.75" customHeight="1" x14ac:dyDescent="0.2">
      <c r="A98" s="54"/>
      <c r="B98" s="54"/>
      <c r="C98" s="54"/>
      <c r="D98" s="54"/>
      <c r="E98" s="54"/>
      <c r="F98" s="54"/>
      <c r="G98" s="292"/>
      <c r="H98" s="50"/>
      <c r="I98" s="50"/>
      <c r="J98" s="50"/>
      <c r="K98" s="50"/>
      <c r="L98" s="50"/>
    </row>
    <row r="99" spans="1:12" ht="12.75" customHeight="1" x14ac:dyDescent="0.2">
      <c r="A99" s="54"/>
      <c r="B99" s="54"/>
      <c r="C99" s="54"/>
      <c r="D99" s="54"/>
      <c r="E99" s="54"/>
      <c r="F99" s="54"/>
      <c r="G99" s="292"/>
      <c r="H99" s="50"/>
      <c r="I99" s="50"/>
      <c r="J99" s="50"/>
      <c r="K99" s="50"/>
      <c r="L99" s="50"/>
    </row>
    <row r="100" spans="1:12" ht="12.75" customHeight="1" x14ac:dyDescent="0.2">
      <c r="A100" s="54"/>
      <c r="B100" s="54"/>
      <c r="C100" s="54"/>
      <c r="D100" s="54"/>
      <c r="E100" s="54"/>
      <c r="F100" s="54"/>
      <c r="G100" s="292"/>
      <c r="H100" s="50"/>
      <c r="I100" s="50"/>
      <c r="J100" s="50"/>
      <c r="K100" s="50"/>
      <c r="L100" s="50"/>
    </row>
    <row r="101" spans="1:12" ht="12.75" customHeight="1" x14ac:dyDescent="0.2">
      <c r="A101" s="54"/>
      <c r="B101" s="54"/>
      <c r="C101" s="54"/>
      <c r="D101" s="54"/>
      <c r="E101" s="54"/>
      <c r="F101" s="54"/>
      <c r="G101" s="292"/>
      <c r="H101" s="50"/>
      <c r="I101" s="50"/>
      <c r="J101" s="50"/>
      <c r="K101" s="50"/>
      <c r="L101" s="50"/>
    </row>
    <row r="102" spans="1:12" ht="12.75" customHeight="1" x14ac:dyDescent="0.2">
      <c r="A102" s="54"/>
      <c r="B102" s="54"/>
      <c r="C102" s="54"/>
      <c r="D102" s="54"/>
      <c r="E102" s="54"/>
      <c r="F102" s="54"/>
      <c r="G102" s="292"/>
      <c r="H102" s="50"/>
      <c r="I102" s="50"/>
      <c r="J102" s="50"/>
      <c r="K102" s="50"/>
      <c r="L102" s="50"/>
    </row>
    <row r="103" spans="1:12" ht="12.75" customHeight="1" x14ac:dyDescent="0.2">
      <c r="A103" s="54"/>
      <c r="B103" s="54"/>
      <c r="C103" s="54"/>
      <c r="D103" s="54"/>
      <c r="E103" s="54"/>
      <c r="F103" s="54"/>
      <c r="G103" s="292"/>
      <c r="H103" s="50"/>
      <c r="I103" s="50"/>
      <c r="J103" s="50"/>
      <c r="K103" s="50"/>
      <c r="L103" s="50"/>
    </row>
    <row r="104" spans="1:12" ht="12.75" customHeight="1" x14ac:dyDescent="0.2">
      <c r="A104" s="54"/>
      <c r="B104" s="54"/>
      <c r="C104" s="54"/>
      <c r="D104" s="54"/>
      <c r="E104" s="54"/>
      <c r="F104" s="54"/>
      <c r="G104" s="292"/>
      <c r="H104" s="50"/>
      <c r="I104" s="50"/>
      <c r="J104" s="50"/>
      <c r="K104" s="50"/>
      <c r="L104" s="50"/>
    </row>
    <row r="105" spans="1:12" ht="12.75" customHeight="1" x14ac:dyDescent="0.2">
      <c r="A105" s="54"/>
      <c r="B105" s="54"/>
      <c r="C105" s="54"/>
      <c r="D105" s="54"/>
      <c r="E105" s="54"/>
      <c r="F105" s="54"/>
      <c r="G105" s="292"/>
      <c r="H105" s="50"/>
      <c r="I105" s="50"/>
      <c r="J105" s="50"/>
      <c r="K105" s="50"/>
      <c r="L105" s="50"/>
    </row>
    <row r="106" spans="1:12" ht="12.75" customHeight="1" x14ac:dyDescent="0.2">
      <c r="A106" s="54"/>
      <c r="B106" s="54"/>
      <c r="C106" s="54"/>
      <c r="D106" s="54"/>
      <c r="E106" s="54"/>
      <c r="F106" s="54"/>
      <c r="G106" s="292"/>
      <c r="H106" s="50"/>
      <c r="I106" s="50"/>
      <c r="J106" s="50"/>
      <c r="K106" s="50"/>
      <c r="L106" s="50"/>
    </row>
    <row r="107" spans="1:12" ht="12.75" customHeight="1" x14ac:dyDescent="0.2">
      <c r="A107" s="54"/>
      <c r="B107" s="54"/>
      <c r="C107" s="54"/>
      <c r="D107" s="54"/>
      <c r="E107" s="54"/>
      <c r="F107" s="54"/>
      <c r="G107" s="292"/>
      <c r="H107" s="50"/>
      <c r="I107" s="50"/>
      <c r="J107" s="50"/>
      <c r="K107" s="50"/>
      <c r="L107" s="50"/>
    </row>
    <row r="108" spans="1:12" ht="12.75" customHeight="1" x14ac:dyDescent="0.2">
      <c r="A108" s="54"/>
      <c r="B108" s="54"/>
      <c r="C108" s="54"/>
      <c r="D108" s="54"/>
      <c r="E108" s="54"/>
      <c r="F108" s="54"/>
      <c r="G108" s="292"/>
      <c r="H108" s="50"/>
      <c r="I108" s="50"/>
      <c r="J108" s="50"/>
      <c r="K108" s="50"/>
      <c r="L108" s="50"/>
    </row>
    <row r="109" spans="1:12" ht="12.75" customHeight="1" x14ac:dyDescent="0.2">
      <c r="A109" s="54"/>
      <c r="B109" s="54"/>
      <c r="C109" s="54"/>
      <c r="D109" s="54"/>
      <c r="E109" s="54"/>
      <c r="F109" s="54"/>
      <c r="G109" s="292"/>
      <c r="H109" s="50"/>
      <c r="I109" s="50"/>
      <c r="J109" s="50"/>
      <c r="K109" s="50"/>
      <c r="L109" s="50"/>
    </row>
    <row r="110" spans="1:12" ht="12.75" customHeight="1" x14ac:dyDescent="0.2">
      <c r="A110" s="54"/>
      <c r="B110" s="54"/>
      <c r="C110" s="54"/>
      <c r="D110" s="54"/>
      <c r="E110" s="54"/>
      <c r="F110" s="54"/>
      <c r="G110" s="292"/>
      <c r="H110" s="50"/>
      <c r="I110" s="50"/>
      <c r="J110" s="50"/>
      <c r="K110" s="50"/>
      <c r="L110" s="50"/>
    </row>
    <row r="111" spans="1:12" ht="12.75" customHeight="1" x14ac:dyDescent="0.2">
      <c r="A111" s="54"/>
      <c r="B111" s="54"/>
      <c r="C111" s="54"/>
      <c r="D111" s="54"/>
      <c r="E111" s="54"/>
      <c r="F111" s="54"/>
      <c r="G111" s="292"/>
      <c r="H111" s="50"/>
      <c r="I111" s="50"/>
      <c r="J111" s="50"/>
      <c r="K111" s="50"/>
      <c r="L111" s="50"/>
    </row>
    <row r="112" spans="1:12" ht="12.75" customHeight="1" x14ac:dyDescent="0.2">
      <c r="A112" s="54"/>
      <c r="B112" s="54"/>
      <c r="C112" s="54"/>
      <c r="D112" s="54"/>
      <c r="E112" s="54"/>
      <c r="F112" s="54"/>
      <c r="G112" s="292"/>
      <c r="H112" s="50"/>
      <c r="I112" s="50"/>
      <c r="J112" s="50"/>
      <c r="K112" s="50"/>
      <c r="L112" s="50"/>
    </row>
    <row r="113" spans="1:12" ht="12.75" customHeight="1" x14ac:dyDescent="0.2">
      <c r="A113" s="54"/>
      <c r="B113" s="54"/>
      <c r="C113" s="54"/>
      <c r="D113" s="54"/>
      <c r="E113" s="54"/>
      <c r="F113" s="54"/>
      <c r="G113" s="292"/>
      <c r="H113" s="50"/>
      <c r="I113" s="50"/>
      <c r="J113" s="50"/>
      <c r="K113" s="50"/>
      <c r="L113" s="50"/>
    </row>
    <row r="114" spans="1:12" ht="12.75" customHeight="1" x14ac:dyDescent="0.2">
      <c r="A114" s="54"/>
      <c r="B114" s="54"/>
      <c r="C114" s="54"/>
      <c r="D114" s="54"/>
      <c r="E114" s="54"/>
      <c r="F114" s="54"/>
      <c r="G114" s="292"/>
      <c r="H114" s="50"/>
      <c r="I114" s="50"/>
      <c r="J114" s="50"/>
      <c r="K114" s="50"/>
      <c r="L114" s="50"/>
    </row>
    <row r="115" spans="1:12" ht="12.75" customHeight="1" x14ac:dyDescent="0.2">
      <c r="A115" s="54"/>
      <c r="B115" s="54"/>
      <c r="C115" s="54"/>
      <c r="D115" s="54"/>
      <c r="E115" s="54"/>
      <c r="F115" s="54"/>
      <c r="G115" s="292"/>
      <c r="H115" s="50"/>
      <c r="I115" s="50"/>
      <c r="J115" s="50"/>
      <c r="K115" s="50"/>
      <c r="L115" s="50"/>
    </row>
    <row r="116" spans="1:12" ht="12.75" customHeight="1" x14ac:dyDescent="0.2">
      <c r="A116" s="54"/>
      <c r="B116" s="54"/>
      <c r="C116" s="54"/>
      <c r="D116" s="54"/>
      <c r="E116" s="54"/>
      <c r="F116" s="54"/>
      <c r="G116" s="292"/>
      <c r="H116" s="50"/>
      <c r="I116" s="50"/>
      <c r="J116" s="50"/>
      <c r="K116" s="50"/>
      <c r="L116" s="50"/>
    </row>
    <row r="117" spans="1:12" ht="12.75" customHeight="1" x14ac:dyDescent="0.2">
      <c r="A117" s="54"/>
      <c r="B117" s="54"/>
      <c r="C117" s="54"/>
      <c r="D117" s="54"/>
      <c r="E117" s="54"/>
      <c r="F117" s="54"/>
      <c r="G117" s="292"/>
      <c r="H117" s="50"/>
      <c r="I117" s="50"/>
      <c r="J117" s="50"/>
      <c r="K117" s="50"/>
      <c r="L117" s="50"/>
    </row>
  </sheetData>
  <mergeCells count="37">
    <mergeCell ref="H11:J11"/>
    <mergeCell ref="K11:R11"/>
    <mergeCell ref="A12:C12"/>
    <mergeCell ref="D12:G12"/>
    <mergeCell ref="A13:C13"/>
    <mergeCell ref="D13:G13"/>
    <mergeCell ref="H13:J13"/>
    <mergeCell ref="K13:R13"/>
    <mergeCell ref="D9:G9"/>
    <mergeCell ref="A1:B1"/>
    <mergeCell ref="C1:G1"/>
    <mergeCell ref="B4:F4"/>
    <mergeCell ref="B5:F5"/>
    <mergeCell ref="A8:C8"/>
    <mergeCell ref="D8:G8"/>
    <mergeCell ref="B6:F6"/>
    <mergeCell ref="A69:G69"/>
    <mergeCell ref="A10:C10"/>
    <mergeCell ref="D10:G10"/>
    <mergeCell ref="A11:C11"/>
    <mergeCell ref="D11:G11"/>
    <mergeCell ref="A73:G73"/>
    <mergeCell ref="A74:G74"/>
    <mergeCell ref="A75:G75"/>
    <mergeCell ref="A16:C16"/>
    <mergeCell ref="D16:G16"/>
    <mergeCell ref="A52:G52"/>
    <mergeCell ref="A71:G71"/>
    <mergeCell ref="A72:G72"/>
    <mergeCell ref="A70:G70"/>
    <mergeCell ref="A61:B61"/>
    <mergeCell ref="C61:G61"/>
    <mergeCell ref="A64:G64"/>
    <mergeCell ref="A65:G65"/>
    <mergeCell ref="A66:G66"/>
    <mergeCell ref="A67:G67"/>
    <mergeCell ref="A68:G68"/>
  </mergeCells>
  <phoneticPr fontId="33" type="noConversion"/>
  <pageMargins left="0.7" right="0.7" top="0.75" bottom="0.75" header="0.3" footer="0.3"/>
  <pageSetup paperSize="9" orientation="landscape"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1"/>
  <dimension ref="A1:R74"/>
  <sheetViews>
    <sheetView topLeftCell="A62" zoomScale="75" zoomScaleNormal="75" zoomScaleSheetLayoutView="120" workbookViewId="0">
      <selection activeCell="D18" sqref="D18:G18"/>
    </sheetView>
  </sheetViews>
  <sheetFormatPr defaultColWidth="11.5703125" defaultRowHeight="12.75" x14ac:dyDescent="0.2"/>
  <cols>
    <col min="1" max="1" width="4.7109375" style="30" customWidth="1"/>
    <col min="2" max="2" width="26.7109375" style="30" customWidth="1"/>
    <col min="3" max="3" width="7.7109375" style="30" customWidth="1"/>
    <col min="4" max="4" width="5" style="30" customWidth="1"/>
    <col min="5" max="5" width="27.7109375" style="30" customWidth="1"/>
    <col min="6" max="6" width="14.42578125" style="30" customWidth="1"/>
    <col min="7" max="7" width="11.5703125" style="310"/>
    <col min="8" max="256" width="11.5703125" style="27"/>
    <col min="257" max="257" width="4.7109375" style="27" customWidth="1"/>
    <col min="258" max="258" width="26.7109375" style="27" customWidth="1"/>
    <col min="259" max="259" width="7.7109375" style="27" customWidth="1"/>
    <col min="260" max="260" width="5" style="27" customWidth="1"/>
    <col min="261" max="261" width="27.7109375" style="27" customWidth="1"/>
    <col min="262" max="262" width="14.42578125" style="27" customWidth="1"/>
    <col min="263" max="512" width="11.5703125" style="27"/>
    <col min="513" max="513" width="4.7109375" style="27" customWidth="1"/>
    <col min="514" max="514" width="26.7109375" style="27" customWidth="1"/>
    <col min="515" max="515" width="7.7109375" style="27" customWidth="1"/>
    <col min="516" max="516" width="5" style="27" customWidth="1"/>
    <col min="517" max="517" width="27.7109375" style="27" customWidth="1"/>
    <col min="518" max="518" width="14.42578125" style="27" customWidth="1"/>
    <col min="519" max="768" width="11.5703125" style="27"/>
    <col min="769" max="769" width="4.7109375" style="27" customWidth="1"/>
    <col min="770" max="770" width="26.7109375" style="27" customWidth="1"/>
    <col min="771" max="771" width="7.7109375" style="27" customWidth="1"/>
    <col min="772" max="772" width="5" style="27" customWidth="1"/>
    <col min="773" max="773" width="27.7109375" style="27" customWidth="1"/>
    <col min="774" max="774" width="14.42578125" style="27" customWidth="1"/>
    <col min="775" max="1024" width="11.5703125" style="27"/>
    <col min="1025" max="1025" width="4.7109375" style="27" customWidth="1"/>
    <col min="1026" max="1026" width="26.7109375" style="27" customWidth="1"/>
    <col min="1027" max="1027" width="7.7109375" style="27" customWidth="1"/>
    <col min="1028" max="1028" width="5" style="27" customWidth="1"/>
    <col min="1029" max="1029" width="27.7109375" style="27" customWidth="1"/>
    <col min="1030" max="1030" width="14.42578125" style="27" customWidth="1"/>
    <col min="1031" max="1280" width="11.5703125" style="27"/>
    <col min="1281" max="1281" width="4.7109375" style="27" customWidth="1"/>
    <col min="1282" max="1282" width="26.7109375" style="27" customWidth="1"/>
    <col min="1283" max="1283" width="7.7109375" style="27" customWidth="1"/>
    <col min="1284" max="1284" width="5" style="27" customWidth="1"/>
    <col min="1285" max="1285" width="27.7109375" style="27" customWidth="1"/>
    <col min="1286" max="1286" width="14.42578125" style="27" customWidth="1"/>
    <col min="1287" max="1536" width="11.5703125" style="27"/>
    <col min="1537" max="1537" width="4.7109375" style="27" customWidth="1"/>
    <col min="1538" max="1538" width="26.7109375" style="27" customWidth="1"/>
    <col min="1539" max="1539" width="7.7109375" style="27" customWidth="1"/>
    <col min="1540" max="1540" width="5" style="27" customWidth="1"/>
    <col min="1541" max="1541" width="27.7109375" style="27" customWidth="1"/>
    <col min="1542" max="1542" width="14.42578125" style="27" customWidth="1"/>
    <col min="1543" max="1792" width="11.5703125" style="27"/>
    <col min="1793" max="1793" width="4.7109375" style="27" customWidth="1"/>
    <col min="1794" max="1794" width="26.7109375" style="27" customWidth="1"/>
    <col min="1795" max="1795" width="7.7109375" style="27" customWidth="1"/>
    <col min="1796" max="1796" width="5" style="27" customWidth="1"/>
    <col min="1797" max="1797" width="27.7109375" style="27" customWidth="1"/>
    <col min="1798" max="1798" width="14.42578125" style="27" customWidth="1"/>
    <col min="1799" max="2048" width="11.5703125" style="27"/>
    <col min="2049" max="2049" width="4.7109375" style="27" customWidth="1"/>
    <col min="2050" max="2050" width="26.7109375" style="27" customWidth="1"/>
    <col min="2051" max="2051" width="7.7109375" style="27" customWidth="1"/>
    <col min="2052" max="2052" width="5" style="27" customWidth="1"/>
    <col min="2053" max="2053" width="27.7109375" style="27" customWidth="1"/>
    <col min="2054" max="2054" width="14.42578125" style="27" customWidth="1"/>
    <col min="2055" max="2304" width="11.5703125" style="27"/>
    <col min="2305" max="2305" width="4.7109375" style="27" customWidth="1"/>
    <col min="2306" max="2306" width="26.7109375" style="27" customWidth="1"/>
    <col min="2307" max="2307" width="7.7109375" style="27" customWidth="1"/>
    <col min="2308" max="2308" width="5" style="27" customWidth="1"/>
    <col min="2309" max="2309" width="27.7109375" style="27" customWidth="1"/>
    <col min="2310" max="2310" width="14.42578125" style="27" customWidth="1"/>
    <col min="2311" max="2560" width="11.5703125" style="27"/>
    <col min="2561" max="2561" width="4.7109375" style="27" customWidth="1"/>
    <col min="2562" max="2562" width="26.7109375" style="27" customWidth="1"/>
    <col min="2563" max="2563" width="7.7109375" style="27" customWidth="1"/>
    <col min="2564" max="2564" width="5" style="27" customWidth="1"/>
    <col min="2565" max="2565" width="27.7109375" style="27" customWidth="1"/>
    <col min="2566" max="2566" width="14.42578125" style="27" customWidth="1"/>
    <col min="2567" max="2816" width="11.5703125" style="27"/>
    <col min="2817" max="2817" width="4.7109375" style="27" customWidth="1"/>
    <col min="2818" max="2818" width="26.7109375" style="27" customWidth="1"/>
    <col min="2819" max="2819" width="7.7109375" style="27" customWidth="1"/>
    <col min="2820" max="2820" width="5" style="27" customWidth="1"/>
    <col min="2821" max="2821" width="27.7109375" style="27" customWidth="1"/>
    <col min="2822" max="2822" width="14.42578125" style="27" customWidth="1"/>
    <col min="2823" max="3072" width="11.5703125" style="27"/>
    <col min="3073" max="3073" width="4.7109375" style="27" customWidth="1"/>
    <col min="3074" max="3074" width="26.7109375" style="27" customWidth="1"/>
    <col min="3075" max="3075" width="7.7109375" style="27" customWidth="1"/>
    <col min="3076" max="3076" width="5" style="27" customWidth="1"/>
    <col min="3077" max="3077" width="27.7109375" style="27" customWidth="1"/>
    <col min="3078" max="3078" width="14.42578125" style="27" customWidth="1"/>
    <col min="3079" max="3328" width="11.5703125" style="27"/>
    <col min="3329" max="3329" width="4.7109375" style="27" customWidth="1"/>
    <col min="3330" max="3330" width="26.7109375" style="27" customWidth="1"/>
    <col min="3331" max="3331" width="7.7109375" style="27" customWidth="1"/>
    <col min="3332" max="3332" width="5" style="27" customWidth="1"/>
    <col min="3333" max="3333" width="27.7109375" style="27" customWidth="1"/>
    <col min="3334" max="3334" width="14.42578125" style="27" customWidth="1"/>
    <col min="3335" max="3584" width="11.5703125" style="27"/>
    <col min="3585" max="3585" width="4.7109375" style="27" customWidth="1"/>
    <col min="3586" max="3586" width="26.7109375" style="27" customWidth="1"/>
    <col min="3587" max="3587" width="7.7109375" style="27" customWidth="1"/>
    <col min="3588" max="3588" width="5" style="27" customWidth="1"/>
    <col min="3589" max="3589" width="27.7109375" style="27" customWidth="1"/>
    <col min="3590" max="3590" width="14.42578125" style="27" customWidth="1"/>
    <col min="3591" max="3840" width="11.5703125" style="27"/>
    <col min="3841" max="3841" width="4.7109375" style="27" customWidth="1"/>
    <col min="3842" max="3842" width="26.7109375" style="27" customWidth="1"/>
    <col min="3843" max="3843" width="7.7109375" style="27" customWidth="1"/>
    <col min="3844" max="3844" width="5" style="27" customWidth="1"/>
    <col min="3845" max="3845" width="27.7109375" style="27" customWidth="1"/>
    <col min="3846" max="3846" width="14.42578125" style="27" customWidth="1"/>
    <col min="3847" max="4096" width="11.5703125" style="27"/>
    <col min="4097" max="4097" width="4.7109375" style="27" customWidth="1"/>
    <col min="4098" max="4098" width="26.7109375" style="27" customWidth="1"/>
    <col min="4099" max="4099" width="7.7109375" style="27" customWidth="1"/>
    <col min="4100" max="4100" width="5" style="27" customWidth="1"/>
    <col min="4101" max="4101" width="27.7109375" style="27" customWidth="1"/>
    <col min="4102" max="4102" width="14.42578125" style="27" customWidth="1"/>
    <col min="4103" max="4352" width="11.5703125" style="27"/>
    <col min="4353" max="4353" width="4.7109375" style="27" customWidth="1"/>
    <col min="4354" max="4354" width="26.7109375" style="27" customWidth="1"/>
    <col min="4355" max="4355" width="7.7109375" style="27" customWidth="1"/>
    <col min="4356" max="4356" width="5" style="27" customWidth="1"/>
    <col min="4357" max="4357" width="27.7109375" style="27" customWidth="1"/>
    <col min="4358" max="4358" width="14.42578125" style="27" customWidth="1"/>
    <col min="4359" max="4608" width="11.5703125" style="27"/>
    <col min="4609" max="4609" width="4.7109375" style="27" customWidth="1"/>
    <col min="4610" max="4610" width="26.7109375" style="27" customWidth="1"/>
    <col min="4611" max="4611" width="7.7109375" style="27" customWidth="1"/>
    <col min="4612" max="4612" width="5" style="27" customWidth="1"/>
    <col min="4613" max="4613" width="27.7109375" style="27" customWidth="1"/>
    <col min="4614" max="4614" width="14.42578125" style="27" customWidth="1"/>
    <col min="4615" max="4864" width="11.5703125" style="27"/>
    <col min="4865" max="4865" width="4.7109375" style="27" customWidth="1"/>
    <col min="4866" max="4866" width="26.7109375" style="27" customWidth="1"/>
    <col min="4867" max="4867" width="7.7109375" style="27" customWidth="1"/>
    <col min="4868" max="4868" width="5" style="27" customWidth="1"/>
    <col min="4869" max="4869" width="27.7109375" style="27" customWidth="1"/>
    <col min="4870" max="4870" width="14.42578125" style="27" customWidth="1"/>
    <col min="4871" max="5120" width="11.5703125" style="27"/>
    <col min="5121" max="5121" width="4.7109375" style="27" customWidth="1"/>
    <col min="5122" max="5122" width="26.7109375" style="27" customWidth="1"/>
    <col min="5123" max="5123" width="7.7109375" style="27" customWidth="1"/>
    <col min="5124" max="5124" width="5" style="27" customWidth="1"/>
    <col min="5125" max="5125" width="27.7109375" style="27" customWidth="1"/>
    <col min="5126" max="5126" width="14.42578125" style="27" customWidth="1"/>
    <col min="5127" max="5376" width="11.5703125" style="27"/>
    <col min="5377" max="5377" width="4.7109375" style="27" customWidth="1"/>
    <col min="5378" max="5378" width="26.7109375" style="27" customWidth="1"/>
    <col min="5379" max="5379" width="7.7109375" style="27" customWidth="1"/>
    <col min="5380" max="5380" width="5" style="27" customWidth="1"/>
    <col min="5381" max="5381" width="27.7109375" style="27" customWidth="1"/>
    <col min="5382" max="5382" width="14.42578125" style="27" customWidth="1"/>
    <col min="5383" max="5632" width="11.5703125" style="27"/>
    <col min="5633" max="5633" width="4.7109375" style="27" customWidth="1"/>
    <col min="5634" max="5634" width="26.7109375" style="27" customWidth="1"/>
    <col min="5635" max="5635" width="7.7109375" style="27" customWidth="1"/>
    <col min="5636" max="5636" width="5" style="27" customWidth="1"/>
    <col min="5637" max="5637" width="27.7109375" style="27" customWidth="1"/>
    <col min="5638" max="5638" width="14.42578125" style="27" customWidth="1"/>
    <col min="5639" max="5888" width="11.5703125" style="27"/>
    <col min="5889" max="5889" width="4.7109375" style="27" customWidth="1"/>
    <col min="5890" max="5890" width="26.7109375" style="27" customWidth="1"/>
    <col min="5891" max="5891" width="7.7109375" style="27" customWidth="1"/>
    <col min="5892" max="5892" width="5" style="27" customWidth="1"/>
    <col min="5893" max="5893" width="27.7109375" style="27" customWidth="1"/>
    <col min="5894" max="5894" width="14.42578125" style="27" customWidth="1"/>
    <col min="5895" max="6144" width="11.5703125" style="27"/>
    <col min="6145" max="6145" width="4.7109375" style="27" customWidth="1"/>
    <col min="6146" max="6146" width="26.7109375" style="27" customWidth="1"/>
    <col min="6147" max="6147" width="7.7109375" style="27" customWidth="1"/>
    <col min="6148" max="6148" width="5" style="27" customWidth="1"/>
    <col min="6149" max="6149" width="27.7109375" style="27" customWidth="1"/>
    <col min="6150" max="6150" width="14.42578125" style="27" customWidth="1"/>
    <col min="6151" max="6400" width="11.5703125" style="27"/>
    <col min="6401" max="6401" width="4.7109375" style="27" customWidth="1"/>
    <col min="6402" max="6402" width="26.7109375" style="27" customWidth="1"/>
    <col min="6403" max="6403" width="7.7109375" style="27" customWidth="1"/>
    <col min="6404" max="6404" width="5" style="27" customWidth="1"/>
    <col min="6405" max="6405" width="27.7109375" style="27" customWidth="1"/>
    <col min="6406" max="6406" width="14.42578125" style="27" customWidth="1"/>
    <col min="6407" max="6656" width="11.5703125" style="27"/>
    <col min="6657" max="6657" width="4.7109375" style="27" customWidth="1"/>
    <col min="6658" max="6658" width="26.7109375" style="27" customWidth="1"/>
    <col min="6659" max="6659" width="7.7109375" style="27" customWidth="1"/>
    <col min="6660" max="6660" width="5" style="27" customWidth="1"/>
    <col min="6661" max="6661" width="27.7109375" style="27" customWidth="1"/>
    <col min="6662" max="6662" width="14.42578125" style="27" customWidth="1"/>
    <col min="6663" max="6912" width="11.5703125" style="27"/>
    <col min="6913" max="6913" width="4.7109375" style="27" customWidth="1"/>
    <col min="6914" max="6914" width="26.7109375" style="27" customWidth="1"/>
    <col min="6915" max="6915" width="7.7109375" style="27" customWidth="1"/>
    <col min="6916" max="6916" width="5" style="27" customWidth="1"/>
    <col min="6917" max="6917" width="27.7109375" style="27" customWidth="1"/>
    <col min="6918" max="6918" width="14.42578125" style="27" customWidth="1"/>
    <col min="6919" max="7168" width="11.5703125" style="27"/>
    <col min="7169" max="7169" width="4.7109375" style="27" customWidth="1"/>
    <col min="7170" max="7170" width="26.7109375" style="27" customWidth="1"/>
    <col min="7171" max="7171" width="7.7109375" style="27" customWidth="1"/>
    <col min="7172" max="7172" width="5" style="27" customWidth="1"/>
    <col min="7173" max="7173" width="27.7109375" style="27" customWidth="1"/>
    <col min="7174" max="7174" width="14.42578125" style="27" customWidth="1"/>
    <col min="7175" max="7424" width="11.5703125" style="27"/>
    <col min="7425" max="7425" width="4.7109375" style="27" customWidth="1"/>
    <col min="7426" max="7426" width="26.7109375" style="27" customWidth="1"/>
    <col min="7427" max="7427" width="7.7109375" style="27" customWidth="1"/>
    <col min="7428" max="7428" width="5" style="27" customWidth="1"/>
    <col min="7429" max="7429" width="27.7109375" style="27" customWidth="1"/>
    <col min="7430" max="7430" width="14.42578125" style="27" customWidth="1"/>
    <col min="7431" max="7680" width="11.5703125" style="27"/>
    <col min="7681" max="7681" width="4.7109375" style="27" customWidth="1"/>
    <col min="7682" max="7682" width="26.7109375" style="27" customWidth="1"/>
    <col min="7683" max="7683" width="7.7109375" style="27" customWidth="1"/>
    <col min="7684" max="7684" width="5" style="27" customWidth="1"/>
    <col min="7685" max="7685" width="27.7109375" style="27" customWidth="1"/>
    <col min="7686" max="7686" width="14.42578125" style="27" customWidth="1"/>
    <col min="7687" max="7936" width="11.5703125" style="27"/>
    <col min="7937" max="7937" width="4.7109375" style="27" customWidth="1"/>
    <col min="7938" max="7938" width="26.7109375" style="27" customWidth="1"/>
    <col min="7939" max="7939" width="7.7109375" style="27" customWidth="1"/>
    <col min="7940" max="7940" width="5" style="27" customWidth="1"/>
    <col min="7941" max="7941" width="27.7109375" style="27" customWidth="1"/>
    <col min="7942" max="7942" width="14.42578125" style="27" customWidth="1"/>
    <col min="7943" max="8192" width="11.5703125" style="27"/>
    <col min="8193" max="8193" width="4.7109375" style="27" customWidth="1"/>
    <col min="8194" max="8194" width="26.7109375" style="27" customWidth="1"/>
    <col min="8195" max="8195" width="7.7109375" style="27" customWidth="1"/>
    <col min="8196" max="8196" width="5" style="27" customWidth="1"/>
    <col min="8197" max="8197" width="27.7109375" style="27" customWidth="1"/>
    <col min="8198" max="8198" width="14.42578125" style="27" customWidth="1"/>
    <col min="8199" max="8448" width="11.5703125" style="27"/>
    <col min="8449" max="8449" width="4.7109375" style="27" customWidth="1"/>
    <col min="8450" max="8450" width="26.7109375" style="27" customWidth="1"/>
    <col min="8451" max="8451" width="7.7109375" style="27" customWidth="1"/>
    <col min="8452" max="8452" width="5" style="27" customWidth="1"/>
    <col min="8453" max="8453" width="27.7109375" style="27" customWidth="1"/>
    <col min="8454" max="8454" width="14.42578125" style="27" customWidth="1"/>
    <col min="8455" max="8704" width="11.5703125" style="27"/>
    <col min="8705" max="8705" width="4.7109375" style="27" customWidth="1"/>
    <col min="8706" max="8706" width="26.7109375" style="27" customWidth="1"/>
    <col min="8707" max="8707" width="7.7109375" style="27" customWidth="1"/>
    <col min="8708" max="8708" width="5" style="27" customWidth="1"/>
    <col min="8709" max="8709" width="27.7109375" style="27" customWidth="1"/>
    <col min="8710" max="8710" width="14.42578125" style="27" customWidth="1"/>
    <col min="8711" max="8960" width="11.5703125" style="27"/>
    <col min="8961" max="8961" width="4.7109375" style="27" customWidth="1"/>
    <col min="8962" max="8962" width="26.7109375" style="27" customWidth="1"/>
    <col min="8963" max="8963" width="7.7109375" style="27" customWidth="1"/>
    <col min="8964" max="8964" width="5" style="27" customWidth="1"/>
    <col min="8965" max="8965" width="27.7109375" style="27" customWidth="1"/>
    <col min="8966" max="8966" width="14.42578125" style="27" customWidth="1"/>
    <col min="8967" max="9216" width="11.5703125" style="27"/>
    <col min="9217" max="9217" width="4.7109375" style="27" customWidth="1"/>
    <col min="9218" max="9218" width="26.7109375" style="27" customWidth="1"/>
    <col min="9219" max="9219" width="7.7109375" style="27" customWidth="1"/>
    <col min="9220" max="9220" width="5" style="27" customWidth="1"/>
    <col min="9221" max="9221" width="27.7109375" style="27" customWidth="1"/>
    <col min="9222" max="9222" width="14.42578125" style="27" customWidth="1"/>
    <col min="9223" max="9472" width="11.5703125" style="27"/>
    <col min="9473" max="9473" width="4.7109375" style="27" customWidth="1"/>
    <col min="9474" max="9474" width="26.7109375" style="27" customWidth="1"/>
    <col min="9475" max="9475" width="7.7109375" style="27" customWidth="1"/>
    <col min="9476" max="9476" width="5" style="27" customWidth="1"/>
    <col min="9477" max="9477" width="27.7109375" style="27" customWidth="1"/>
    <col min="9478" max="9478" width="14.42578125" style="27" customWidth="1"/>
    <col min="9479" max="9728" width="11.5703125" style="27"/>
    <col min="9729" max="9729" width="4.7109375" style="27" customWidth="1"/>
    <col min="9730" max="9730" width="26.7109375" style="27" customWidth="1"/>
    <col min="9731" max="9731" width="7.7109375" style="27" customWidth="1"/>
    <col min="9732" max="9732" width="5" style="27" customWidth="1"/>
    <col min="9733" max="9733" width="27.7109375" style="27" customWidth="1"/>
    <col min="9734" max="9734" width="14.42578125" style="27" customWidth="1"/>
    <col min="9735" max="9984" width="11.5703125" style="27"/>
    <col min="9985" max="9985" width="4.7109375" style="27" customWidth="1"/>
    <col min="9986" max="9986" width="26.7109375" style="27" customWidth="1"/>
    <col min="9987" max="9987" width="7.7109375" style="27" customWidth="1"/>
    <col min="9988" max="9988" width="5" style="27" customWidth="1"/>
    <col min="9989" max="9989" width="27.7109375" style="27" customWidth="1"/>
    <col min="9990" max="9990" width="14.42578125" style="27" customWidth="1"/>
    <col min="9991" max="10240" width="11.5703125" style="27"/>
    <col min="10241" max="10241" width="4.7109375" style="27" customWidth="1"/>
    <col min="10242" max="10242" width="26.7109375" style="27" customWidth="1"/>
    <col min="10243" max="10243" width="7.7109375" style="27" customWidth="1"/>
    <col min="10244" max="10244" width="5" style="27" customWidth="1"/>
    <col min="10245" max="10245" width="27.7109375" style="27" customWidth="1"/>
    <col min="10246" max="10246" width="14.42578125" style="27" customWidth="1"/>
    <col min="10247" max="10496" width="11.5703125" style="27"/>
    <col min="10497" max="10497" width="4.7109375" style="27" customWidth="1"/>
    <col min="10498" max="10498" width="26.7109375" style="27" customWidth="1"/>
    <col min="10499" max="10499" width="7.7109375" style="27" customWidth="1"/>
    <col min="10500" max="10500" width="5" style="27" customWidth="1"/>
    <col min="10501" max="10501" width="27.7109375" style="27" customWidth="1"/>
    <col min="10502" max="10502" width="14.42578125" style="27" customWidth="1"/>
    <col min="10503" max="10752" width="11.5703125" style="27"/>
    <col min="10753" max="10753" width="4.7109375" style="27" customWidth="1"/>
    <col min="10754" max="10754" width="26.7109375" style="27" customWidth="1"/>
    <col min="10755" max="10755" width="7.7109375" style="27" customWidth="1"/>
    <col min="10756" max="10756" width="5" style="27" customWidth="1"/>
    <col min="10757" max="10757" width="27.7109375" style="27" customWidth="1"/>
    <col min="10758" max="10758" width="14.42578125" style="27" customWidth="1"/>
    <col min="10759" max="11008" width="11.5703125" style="27"/>
    <col min="11009" max="11009" width="4.7109375" style="27" customWidth="1"/>
    <col min="11010" max="11010" width="26.7109375" style="27" customWidth="1"/>
    <col min="11011" max="11011" width="7.7109375" style="27" customWidth="1"/>
    <col min="11012" max="11012" width="5" style="27" customWidth="1"/>
    <col min="11013" max="11013" width="27.7109375" style="27" customWidth="1"/>
    <col min="11014" max="11014" width="14.42578125" style="27" customWidth="1"/>
    <col min="11015" max="11264" width="11.5703125" style="27"/>
    <col min="11265" max="11265" width="4.7109375" style="27" customWidth="1"/>
    <col min="11266" max="11266" width="26.7109375" style="27" customWidth="1"/>
    <col min="11267" max="11267" width="7.7109375" style="27" customWidth="1"/>
    <col min="11268" max="11268" width="5" style="27" customWidth="1"/>
    <col min="11269" max="11269" width="27.7109375" style="27" customWidth="1"/>
    <col min="11270" max="11270" width="14.42578125" style="27" customWidth="1"/>
    <col min="11271" max="11520" width="11.5703125" style="27"/>
    <col min="11521" max="11521" width="4.7109375" style="27" customWidth="1"/>
    <col min="11522" max="11522" width="26.7109375" style="27" customWidth="1"/>
    <col min="11523" max="11523" width="7.7109375" style="27" customWidth="1"/>
    <col min="11524" max="11524" width="5" style="27" customWidth="1"/>
    <col min="11525" max="11525" width="27.7109375" style="27" customWidth="1"/>
    <col min="11526" max="11526" width="14.42578125" style="27" customWidth="1"/>
    <col min="11527" max="11776" width="11.5703125" style="27"/>
    <col min="11777" max="11777" width="4.7109375" style="27" customWidth="1"/>
    <col min="11778" max="11778" width="26.7109375" style="27" customWidth="1"/>
    <col min="11779" max="11779" width="7.7109375" style="27" customWidth="1"/>
    <col min="11780" max="11780" width="5" style="27" customWidth="1"/>
    <col min="11781" max="11781" width="27.7109375" style="27" customWidth="1"/>
    <col min="11782" max="11782" width="14.42578125" style="27" customWidth="1"/>
    <col min="11783" max="12032" width="11.5703125" style="27"/>
    <col min="12033" max="12033" width="4.7109375" style="27" customWidth="1"/>
    <col min="12034" max="12034" width="26.7109375" style="27" customWidth="1"/>
    <col min="12035" max="12035" width="7.7109375" style="27" customWidth="1"/>
    <col min="12036" max="12036" width="5" style="27" customWidth="1"/>
    <col min="12037" max="12037" width="27.7109375" style="27" customWidth="1"/>
    <col min="12038" max="12038" width="14.42578125" style="27" customWidth="1"/>
    <col min="12039" max="12288" width="11.5703125" style="27"/>
    <col min="12289" max="12289" width="4.7109375" style="27" customWidth="1"/>
    <col min="12290" max="12290" width="26.7109375" style="27" customWidth="1"/>
    <col min="12291" max="12291" width="7.7109375" style="27" customWidth="1"/>
    <col min="12292" max="12292" width="5" style="27" customWidth="1"/>
    <col min="12293" max="12293" width="27.7109375" style="27" customWidth="1"/>
    <col min="12294" max="12294" width="14.42578125" style="27" customWidth="1"/>
    <col min="12295" max="12544" width="11.5703125" style="27"/>
    <col min="12545" max="12545" width="4.7109375" style="27" customWidth="1"/>
    <col min="12546" max="12546" width="26.7109375" style="27" customWidth="1"/>
    <col min="12547" max="12547" width="7.7109375" style="27" customWidth="1"/>
    <col min="12548" max="12548" width="5" style="27" customWidth="1"/>
    <col min="12549" max="12549" width="27.7109375" style="27" customWidth="1"/>
    <col min="12550" max="12550" width="14.42578125" style="27" customWidth="1"/>
    <col min="12551" max="12800" width="11.5703125" style="27"/>
    <col min="12801" max="12801" width="4.7109375" style="27" customWidth="1"/>
    <col min="12802" max="12802" width="26.7109375" style="27" customWidth="1"/>
    <col min="12803" max="12803" width="7.7109375" style="27" customWidth="1"/>
    <col min="12804" max="12804" width="5" style="27" customWidth="1"/>
    <col min="12805" max="12805" width="27.7109375" style="27" customWidth="1"/>
    <col min="12806" max="12806" width="14.42578125" style="27" customWidth="1"/>
    <col min="12807" max="13056" width="11.5703125" style="27"/>
    <col min="13057" max="13057" width="4.7109375" style="27" customWidth="1"/>
    <col min="13058" max="13058" width="26.7109375" style="27" customWidth="1"/>
    <col min="13059" max="13059" width="7.7109375" style="27" customWidth="1"/>
    <col min="13060" max="13060" width="5" style="27" customWidth="1"/>
    <col min="13061" max="13061" width="27.7109375" style="27" customWidth="1"/>
    <col min="13062" max="13062" width="14.42578125" style="27" customWidth="1"/>
    <col min="13063" max="13312" width="11.5703125" style="27"/>
    <col min="13313" max="13313" width="4.7109375" style="27" customWidth="1"/>
    <col min="13314" max="13314" width="26.7109375" style="27" customWidth="1"/>
    <col min="13315" max="13315" width="7.7109375" style="27" customWidth="1"/>
    <col min="13316" max="13316" width="5" style="27" customWidth="1"/>
    <col min="13317" max="13317" width="27.7109375" style="27" customWidth="1"/>
    <col min="13318" max="13318" width="14.42578125" style="27" customWidth="1"/>
    <col min="13319" max="13568" width="11.5703125" style="27"/>
    <col min="13569" max="13569" width="4.7109375" style="27" customWidth="1"/>
    <col min="13570" max="13570" width="26.7109375" style="27" customWidth="1"/>
    <col min="13571" max="13571" width="7.7109375" style="27" customWidth="1"/>
    <col min="13572" max="13572" width="5" style="27" customWidth="1"/>
    <col min="13573" max="13573" width="27.7109375" style="27" customWidth="1"/>
    <col min="13574" max="13574" width="14.42578125" style="27" customWidth="1"/>
    <col min="13575" max="13824" width="11.5703125" style="27"/>
    <col min="13825" max="13825" width="4.7109375" style="27" customWidth="1"/>
    <col min="13826" max="13826" width="26.7109375" style="27" customWidth="1"/>
    <col min="13827" max="13827" width="7.7109375" style="27" customWidth="1"/>
    <col min="13828" max="13828" width="5" style="27" customWidth="1"/>
    <col min="13829" max="13829" width="27.7109375" style="27" customWidth="1"/>
    <col min="13830" max="13830" width="14.42578125" style="27" customWidth="1"/>
    <col min="13831" max="14080" width="11.5703125" style="27"/>
    <col min="14081" max="14081" width="4.7109375" style="27" customWidth="1"/>
    <col min="14082" max="14082" width="26.7109375" style="27" customWidth="1"/>
    <col min="14083" max="14083" width="7.7109375" style="27" customWidth="1"/>
    <col min="14084" max="14084" width="5" style="27" customWidth="1"/>
    <col min="14085" max="14085" width="27.7109375" style="27" customWidth="1"/>
    <col min="14086" max="14086" width="14.42578125" style="27" customWidth="1"/>
    <col min="14087" max="14336" width="11.5703125" style="27"/>
    <col min="14337" max="14337" width="4.7109375" style="27" customWidth="1"/>
    <col min="14338" max="14338" width="26.7109375" style="27" customWidth="1"/>
    <col min="14339" max="14339" width="7.7109375" style="27" customWidth="1"/>
    <col min="14340" max="14340" width="5" style="27" customWidth="1"/>
    <col min="14341" max="14341" width="27.7109375" style="27" customWidth="1"/>
    <col min="14342" max="14342" width="14.42578125" style="27" customWidth="1"/>
    <col min="14343" max="14592" width="11.5703125" style="27"/>
    <col min="14593" max="14593" width="4.7109375" style="27" customWidth="1"/>
    <col min="14594" max="14594" width="26.7109375" style="27" customWidth="1"/>
    <col min="14595" max="14595" width="7.7109375" style="27" customWidth="1"/>
    <col min="14596" max="14596" width="5" style="27" customWidth="1"/>
    <col min="14597" max="14597" width="27.7109375" style="27" customWidth="1"/>
    <col min="14598" max="14598" width="14.42578125" style="27" customWidth="1"/>
    <col min="14599" max="14848" width="11.5703125" style="27"/>
    <col min="14849" max="14849" width="4.7109375" style="27" customWidth="1"/>
    <col min="14850" max="14850" width="26.7109375" style="27" customWidth="1"/>
    <col min="14851" max="14851" width="7.7109375" style="27" customWidth="1"/>
    <col min="14852" max="14852" width="5" style="27" customWidth="1"/>
    <col min="14853" max="14853" width="27.7109375" style="27" customWidth="1"/>
    <col min="14854" max="14854" width="14.42578125" style="27" customWidth="1"/>
    <col min="14855" max="15104" width="11.5703125" style="27"/>
    <col min="15105" max="15105" width="4.7109375" style="27" customWidth="1"/>
    <col min="15106" max="15106" width="26.7109375" style="27" customWidth="1"/>
    <col min="15107" max="15107" width="7.7109375" style="27" customWidth="1"/>
    <col min="15108" max="15108" width="5" style="27" customWidth="1"/>
    <col min="15109" max="15109" width="27.7109375" style="27" customWidth="1"/>
    <col min="15110" max="15110" width="14.42578125" style="27" customWidth="1"/>
    <col min="15111" max="15360" width="11.5703125" style="27"/>
    <col min="15361" max="15361" width="4.7109375" style="27" customWidth="1"/>
    <col min="15362" max="15362" width="26.7109375" style="27" customWidth="1"/>
    <col min="15363" max="15363" width="7.7109375" style="27" customWidth="1"/>
    <col min="15364" max="15364" width="5" style="27" customWidth="1"/>
    <col min="15365" max="15365" width="27.7109375" style="27" customWidth="1"/>
    <col min="15366" max="15366" width="14.42578125" style="27" customWidth="1"/>
    <col min="15367" max="15616" width="11.5703125" style="27"/>
    <col min="15617" max="15617" width="4.7109375" style="27" customWidth="1"/>
    <col min="15618" max="15618" width="26.7109375" style="27" customWidth="1"/>
    <col min="15619" max="15619" width="7.7109375" style="27" customWidth="1"/>
    <col min="15620" max="15620" width="5" style="27" customWidth="1"/>
    <col min="15621" max="15621" width="27.7109375" style="27" customWidth="1"/>
    <col min="15622" max="15622" width="14.42578125" style="27" customWidth="1"/>
    <col min="15623" max="15872" width="11.5703125" style="27"/>
    <col min="15873" max="15873" width="4.7109375" style="27" customWidth="1"/>
    <col min="15874" max="15874" width="26.7109375" style="27" customWidth="1"/>
    <col min="15875" max="15875" width="7.7109375" style="27" customWidth="1"/>
    <col min="15876" max="15876" width="5" style="27" customWidth="1"/>
    <col min="15877" max="15877" width="27.7109375" style="27" customWidth="1"/>
    <col min="15878" max="15878" width="14.42578125" style="27" customWidth="1"/>
    <col min="15879" max="16128" width="11.5703125" style="27"/>
    <col min="16129" max="16129" width="4.7109375" style="27" customWidth="1"/>
    <col min="16130" max="16130" width="26.7109375" style="27" customWidth="1"/>
    <col min="16131" max="16131" width="7.7109375" style="27" customWidth="1"/>
    <col min="16132" max="16132" width="5" style="27" customWidth="1"/>
    <col min="16133" max="16133" width="27.7109375" style="27" customWidth="1"/>
    <col min="16134" max="16134" width="14.42578125" style="27" customWidth="1"/>
    <col min="16135" max="16384" width="11.5703125" style="27"/>
  </cols>
  <sheetData>
    <row r="1" spans="1:18" x14ac:dyDescent="0.2">
      <c r="A1" s="612"/>
      <c r="B1" s="612"/>
      <c r="C1" s="613" t="s">
        <v>32</v>
      </c>
      <c r="D1" s="613"/>
      <c r="E1" s="613"/>
      <c r="F1" s="613"/>
      <c r="G1" s="613"/>
    </row>
    <row r="2" spans="1:18" x14ac:dyDescent="0.2">
      <c r="A2" s="25"/>
      <c r="B2" s="25"/>
      <c r="C2" s="29"/>
      <c r="D2" s="29"/>
      <c r="E2" s="29"/>
      <c r="F2" s="29"/>
      <c r="G2" s="309"/>
    </row>
    <row r="3" spans="1:18" x14ac:dyDescent="0.2">
      <c r="A3" s="25"/>
      <c r="B3" s="25"/>
      <c r="C3" s="29"/>
      <c r="D3" s="29"/>
      <c r="E3" s="29"/>
      <c r="F3" s="29"/>
      <c r="G3" s="309"/>
    </row>
    <row r="4" spans="1:18" x14ac:dyDescent="0.2">
      <c r="B4" s="614" t="s">
        <v>489</v>
      </c>
      <c r="C4" s="614"/>
      <c r="D4" s="614"/>
      <c r="E4" s="614"/>
      <c r="F4" s="614"/>
    </row>
    <row r="5" spans="1:18" x14ac:dyDescent="0.2">
      <c r="B5" s="615" t="s">
        <v>81</v>
      </c>
      <c r="C5" s="615"/>
      <c r="D5" s="615"/>
      <c r="E5" s="615"/>
      <c r="F5" s="615"/>
    </row>
    <row r="6" spans="1:18" x14ac:dyDescent="0.2">
      <c r="B6" s="49"/>
      <c r="C6" s="49"/>
      <c r="D6" s="49"/>
      <c r="E6" s="49"/>
      <c r="F6" s="49"/>
    </row>
    <row r="7" spans="1:18" ht="81.599999999999994" customHeight="1" x14ac:dyDescent="0.2">
      <c r="A7" s="616" t="s">
        <v>233</v>
      </c>
      <c r="B7" s="616"/>
      <c r="C7" s="616"/>
      <c r="D7" s="616" t="s">
        <v>404</v>
      </c>
      <c r="E7" s="616"/>
      <c r="F7" s="616"/>
      <c r="G7" s="616"/>
    </row>
    <row r="8" spans="1:18" x14ac:dyDescent="0.2">
      <c r="C8" s="25"/>
      <c r="D8" s="25"/>
      <c r="E8" s="25"/>
    </row>
    <row r="9" spans="1:18" s="51" customFormat="1" x14ac:dyDescent="0.2">
      <c r="A9" s="591" t="s">
        <v>234</v>
      </c>
      <c r="B9" s="591"/>
      <c r="C9" s="591"/>
      <c r="D9" s="591" t="s">
        <v>232</v>
      </c>
      <c r="E9" s="591"/>
      <c r="F9" s="591"/>
      <c r="G9" s="591"/>
      <c r="H9" s="50"/>
      <c r="I9" s="50"/>
      <c r="J9" s="50"/>
      <c r="K9" s="50"/>
      <c r="L9" s="50"/>
    </row>
    <row r="10" spans="1:18" s="112" customFormat="1" x14ac:dyDescent="0.2">
      <c r="A10" s="566" t="s">
        <v>398</v>
      </c>
      <c r="B10" s="567"/>
      <c r="C10" s="567"/>
      <c r="D10" s="582" t="s">
        <v>235</v>
      </c>
      <c r="E10" s="592"/>
      <c r="F10" s="592"/>
      <c r="G10" s="592"/>
      <c r="H10" s="566"/>
      <c r="I10" s="567"/>
      <c r="J10" s="567"/>
      <c r="K10" s="580"/>
      <c r="L10" s="581"/>
      <c r="M10" s="581"/>
      <c r="N10" s="581"/>
      <c r="O10" s="581"/>
      <c r="P10" s="581"/>
      <c r="Q10" s="581"/>
      <c r="R10" s="581"/>
    </row>
    <row r="11" spans="1:18" s="112" customFormat="1" x14ac:dyDescent="0.2">
      <c r="A11" s="566" t="s">
        <v>399</v>
      </c>
      <c r="B11" s="566"/>
      <c r="C11" s="566"/>
      <c r="D11" s="582" t="s">
        <v>400</v>
      </c>
      <c r="E11" s="582"/>
      <c r="F11" s="582"/>
      <c r="G11" s="582"/>
      <c r="H11" s="115"/>
      <c r="I11" s="116"/>
      <c r="J11" s="116"/>
      <c r="K11" s="117"/>
      <c r="L11" s="118"/>
      <c r="M11" s="118"/>
      <c r="N11" s="118"/>
      <c r="O11" s="118"/>
      <c r="P11" s="118"/>
      <c r="Q11" s="118"/>
      <c r="R11" s="118"/>
    </row>
    <row r="12" spans="1:18" s="112" customFormat="1" x14ac:dyDescent="0.2">
      <c r="A12" s="566" t="s">
        <v>397</v>
      </c>
      <c r="B12" s="567"/>
      <c r="C12" s="567"/>
      <c r="D12" s="603" t="s">
        <v>401</v>
      </c>
      <c r="E12" s="603"/>
      <c r="F12" s="603"/>
      <c r="G12" s="603"/>
      <c r="H12" s="566"/>
      <c r="I12" s="567"/>
      <c r="J12" s="567"/>
      <c r="K12" s="580"/>
      <c r="L12" s="581"/>
      <c r="M12" s="581"/>
      <c r="N12" s="581"/>
      <c r="O12" s="581"/>
      <c r="P12" s="581"/>
      <c r="Q12" s="581"/>
      <c r="R12" s="581"/>
    </row>
    <row r="13" spans="1:18" x14ac:dyDescent="0.2">
      <c r="A13" s="32"/>
      <c r="B13" s="32"/>
      <c r="D13" s="617"/>
      <c r="E13" s="617"/>
      <c r="F13" s="617"/>
      <c r="G13" s="617"/>
    </row>
    <row r="14" spans="1:18" s="51" customFormat="1" ht="32.450000000000003" customHeight="1" x14ac:dyDescent="0.2">
      <c r="A14" s="566" t="s">
        <v>350</v>
      </c>
      <c r="B14" s="607"/>
      <c r="C14" s="607"/>
      <c r="D14" s="608" t="s">
        <v>352</v>
      </c>
      <c r="E14" s="608"/>
      <c r="F14" s="608"/>
      <c r="G14" s="608"/>
      <c r="H14" s="113"/>
      <c r="I14" s="113"/>
      <c r="J14" s="113"/>
      <c r="K14" s="113"/>
      <c r="L14" s="113"/>
    </row>
    <row r="16" spans="1:18" ht="32.25" customHeight="1" x14ac:dyDescent="0.2">
      <c r="A16" s="128" t="s">
        <v>9</v>
      </c>
      <c r="B16" s="128" t="s">
        <v>35</v>
      </c>
      <c r="C16" s="128" t="s">
        <v>36</v>
      </c>
      <c r="D16" s="128" t="s">
        <v>37</v>
      </c>
      <c r="E16" s="128" t="s">
        <v>38</v>
      </c>
      <c r="F16" s="128" t="s">
        <v>39</v>
      </c>
      <c r="G16" s="311" t="s">
        <v>40</v>
      </c>
    </row>
    <row r="17" spans="1:7" x14ac:dyDescent="0.2">
      <c r="A17" s="129">
        <v>1</v>
      </c>
      <c r="B17" s="130">
        <v>2</v>
      </c>
      <c r="C17" s="130">
        <v>3</v>
      </c>
      <c r="D17" s="130">
        <v>4</v>
      </c>
      <c r="E17" s="130">
        <v>5</v>
      </c>
      <c r="F17" s="130">
        <v>6</v>
      </c>
      <c r="G17" s="312">
        <v>7</v>
      </c>
    </row>
    <row r="18" spans="1:7" ht="12.75" customHeight="1" x14ac:dyDescent="0.2">
      <c r="A18" s="131" t="s">
        <v>4</v>
      </c>
      <c r="B18" s="132" t="s">
        <v>41</v>
      </c>
      <c r="C18" s="132"/>
      <c r="D18" s="132"/>
      <c r="E18" s="132" t="s">
        <v>42</v>
      </c>
      <c r="F18" s="132"/>
      <c r="G18" s="313"/>
    </row>
    <row r="19" spans="1:7" ht="76.5" customHeight="1" x14ac:dyDescent="0.2">
      <c r="A19" s="133" t="s">
        <v>43</v>
      </c>
      <c r="B19" s="134" t="s">
        <v>253</v>
      </c>
      <c r="C19" s="134" t="s">
        <v>254</v>
      </c>
      <c r="D19" s="134">
        <v>0.4</v>
      </c>
      <c r="E19" s="134" t="s">
        <v>255</v>
      </c>
      <c r="F19" s="134" t="s">
        <v>256</v>
      </c>
      <c r="G19" s="314">
        <f>ROUND(23.3  * D19,2)</f>
        <v>9.32</v>
      </c>
    </row>
    <row r="20" spans="1:7" s="137" customFormat="1" ht="76.5" customHeight="1" x14ac:dyDescent="0.2">
      <c r="A20" s="135" t="s">
        <v>47</v>
      </c>
      <c r="B20" s="134" t="s">
        <v>82</v>
      </c>
      <c r="C20" s="134" t="s">
        <v>83</v>
      </c>
      <c r="D20" s="134">
        <v>50</v>
      </c>
      <c r="E20" s="134" t="s">
        <v>493</v>
      </c>
      <c r="F20" s="136" t="s">
        <v>246</v>
      </c>
      <c r="G20" s="315">
        <f>ROUND(22.1  * D20,2)</f>
        <v>1105</v>
      </c>
    </row>
    <row r="21" spans="1:7" s="137" customFormat="1" ht="45" customHeight="1" x14ac:dyDescent="0.2">
      <c r="A21" s="133"/>
      <c r="B21" s="134" t="s">
        <v>84</v>
      </c>
      <c r="C21" s="134" t="s">
        <v>83</v>
      </c>
      <c r="D21" s="134">
        <v>10</v>
      </c>
      <c r="E21" s="134" t="s">
        <v>494</v>
      </c>
      <c r="F21" s="136" t="s">
        <v>247</v>
      </c>
      <c r="G21" s="315">
        <f>ROUND(29.2  *D21,2)</f>
        <v>292</v>
      </c>
    </row>
    <row r="22" spans="1:7" s="137" customFormat="1" ht="55.5" customHeight="1" x14ac:dyDescent="0.2">
      <c r="A22" s="135" t="s">
        <v>50</v>
      </c>
      <c r="B22" s="134" t="s">
        <v>248</v>
      </c>
      <c r="C22" s="134" t="s">
        <v>85</v>
      </c>
      <c r="D22" s="134">
        <v>21</v>
      </c>
      <c r="E22" s="134" t="s">
        <v>249</v>
      </c>
      <c r="F22" s="136" t="s">
        <v>250</v>
      </c>
      <c r="G22" s="315">
        <f>ROUND(22.9  *D22,2)</f>
        <v>480.9</v>
      </c>
    </row>
    <row r="23" spans="1:7" ht="81.75" customHeight="1" x14ac:dyDescent="0.2">
      <c r="A23" s="138" t="s">
        <v>53</v>
      </c>
      <c r="B23" s="139" t="s">
        <v>86</v>
      </c>
      <c r="C23" s="139" t="s">
        <v>83</v>
      </c>
      <c r="D23" s="139">
        <v>33.299999999999997</v>
      </c>
      <c r="E23" s="139" t="s">
        <v>495</v>
      </c>
      <c r="F23" s="139" t="s">
        <v>251</v>
      </c>
      <c r="G23" s="316">
        <f>ROUND(1.5  *33.3* 0.6,2)</f>
        <v>29.97</v>
      </c>
    </row>
    <row r="24" spans="1:7" ht="15.75" customHeight="1" x14ac:dyDescent="0.2">
      <c r="A24" s="140" t="s">
        <v>14</v>
      </c>
      <c r="B24" s="141" t="s">
        <v>45</v>
      </c>
      <c r="C24" s="141"/>
      <c r="D24" s="141"/>
      <c r="E24" s="141"/>
      <c r="F24" s="141"/>
      <c r="G24" s="317"/>
    </row>
    <row r="25" spans="1:7" ht="76.150000000000006" customHeight="1" x14ac:dyDescent="0.2">
      <c r="A25" s="133" t="s">
        <v>14</v>
      </c>
      <c r="B25" s="142" t="s">
        <v>252</v>
      </c>
      <c r="C25" s="142"/>
      <c r="D25" s="142"/>
      <c r="E25" s="142" t="s">
        <v>87</v>
      </c>
      <c r="F25" s="142"/>
      <c r="G25" s="318"/>
    </row>
    <row r="26" spans="1:7" ht="58.15" customHeight="1" x14ac:dyDescent="0.2">
      <c r="A26" s="143" t="s">
        <v>55</v>
      </c>
      <c r="B26" s="144" t="s">
        <v>88</v>
      </c>
      <c r="C26" s="144" t="s">
        <v>83</v>
      </c>
      <c r="D26" s="144">
        <v>52</v>
      </c>
      <c r="E26" s="144" t="s">
        <v>496</v>
      </c>
      <c r="F26" s="144" t="s">
        <v>328</v>
      </c>
      <c r="G26" s="319">
        <f>ROUND(5.5  * D26,2)</f>
        <v>286</v>
      </c>
    </row>
    <row r="27" spans="1:7" s="137" customFormat="1" ht="89.25" customHeight="1" x14ac:dyDescent="0.2">
      <c r="A27" s="145" t="s">
        <v>304</v>
      </c>
      <c r="B27" s="146" t="s">
        <v>362</v>
      </c>
      <c r="C27" s="147" t="s">
        <v>89</v>
      </c>
      <c r="D27" s="148">
        <v>6</v>
      </c>
      <c r="E27" s="147" t="s">
        <v>497</v>
      </c>
      <c r="F27" s="148" t="s">
        <v>330</v>
      </c>
      <c r="G27" s="320">
        <f>ROUND(128.3  *D27*1.5,2)</f>
        <v>1154.7</v>
      </c>
    </row>
    <row r="28" spans="1:7" s="137" customFormat="1" ht="34.9" customHeight="1" x14ac:dyDescent="0.2">
      <c r="A28" s="149"/>
      <c r="B28" s="150"/>
      <c r="C28" s="151"/>
      <c r="D28" s="150"/>
      <c r="E28" s="151" t="s">
        <v>329</v>
      </c>
      <c r="F28" s="150"/>
      <c r="G28" s="321"/>
    </row>
    <row r="29" spans="1:7" ht="104.25" customHeight="1" x14ac:dyDescent="0.2">
      <c r="A29" s="133" t="s">
        <v>318</v>
      </c>
      <c r="B29" s="142" t="s">
        <v>331</v>
      </c>
      <c r="C29" s="142" t="s">
        <v>89</v>
      </c>
      <c r="D29" s="142">
        <v>4</v>
      </c>
      <c r="E29" s="152" t="s">
        <v>359</v>
      </c>
      <c r="F29" s="142" t="s">
        <v>333</v>
      </c>
      <c r="G29" s="318">
        <f>ROUND(657  * D29,2)</f>
        <v>2628</v>
      </c>
    </row>
    <row r="30" spans="1:7" ht="104.25" customHeight="1" x14ac:dyDescent="0.2">
      <c r="A30" s="133" t="s">
        <v>335</v>
      </c>
      <c r="B30" s="134" t="s">
        <v>332</v>
      </c>
      <c r="C30" s="134" t="s">
        <v>89</v>
      </c>
      <c r="D30" s="134">
        <v>2</v>
      </c>
      <c r="E30" s="153" t="s">
        <v>360</v>
      </c>
      <c r="F30" s="134" t="s">
        <v>334</v>
      </c>
      <c r="G30" s="314">
        <f>ROUND(487  * D30,2)</f>
        <v>974</v>
      </c>
    </row>
    <row r="31" spans="1:7" ht="25.5" customHeight="1" x14ac:dyDescent="0.2">
      <c r="A31" s="133" t="s">
        <v>336</v>
      </c>
      <c r="B31" s="132" t="s">
        <v>90</v>
      </c>
      <c r="C31" s="132"/>
      <c r="D31" s="132"/>
      <c r="E31" s="132"/>
      <c r="F31" s="132" t="s">
        <v>498</v>
      </c>
      <c r="G31" s="313">
        <f>ROUND((SUM($G$19:$G$30)),2)</f>
        <v>6959.89</v>
      </c>
    </row>
    <row r="32" spans="1:7" ht="25.5" customHeight="1" x14ac:dyDescent="0.2">
      <c r="A32" s="133" t="s">
        <v>337</v>
      </c>
      <c r="B32" s="132" t="s">
        <v>91</v>
      </c>
      <c r="C32" s="132"/>
      <c r="D32" s="132"/>
      <c r="E32" s="132"/>
      <c r="F32" s="132" t="s">
        <v>499</v>
      </c>
      <c r="G32" s="313">
        <f>G31</f>
        <v>6959.89</v>
      </c>
    </row>
    <row r="33" spans="1:7" ht="12.75" customHeight="1" x14ac:dyDescent="0.2">
      <c r="A33" s="131" t="s">
        <v>5</v>
      </c>
      <c r="B33" s="132" t="s">
        <v>41</v>
      </c>
      <c r="C33" s="132"/>
      <c r="D33" s="132"/>
      <c r="E33" s="132" t="s">
        <v>92</v>
      </c>
      <c r="F33" s="132"/>
      <c r="G33" s="313"/>
    </row>
    <row r="34" spans="1:7" ht="61.15" customHeight="1" x14ac:dyDescent="0.2">
      <c r="A34" s="131" t="s">
        <v>59</v>
      </c>
      <c r="B34" s="134" t="s">
        <v>93</v>
      </c>
      <c r="C34" s="134" t="s">
        <v>94</v>
      </c>
      <c r="D34" s="134">
        <v>6</v>
      </c>
      <c r="E34" s="153" t="s">
        <v>258</v>
      </c>
      <c r="F34" s="134" t="s">
        <v>257</v>
      </c>
      <c r="G34" s="314">
        <f>(47.1 -17.6-7.2)*6</f>
        <v>133.80000000000001</v>
      </c>
    </row>
    <row r="35" spans="1:7" ht="63.75" customHeight="1" x14ac:dyDescent="0.2">
      <c r="A35" s="131" t="s">
        <v>63</v>
      </c>
      <c r="B35" s="134" t="s">
        <v>95</v>
      </c>
      <c r="C35" s="134" t="s">
        <v>94</v>
      </c>
      <c r="D35" s="134">
        <v>21</v>
      </c>
      <c r="E35" s="134" t="s">
        <v>259</v>
      </c>
      <c r="F35" s="134" t="s">
        <v>260</v>
      </c>
      <c r="G35" s="314">
        <f>ROUND(17.6  *21,2)</f>
        <v>369.6</v>
      </c>
    </row>
    <row r="36" spans="1:7" ht="60" customHeight="1" x14ac:dyDescent="0.2">
      <c r="A36" s="131" t="s">
        <v>65</v>
      </c>
      <c r="B36" s="134" t="s">
        <v>96</v>
      </c>
      <c r="C36" s="134" t="s">
        <v>94</v>
      </c>
      <c r="D36" s="134">
        <v>10</v>
      </c>
      <c r="E36" s="134" t="s">
        <v>261</v>
      </c>
      <c r="F36" s="134" t="s">
        <v>262</v>
      </c>
      <c r="G36" s="314">
        <f>11.4*10</f>
        <v>114</v>
      </c>
    </row>
    <row r="37" spans="1:7" ht="51" customHeight="1" x14ac:dyDescent="0.2">
      <c r="A37" s="131" t="s">
        <v>66</v>
      </c>
      <c r="B37" s="134" t="s">
        <v>97</v>
      </c>
      <c r="C37" s="134" t="s">
        <v>94</v>
      </c>
      <c r="D37" s="134">
        <v>6</v>
      </c>
      <c r="E37" s="134" t="s">
        <v>263</v>
      </c>
      <c r="F37" s="134" t="s">
        <v>264</v>
      </c>
      <c r="G37" s="314">
        <f>ROUND(18.2  *6,2)</f>
        <v>109.2</v>
      </c>
    </row>
    <row r="38" spans="1:7" ht="84" customHeight="1" x14ac:dyDescent="0.2">
      <c r="A38" s="131" t="s">
        <v>69</v>
      </c>
      <c r="B38" s="134" t="s">
        <v>98</v>
      </c>
      <c r="C38" s="134" t="s">
        <v>94</v>
      </c>
      <c r="D38" s="134">
        <v>12</v>
      </c>
      <c r="E38" s="153" t="s">
        <v>265</v>
      </c>
      <c r="F38" s="134" t="s">
        <v>266</v>
      </c>
      <c r="G38" s="314">
        <f>(135 -(7.2+17.6+16.2)) *12</f>
        <v>1128</v>
      </c>
    </row>
    <row r="39" spans="1:7" ht="51" customHeight="1" x14ac:dyDescent="0.2">
      <c r="A39" s="131" t="s">
        <v>72</v>
      </c>
      <c r="B39" s="134" t="s">
        <v>99</v>
      </c>
      <c r="C39" s="134" t="s">
        <v>94</v>
      </c>
      <c r="D39" s="134">
        <v>12</v>
      </c>
      <c r="E39" s="134" t="s">
        <v>267</v>
      </c>
      <c r="F39" s="134" t="s">
        <v>268</v>
      </c>
      <c r="G39" s="314">
        <f>ROUND(14.4  * 12,2)</f>
        <v>172.8</v>
      </c>
    </row>
    <row r="40" spans="1:7" ht="44.45" customHeight="1" x14ac:dyDescent="0.2">
      <c r="A40" s="131" t="s">
        <v>73</v>
      </c>
      <c r="B40" s="134" t="s">
        <v>100</v>
      </c>
      <c r="C40" s="134" t="s">
        <v>94</v>
      </c>
      <c r="D40" s="134">
        <v>12</v>
      </c>
      <c r="E40" s="134" t="s">
        <v>101</v>
      </c>
      <c r="F40" s="134" t="s">
        <v>102</v>
      </c>
      <c r="G40" s="314">
        <f>ROUND(1.1  * 12,2)</f>
        <v>13.2</v>
      </c>
    </row>
    <row r="41" spans="1:7" ht="89.25" customHeight="1" x14ac:dyDescent="0.2">
      <c r="A41" s="131" t="s">
        <v>74</v>
      </c>
      <c r="B41" s="134" t="s">
        <v>103</v>
      </c>
      <c r="C41" s="134" t="s">
        <v>94</v>
      </c>
      <c r="D41" s="134">
        <v>12</v>
      </c>
      <c r="E41" s="153" t="s">
        <v>405</v>
      </c>
      <c r="F41" s="134" t="s">
        <v>104</v>
      </c>
      <c r="G41" s="314">
        <f>(101.9-(7.2+17.6))*12</f>
        <v>925.2</v>
      </c>
    </row>
    <row r="42" spans="1:7" ht="51" customHeight="1" x14ac:dyDescent="0.2">
      <c r="A42" s="131" t="s">
        <v>105</v>
      </c>
      <c r="B42" s="134" t="s">
        <v>106</v>
      </c>
      <c r="C42" s="134" t="s">
        <v>94</v>
      </c>
      <c r="D42" s="134">
        <v>6</v>
      </c>
      <c r="E42" s="134" t="s">
        <v>269</v>
      </c>
      <c r="F42" s="134" t="s">
        <v>270</v>
      </c>
      <c r="G42" s="314">
        <f>ROUND(16.2  *6,2)</f>
        <v>97.2</v>
      </c>
    </row>
    <row r="43" spans="1:7" ht="51" customHeight="1" x14ac:dyDescent="0.2">
      <c r="A43" s="131" t="s">
        <v>107</v>
      </c>
      <c r="B43" s="134" t="s">
        <v>108</v>
      </c>
      <c r="C43" s="134" t="s">
        <v>94</v>
      </c>
      <c r="D43" s="134">
        <v>6</v>
      </c>
      <c r="E43" s="134" t="s">
        <v>500</v>
      </c>
      <c r="F43" s="134" t="s">
        <v>271</v>
      </c>
      <c r="G43" s="314">
        <f>ROUND(48.8  * 6,2)</f>
        <v>292.8</v>
      </c>
    </row>
    <row r="44" spans="1:7" ht="46.9" customHeight="1" x14ac:dyDescent="0.2">
      <c r="A44" s="131" t="s">
        <v>109</v>
      </c>
      <c r="B44" s="134" t="s">
        <v>110</v>
      </c>
      <c r="C44" s="134" t="s">
        <v>94</v>
      </c>
      <c r="D44" s="134">
        <v>6</v>
      </c>
      <c r="E44" s="134" t="s">
        <v>501</v>
      </c>
      <c r="F44" s="134" t="s">
        <v>272</v>
      </c>
      <c r="G44" s="314">
        <f>ROUND(3.8  *6,2)</f>
        <v>22.8</v>
      </c>
    </row>
    <row r="45" spans="1:7" ht="51" customHeight="1" x14ac:dyDescent="0.2">
      <c r="A45" s="131" t="s">
        <v>111</v>
      </c>
      <c r="B45" s="134" t="s">
        <v>112</v>
      </c>
      <c r="C45" s="134" t="s">
        <v>113</v>
      </c>
      <c r="D45" s="134">
        <v>3</v>
      </c>
      <c r="E45" s="134" t="s">
        <v>502</v>
      </c>
      <c r="F45" s="134" t="s">
        <v>114</v>
      </c>
      <c r="G45" s="314">
        <f>45.7*3</f>
        <v>137.10000000000002</v>
      </c>
    </row>
    <row r="46" spans="1:7" ht="25.5" customHeight="1" x14ac:dyDescent="0.2">
      <c r="A46" s="131" t="s">
        <v>115</v>
      </c>
      <c r="B46" s="132" t="s">
        <v>116</v>
      </c>
      <c r="C46" s="132"/>
      <c r="D46" s="132"/>
      <c r="E46" s="132"/>
      <c r="F46" s="132" t="s">
        <v>503</v>
      </c>
      <c r="G46" s="313">
        <f>ROUND((SUM($G$34:$G$45)),2)</f>
        <v>3515.7</v>
      </c>
    </row>
    <row r="47" spans="1:7" ht="25.5" customHeight="1" x14ac:dyDescent="0.2">
      <c r="A47" s="131" t="s">
        <v>117</v>
      </c>
      <c r="B47" s="132" t="s">
        <v>118</v>
      </c>
      <c r="C47" s="132"/>
      <c r="D47" s="132"/>
      <c r="E47" s="132"/>
      <c r="F47" s="132" t="s">
        <v>504</v>
      </c>
      <c r="G47" s="313">
        <f>ROUND(($G$46),2)</f>
        <v>3515.7</v>
      </c>
    </row>
    <row r="48" spans="1:7" ht="12.75" customHeight="1" x14ac:dyDescent="0.2">
      <c r="A48" s="131" t="s">
        <v>6</v>
      </c>
      <c r="B48" s="132" t="s">
        <v>41</v>
      </c>
      <c r="C48" s="132"/>
      <c r="D48" s="132"/>
      <c r="E48" s="132" t="s">
        <v>58</v>
      </c>
      <c r="F48" s="132"/>
      <c r="G48" s="313"/>
    </row>
    <row r="49" spans="1:7" ht="76.5" customHeight="1" x14ac:dyDescent="0.2">
      <c r="A49" s="154" t="s">
        <v>119</v>
      </c>
      <c r="B49" s="139" t="s">
        <v>122</v>
      </c>
      <c r="C49" s="139" t="s">
        <v>123</v>
      </c>
      <c r="D49" s="139">
        <v>1</v>
      </c>
      <c r="E49" s="139" t="s">
        <v>124</v>
      </c>
      <c r="F49" s="139" t="s">
        <v>339</v>
      </c>
      <c r="G49" s="316">
        <f>ROUND(800  * 1 * 1.25,2)</f>
        <v>1000</v>
      </c>
    </row>
    <row r="50" spans="1:7" ht="15.75" customHeight="1" x14ac:dyDescent="0.2">
      <c r="A50" s="155" t="s">
        <v>14</v>
      </c>
      <c r="B50" s="156" t="s">
        <v>45</v>
      </c>
      <c r="C50" s="157"/>
      <c r="D50" s="157"/>
      <c r="E50" s="157"/>
      <c r="F50" s="157"/>
      <c r="G50" s="322"/>
    </row>
    <row r="51" spans="1:7" ht="52.5" customHeight="1" x14ac:dyDescent="0.2">
      <c r="A51" s="133" t="s">
        <v>14</v>
      </c>
      <c r="B51" s="142" t="s">
        <v>363</v>
      </c>
      <c r="C51" s="142"/>
      <c r="D51" s="142"/>
      <c r="E51" s="142" t="s">
        <v>338</v>
      </c>
      <c r="F51" s="142"/>
      <c r="G51" s="318"/>
    </row>
    <row r="52" spans="1:7" ht="89.25" customHeight="1" x14ac:dyDescent="0.2">
      <c r="A52" s="133" t="s">
        <v>121</v>
      </c>
      <c r="B52" s="142" t="s">
        <v>273</v>
      </c>
      <c r="C52" s="142" t="s">
        <v>120</v>
      </c>
      <c r="D52" s="142">
        <v>33.299999999999997</v>
      </c>
      <c r="E52" s="142" t="s">
        <v>505</v>
      </c>
      <c r="F52" s="142" t="s">
        <v>274</v>
      </c>
      <c r="G52" s="318">
        <f>ROUND(9.3  *D52,2)</f>
        <v>309.69</v>
      </c>
    </row>
    <row r="53" spans="1:7" ht="89.25" customHeight="1" x14ac:dyDescent="0.2">
      <c r="A53" s="133" t="s">
        <v>125</v>
      </c>
      <c r="B53" s="142" t="s">
        <v>275</v>
      </c>
      <c r="C53" s="142" t="s">
        <v>120</v>
      </c>
      <c r="D53" s="142">
        <v>26.7</v>
      </c>
      <c r="E53" s="152" t="s">
        <v>506</v>
      </c>
      <c r="F53" s="142" t="s">
        <v>276</v>
      </c>
      <c r="G53" s="318">
        <f>ROUND(8.2  *D53,2)</f>
        <v>218.94</v>
      </c>
    </row>
    <row r="54" spans="1:7" ht="63.75" customHeight="1" x14ac:dyDescent="0.2">
      <c r="A54" s="131" t="s">
        <v>126</v>
      </c>
      <c r="B54" s="153" t="s">
        <v>364</v>
      </c>
      <c r="C54" s="134" t="s">
        <v>89</v>
      </c>
      <c r="D54" s="134">
        <v>6</v>
      </c>
      <c r="E54" s="134" t="s">
        <v>507</v>
      </c>
      <c r="F54" s="134" t="s">
        <v>127</v>
      </c>
      <c r="G54" s="314">
        <f>ROUND(29.7  * 6,2)</f>
        <v>178.2</v>
      </c>
    </row>
    <row r="55" spans="1:7" ht="99.6" customHeight="1" x14ac:dyDescent="0.2">
      <c r="A55" s="131" t="s">
        <v>128</v>
      </c>
      <c r="B55" s="134" t="s">
        <v>277</v>
      </c>
      <c r="C55" s="134" t="s">
        <v>89</v>
      </c>
      <c r="D55" s="134">
        <f>D29+D30</f>
        <v>6</v>
      </c>
      <c r="E55" s="134" t="s">
        <v>278</v>
      </c>
      <c r="F55" s="134" t="s">
        <v>279</v>
      </c>
      <c r="G55" s="314">
        <f>ROUND(94.7  * 6,2)</f>
        <v>568.20000000000005</v>
      </c>
    </row>
    <row r="56" spans="1:7" ht="25.5" customHeight="1" x14ac:dyDescent="0.2">
      <c r="A56" s="131" t="s">
        <v>130</v>
      </c>
      <c r="B56" s="132" t="s">
        <v>129</v>
      </c>
      <c r="C56" s="132"/>
      <c r="D56" s="132"/>
      <c r="E56" s="132"/>
      <c r="F56" s="132"/>
      <c r="G56" s="313">
        <f>ROUND((SUM($G$49:$G$55)),2)</f>
        <v>2275.0300000000002</v>
      </c>
    </row>
    <row r="57" spans="1:7" ht="38.25" customHeight="1" x14ac:dyDescent="0.2">
      <c r="A57" s="131" t="s">
        <v>132</v>
      </c>
      <c r="B57" s="134" t="s">
        <v>131</v>
      </c>
      <c r="C57" s="134"/>
      <c r="D57" s="134"/>
      <c r="E57" s="134" t="s">
        <v>508</v>
      </c>
      <c r="F57" s="153" t="s">
        <v>365</v>
      </c>
      <c r="G57" s="314">
        <f>ROUND((SUM($G$34:$G$35 )+SUM( $G$38:$G$42)) * 20 / 100 * 1,2)</f>
        <v>567.96</v>
      </c>
    </row>
    <row r="58" spans="1:7" ht="49.15" customHeight="1" x14ac:dyDescent="0.2">
      <c r="A58" s="131" t="s">
        <v>135</v>
      </c>
      <c r="B58" s="134" t="s">
        <v>133</v>
      </c>
      <c r="C58" s="134"/>
      <c r="D58" s="134"/>
      <c r="E58" s="134" t="s">
        <v>509</v>
      </c>
      <c r="F58" s="134" t="s">
        <v>134</v>
      </c>
      <c r="G58" s="314">
        <f>ROUND(($G$36) * 15 / 100 * 1,2)</f>
        <v>17.100000000000001</v>
      </c>
    </row>
    <row r="59" spans="1:7" ht="39" customHeight="1" x14ac:dyDescent="0.2">
      <c r="A59" s="131" t="s">
        <v>137</v>
      </c>
      <c r="B59" s="134" t="s">
        <v>136</v>
      </c>
      <c r="C59" s="134"/>
      <c r="D59" s="134"/>
      <c r="E59" s="134" t="s">
        <v>510</v>
      </c>
      <c r="F59" s="153" t="s">
        <v>366</v>
      </c>
      <c r="G59" s="314">
        <f>ROUND((SUM($G$43:$G$44)) * 12 / 100 * 1,2)</f>
        <v>37.869999999999997</v>
      </c>
    </row>
    <row r="60" spans="1:7" ht="37.9" customHeight="1" x14ac:dyDescent="0.2">
      <c r="A60" s="131" t="s">
        <v>139</v>
      </c>
      <c r="B60" s="134" t="s">
        <v>138</v>
      </c>
      <c r="C60" s="134"/>
      <c r="D60" s="134"/>
      <c r="E60" s="134" t="s">
        <v>511</v>
      </c>
      <c r="F60" s="153" t="s">
        <v>367</v>
      </c>
      <c r="G60" s="314">
        <f>ROUND(($G$45) * 15 / 100 * 1,2)</f>
        <v>20.57</v>
      </c>
    </row>
    <row r="61" spans="1:7" ht="52.9" customHeight="1" x14ac:dyDescent="0.2">
      <c r="A61" s="131" t="s">
        <v>143</v>
      </c>
      <c r="B61" s="134" t="s">
        <v>140</v>
      </c>
      <c r="C61" s="134"/>
      <c r="D61" s="134"/>
      <c r="E61" s="134" t="s">
        <v>141</v>
      </c>
      <c r="F61" s="134" t="s">
        <v>142</v>
      </c>
      <c r="G61" s="314">
        <f>ROUND(($G$37) * 15 / 100 * 1,2)</f>
        <v>16.38</v>
      </c>
    </row>
    <row r="62" spans="1:7" ht="114.6" customHeight="1" x14ac:dyDescent="0.2">
      <c r="A62" s="131" t="s">
        <v>144</v>
      </c>
      <c r="B62" s="134" t="s">
        <v>340</v>
      </c>
      <c r="C62" s="134"/>
      <c r="D62" s="134"/>
      <c r="E62" s="134" t="s">
        <v>513</v>
      </c>
      <c r="F62" s="134" t="s">
        <v>512</v>
      </c>
      <c r="G62" s="314">
        <f>(G56-G49+G57+G58+G59+G60+G61)*21%*1.5</f>
        <v>609.49665000000005</v>
      </c>
    </row>
    <row r="63" spans="1:7" ht="25.5" customHeight="1" x14ac:dyDescent="0.2">
      <c r="A63" s="131" t="s">
        <v>368</v>
      </c>
      <c r="B63" s="132" t="s">
        <v>145</v>
      </c>
      <c r="C63" s="132"/>
      <c r="D63" s="132"/>
      <c r="E63" s="132"/>
      <c r="F63" s="132" t="s">
        <v>514</v>
      </c>
      <c r="G63" s="313">
        <f>ROUND((SUM($G$56:$G$62)),2)</f>
        <v>3544.41</v>
      </c>
    </row>
    <row r="64" spans="1:7" ht="12.75" customHeight="1" x14ac:dyDescent="0.2">
      <c r="A64" s="131" t="s">
        <v>10</v>
      </c>
      <c r="B64" s="132" t="s">
        <v>41</v>
      </c>
      <c r="C64" s="132"/>
      <c r="D64" s="132"/>
      <c r="E64" s="132" t="s">
        <v>146</v>
      </c>
      <c r="F64" s="132"/>
      <c r="G64" s="313"/>
    </row>
    <row r="65" spans="1:8" ht="89.25" customHeight="1" x14ac:dyDescent="0.2">
      <c r="A65" s="131" t="s">
        <v>147</v>
      </c>
      <c r="B65" s="134" t="s">
        <v>341</v>
      </c>
      <c r="C65" s="134"/>
      <c r="D65" s="134"/>
      <c r="E65" s="134" t="s">
        <v>148</v>
      </c>
      <c r="F65" s="134" t="s">
        <v>342</v>
      </c>
      <c r="G65" s="314">
        <f>ROUND(($G$32) * 15 / 100 * 1,2)</f>
        <v>1043.98</v>
      </c>
      <c r="H65" s="158">
        <f>G32</f>
        <v>6959.89</v>
      </c>
    </row>
    <row r="66" spans="1:8" ht="112.9" customHeight="1" x14ac:dyDescent="0.2">
      <c r="A66" s="131" t="s">
        <v>149</v>
      </c>
      <c r="B66" s="134" t="s">
        <v>348</v>
      </c>
      <c r="C66" s="134"/>
      <c r="D66" s="134"/>
      <c r="E66" s="134" t="s">
        <v>150</v>
      </c>
      <c r="F66" s="134" t="s">
        <v>349</v>
      </c>
      <c r="G66" s="314">
        <f>ROUND(($G$32 + $G$65) *36.4/ 100 * 1,2)</f>
        <v>2913.41</v>
      </c>
    </row>
    <row r="67" spans="1:8" ht="46.9" customHeight="1" x14ac:dyDescent="0.2">
      <c r="A67" s="131" t="s">
        <v>151</v>
      </c>
      <c r="B67" s="134" t="s">
        <v>343</v>
      </c>
      <c r="C67" s="134"/>
      <c r="D67" s="134"/>
      <c r="E67" s="134" t="s">
        <v>152</v>
      </c>
      <c r="F67" s="134" t="s">
        <v>344</v>
      </c>
      <c r="G67" s="314">
        <f>ROUND(($G$32 + $G$65) * 6 / 100 * 1.5,2)</f>
        <v>720.35</v>
      </c>
      <c r="H67" s="158">
        <f>H65+G65</f>
        <v>8003.8700000000008</v>
      </c>
    </row>
    <row r="68" spans="1:8" ht="28.15" customHeight="1" x14ac:dyDescent="0.2">
      <c r="A68" s="131" t="s">
        <v>153</v>
      </c>
      <c r="B68" s="132" t="s">
        <v>154</v>
      </c>
      <c r="C68" s="132"/>
      <c r="D68" s="132"/>
      <c r="E68" s="132"/>
      <c r="F68" s="132" t="s">
        <v>515</v>
      </c>
      <c r="G68" s="313">
        <f>ROUND((SUM($G$65:$G$67)),2)</f>
        <v>4677.74</v>
      </c>
    </row>
    <row r="69" spans="1:8" ht="44.45" customHeight="1" x14ac:dyDescent="0.2">
      <c r="A69" s="131" t="s">
        <v>11</v>
      </c>
      <c r="B69" s="132" t="s">
        <v>76</v>
      </c>
      <c r="C69" s="132"/>
      <c r="D69" s="132"/>
      <c r="E69" s="132"/>
      <c r="F69" s="132" t="s">
        <v>516</v>
      </c>
      <c r="G69" s="313">
        <f>ROUND(($G$32 + $G$47 + $G$63 + $G$68),2)</f>
        <v>18697.740000000002</v>
      </c>
    </row>
    <row r="70" spans="1:8" ht="51" customHeight="1" x14ac:dyDescent="0.2">
      <c r="A70" s="131" t="s">
        <v>12</v>
      </c>
      <c r="B70" s="134" t="s">
        <v>240</v>
      </c>
      <c r="C70" s="134"/>
      <c r="D70" s="134"/>
      <c r="E70" s="134" t="s">
        <v>241</v>
      </c>
      <c r="F70" s="134" t="s">
        <v>242</v>
      </c>
      <c r="G70" s="314">
        <f>G69*66.38</f>
        <v>1241155.9812</v>
      </c>
    </row>
    <row r="71" spans="1:8" ht="12.75" customHeight="1" x14ac:dyDescent="0.2">
      <c r="A71" s="131" t="s">
        <v>25</v>
      </c>
      <c r="B71" s="132" t="s">
        <v>80</v>
      </c>
      <c r="C71" s="132"/>
      <c r="D71" s="132"/>
      <c r="E71" s="132"/>
      <c r="F71" s="132" t="s">
        <v>517</v>
      </c>
      <c r="G71" s="313">
        <f>G70</f>
        <v>1241155.9812</v>
      </c>
    </row>
    <row r="72" spans="1:8" ht="12.75" customHeight="1" x14ac:dyDescent="0.2"/>
    <row r="74" spans="1:8" x14ac:dyDescent="0.2">
      <c r="A74" s="42"/>
      <c r="B74" s="42"/>
      <c r="C74" s="42"/>
      <c r="D74" s="42"/>
      <c r="E74" s="42"/>
      <c r="F74" s="42"/>
      <c r="G74" s="323"/>
    </row>
  </sheetData>
  <mergeCells count="21">
    <mergeCell ref="H10:J10"/>
    <mergeCell ref="K10:R10"/>
    <mergeCell ref="A11:C11"/>
    <mergeCell ref="D11:G11"/>
    <mergeCell ref="A12:C12"/>
    <mergeCell ref="D12:G12"/>
    <mergeCell ref="H12:J12"/>
    <mergeCell ref="K12:R12"/>
    <mergeCell ref="A14:C14"/>
    <mergeCell ref="D14:G14"/>
    <mergeCell ref="A1:B1"/>
    <mergeCell ref="C1:G1"/>
    <mergeCell ref="B4:F4"/>
    <mergeCell ref="B5:F5"/>
    <mergeCell ref="A7:C7"/>
    <mergeCell ref="D7:G7"/>
    <mergeCell ref="D13:G13"/>
    <mergeCell ref="A9:C9"/>
    <mergeCell ref="D9:G9"/>
    <mergeCell ref="A10:C10"/>
    <mergeCell ref="D10:G10"/>
  </mergeCells>
  <phoneticPr fontId="33" type="noConversion"/>
  <pageMargins left="0.39374999999999999" right="0.39374999999999999" top="0.59027777777777779" bottom="0.82777777777777783" header="0.51180555555555562" footer="0.59027777777777779"/>
  <pageSetup paperSize="9" scale="97" orientation="landscape" useFirstPageNumber="1" verticalDpi="300" r:id="rId1"/>
  <headerFooter alignWithMargins="0">
    <oddFooter>&amp;CСтраница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F96"/>
  <sheetViews>
    <sheetView topLeftCell="A76" zoomScale="75" zoomScaleNormal="75" zoomScaleSheetLayoutView="70" workbookViewId="0">
      <selection activeCell="D18" sqref="D18:G18"/>
    </sheetView>
  </sheetViews>
  <sheetFormatPr defaultColWidth="9.140625" defaultRowHeight="12.75" x14ac:dyDescent="0.2"/>
  <cols>
    <col min="1" max="1" width="4.5703125" style="162" customWidth="1"/>
    <col min="2" max="2" width="39.42578125" style="162" customWidth="1"/>
    <col min="3" max="3" width="19.5703125" style="162" customWidth="1"/>
    <col min="4" max="4" width="12.28515625" style="162" customWidth="1"/>
    <col min="5" max="5" width="6.28515625" style="162" customWidth="1"/>
    <col min="6" max="6" width="9.28515625" style="162" customWidth="1"/>
    <col min="7" max="9" width="4.42578125" style="162" bestFit="1" customWidth="1"/>
    <col min="10" max="10" width="12" style="275" customWidth="1"/>
    <col min="11" max="11" width="7" style="162" customWidth="1"/>
    <col min="12" max="12" width="11.28515625" style="290" customWidth="1"/>
    <col min="13" max="19" width="14.42578125" style="162" customWidth="1"/>
    <col min="20" max="20" width="13.28515625" style="163" customWidth="1"/>
    <col min="21" max="21" width="76.7109375" style="168" customWidth="1"/>
    <col min="22" max="22" width="9.140625" style="165" customWidth="1"/>
    <col min="23" max="23" width="124" style="165" customWidth="1"/>
    <col min="24" max="16384" width="9.140625" style="165"/>
  </cols>
  <sheetData>
    <row r="3" spans="1:23" x14ac:dyDescent="0.2">
      <c r="A3" s="159"/>
      <c r="B3" s="160"/>
      <c r="C3" s="160"/>
      <c r="D3" s="161" t="s">
        <v>491</v>
      </c>
      <c r="E3" s="160"/>
      <c r="F3" s="160"/>
      <c r="G3" s="160"/>
      <c r="H3" s="160"/>
      <c r="I3" s="160"/>
      <c r="J3" s="388"/>
      <c r="K3" s="160"/>
      <c r="L3" s="276"/>
      <c r="U3" s="164"/>
    </row>
    <row r="4" spans="1:23" x14ac:dyDescent="0.2">
      <c r="A4" s="166"/>
      <c r="D4" s="167" t="s">
        <v>155</v>
      </c>
      <c r="L4" s="277"/>
    </row>
    <row r="5" spans="1:23" ht="16.5" customHeight="1" x14ac:dyDescent="0.2">
      <c r="A5" s="166"/>
      <c r="B5" s="169"/>
      <c r="C5" s="169"/>
      <c r="D5" s="167"/>
      <c r="E5" s="169"/>
      <c r="F5" s="169"/>
      <c r="G5" s="169"/>
      <c r="H5" s="169"/>
      <c r="I5" s="169"/>
      <c r="J5" s="389"/>
      <c r="K5" s="169"/>
      <c r="L5" s="278"/>
      <c r="M5" s="169"/>
      <c r="N5" s="169"/>
      <c r="O5" s="169"/>
      <c r="P5" s="169"/>
      <c r="Q5" s="169"/>
      <c r="R5" s="169"/>
      <c r="S5" s="169"/>
      <c r="W5" s="618" t="s">
        <v>156</v>
      </c>
    </row>
    <row r="6" spans="1:23" s="173" customFormat="1" ht="134.44999999999999" customHeight="1" x14ac:dyDescent="0.2">
      <c r="A6" s="619" t="s">
        <v>157</v>
      </c>
      <c r="B6" s="620"/>
      <c r="C6" s="620"/>
      <c r="D6" s="620"/>
      <c r="E6" s="621" t="s">
        <v>361</v>
      </c>
      <c r="F6" s="622"/>
      <c r="G6" s="622"/>
      <c r="H6" s="622"/>
      <c r="I6" s="622"/>
      <c r="J6" s="622"/>
      <c r="K6" s="622"/>
      <c r="L6" s="623"/>
      <c r="M6" s="170"/>
      <c r="N6" s="170"/>
      <c r="O6" s="170"/>
      <c r="P6" s="170"/>
      <c r="Q6" s="170"/>
      <c r="R6" s="170"/>
      <c r="S6" s="170"/>
      <c r="T6" s="171"/>
      <c r="U6" s="172"/>
      <c r="W6" s="618"/>
    </row>
    <row r="7" spans="1:23" s="173" customFormat="1" ht="36.75" customHeight="1" x14ac:dyDescent="0.2">
      <c r="A7" s="174"/>
      <c r="B7" s="175"/>
      <c r="C7" s="175"/>
      <c r="D7" s="175"/>
      <c r="E7" s="624"/>
      <c r="F7" s="624"/>
      <c r="G7" s="624"/>
      <c r="H7" s="624"/>
      <c r="I7" s="624"/>
      <c r="J7" s="624"/>
      <c r="K7" s="624"/>
      <c r="L7" s="625"/>
      <c r="M7" s="170"/>
      <c r="N7" s="170"/>
      <c r="O7" s="170"/>
      <c r="P7" s="170"/>
      <c r="Q7" s="170"/>
      <c r="R7" s="170"/>
      <c r="S7" s="170"/>
      <c r="T7" s="171"/>
      <c r="U7" s="172"/>
      <c r="W7" s="618"/>
    </row>
    <row r="8" spans="1:23" s="51" customFormat="1" x14ac:dyDescent="0.2">
      <c r="A8" s="591" t="s">
        <v>234</v>
      </c>
      <c r="B8" s="591"/>
      <c r="C8" s="591"/>
      <c r="D8" s="591" t="s">
        <v>232</v>
      </c>
      <c r="E8" s="591"/>
      <c r="F8" s="591"/>
      <c r="G8" s="591"/>
      <c r="H8" s="50"/>
      <c r="I8" s="50"/>
      <c r="J8" s="279"/>
      <c r="K8" s="50"/>
      <c r="L8" s="279"/>
      <c r="W8" s="618"/>
    </row>
    <row r="9" spans="1:23" s="112" customFormat="1" x14ac:dyDescent="0.2">
      <c r="A9" s="566" t="s">
        <v>398</v>
      </c>
      <c r="B9" s="567"/>
      <c r="C9" s="567"/>
      <c r="D9" s="582" t="s">
        <v>235</v>
      </c>
      <c r="E9" s="592"/>
      <c r="F9" s="592"/>
      <c r="G9" s="592"/>
      <c r="H9" s="566"/>
      <c r="I9" s="567"/>
      <c r="J9" s="567"/>
      <c r="K9" s="580"/>
      <c r="L9" s="581"/>
      <c r="M9" s="581"/>
      <c r="N9" s="581"/>
      <c r="O9" s="581"/>
      <c r="P9" s="581"/>
      <c r="Q9" s="581"/>
      <c r="R9" s="581"/>
      <c r="W9" s="618"/>
    </row>
    <row r="10" spans="1:23" s="112" customFormat="1" x14ac:dyDescent="0.2">
      <c r="A10" s="566" t="s">
        <v>399</v>
      </c>
      <c r="B10" s="566"/>
      <c r="C10" s="566"/>
      <c r="D10" s="582" t="s">
        <v>400</v>
      </c>
      <c r="E10" s="582"/>
      <c r="F10" s="582"/>
      <c r="G10" s="582"/>
      <c r="H10" s="115"/>
      <c r="I10" s="116"/>
      <c r="J10" s="390"/>
      <c r="K10" s="117"/>
      <c r="L10" s="280"/>
      <c r="M10" s="118"/>
      <c r="N10" s="118"/>
      <c r="O10" s="118"/>
      <c r="P10" s="118"/>
      <c r="Q10" s="118"/>
      <c r="R10" s="118"/>
      <c r="W10" s="618"/>
    </row>
    <row r="11" spans="1:23" s="112" customFormat="1" x14ac:dyDescent="0.2">
      <c r="A11" s="566" t="s">
        <v>397</v>
      </c>
      <c r="B11" s="567"/>
      <c r="C11" s="567"/>
      <c r="D11" s="603" t="s">
        <v>401</v>
      </c>
      <c r="E11" s="603"/>
      <c r="F11" s="603"/>
      <c r="G11" s="603"/>
      <c r="H11" s="566"/>
      <c r="I11" s="567"/>
      <c r="J11" s="567"/>
      <c r="K11" s="580"/>
      <c r="L11" s="581"/>
      <c r="M11" s="581"/>
      <c r="N11" s="581"/>
      <c r="O11" s="581"/>
      <c r="P11" s="581"/>
      <c r="Q11" s="581"/>
      <c r="R11" s="581"/>
      <c r="W11" s="618"/>
    </row>
    <row r="12" spans="1:23" s="173" customFormat="1" x14ac:dyDescent="0.2">
      <c r="A12" s="176"/>
      <c r="B12" s="177"/>
      <c r="C12" s="177"/>
      <c r="D12" s="177"/>
      <c r="E12" s="178"/>
      <c r="F12" s="178"/>
      <c r="G12" s="178"/>
      <c r="H12" s="178"/>
      <c r="I12" s="178"/>
      <c r="J12" s="391"/>
      <c r="K12" s="178"/>
      <c r="L12" s="281"/>
      <c r="M12" s="178"/>
      <c r="N12" s="178"/>
      <c r="O12" s="178"/>
      <c r="P12" s="178"/>
      <c r="Q12" s="178"/>
      <c r="R12" s="178"/>
      <c r="S12" s="178"/>
      <c r="T12" s="171"/>
      <c r="W12" s="179"/>
    </row>
    <row r="13" spans="1:23" s="51" customFormat="1" ht="27" customHeight="1" x14ac:dyDescent="0.2">
      <c r="A13" s="566" t="s">
        <v>353</v>
      </c>
      <c r="B13" s="607"/>
      <c r="C13" s="607"/>
      <c r="D13" s="609" t="s">
        <v>352</v>
      </c>
      <c r="E13" s="609"/>
      <c r="F13" s="609"/>
      <c r="G13" s="609"/>
      <c r="H13" s="609"/>
      <c r="I13" s="609"/>
      <c r="J13" s="609"/>
      <c r="K13" s="609"/>
      <c r="L13" s="609"/>
      <c r="M13" s="113"/>
    </row>
    <row r="14" spans="1:23" s="173" customFormat="1" x14ac:dyDescent="0.2">
      <c r="A14" s="180"/>
      <c r="B14" s="181"/>
      <c r="C14" s="181"/>
      <c r="D14" s="181"/>
      <c r="E14" s="181"/>
      <c r="F14" s="181"/>
      <c r="G14" s="181"/>
      <c r="H14" s="181"/>
      <c r="I14" s="181"/>
      <c r="J14" s="182"/>
      <c r="K14" s="181"/>
      <c r="L14" s="282"/>
      <c r="M14" s="182"/>
      <c r="N14" s="182"/>
      <c r="O14" s="182"/>
      <c r="P14" s="182"/>
      <c r="Q14" s="182"/>
      <c r="R14" s="182"/>
      <c r="S14" s="182"/>
      <c r="T14" s="171"/>
      <c r="U14" s="172"/>
      <c r="W14" s="179"/>
    </row>
    <row r="15" spans="1:23" s="173" customFormat="1" x14ac:dyDescent="0.2">
      <c r="A15" s="183"/>
      <c r="B15" s="181" t="s">
        <v>159</v>
      </c>
      <c r="C15" s="181"/>
      <c r="D15" s="184"/>
      <c r="E15" s="185"/>
      <c r="F15" s="186"/>
      <c r="G15" s="185"/>
      <c r="H15" s="185"/>
      <c r="I15" s="185"/>
      <c r="J15" s="187"/>
      <c r="K15" s="187"/>
      <c r="L15" s="282"/>
      <c r="M15" s="187"/>
      <c r="N15" s="187"/>
      <c r="O15" s="187"/>
      <c r="P15" s="187"/>
      <c r="Q15" s="187"/>
      <c r="R15" s="187"/>
      <c r="S15" s="187"/>
      <c r="T15" s="171"/>
      <c r="U15" s="172"/>
      <c r="W15" s="179"/>
    </row>
    <row r="16" spans="1:23" s="173" customFormat="1" x14ac:dyDescent="0.2">
      <c r="A16" s="188"/>
      <c r="B16" s="189" t="s">
        <v>160</v>
      </c>
      <c r="C16" s="190">
        <v>2</v>
      </c>
      <c r="D16" s="190"/>
      <c r="E16" s="190"/>
      <c r="F16" s="190"/>
      <c r="G16" s="190"/>
      <c r="H16" s="190"/>
      <c r="I16" s="190"/>
      <c r="J16" s="191"/>
      <c r="K16" s="190"/>
      <c r="L16" s="283"/>
      <c r="M16" s="191"/>
      <c r="N16" s="191"/>
      <c r="O16" s="191"/>
      <c r="P16" s="191"/>
      <c r="Q16" s="191"/>
      <c r="R16" s="191"/>
      <c r="S16" s="191"/>
      <c r="T16" s="171"/>
      <c r="U16" s="172"/>
      <c r="W16" s="179"/>
    </row>
    <row r="17" spans="1:23" s="173" customFormat="1" x14ac:dyDescent="0.2">
      <c r="A17" s="188"/>
      <c r="B17" s="189" t="s">
        <v>161</v>
      </c>
      <c r="C17" s="192">
        <v>1</v>
      </c>
      <c r="D17" s="190"/>
      <c r="E17" s="190"/>
      <c r="F17" s="190"/>
      <c r="G17" s="190"/>
      <c r="H17" s="190"/>
      <c r="I17" s="190"/>
      <c r="J17" s="191"/>
      <c r="K17" s="190"/>
      <c r="L17" s="283"/>
      <c r="M17" s="191"/>
      <c r="N17" s="191"/>
      <c r="O17" s="191"/>
      <c r="P17" s="191"/>
      <c r="Q17" s="191"/>
      <c r="R17" s="191"/>
      <c r="S17" s="191"/>
      <c r="T17" s="171"/>
      <c r="U17" s="172"/>
      <c r="W17" s="179"/>
    </row>
    <row r="18" spans="1:23" s="173" customFormat="1" x14ac:dyDescent="0.2">
      <c r="A18" s="193" t="s">
        <v>162</v>
      </c>
      <c r="B18" s="194">
        <v>1</v>
      </c>
      <c r="C18" s="195" t="s">
        <v>163</v>
      </c>
      <c r="D18" s="196"/>
      <c r="E18" s="196"/>
      <c r="F18" s="196"/>
      <c r="G18" s="196"/>
      <c r="H18" s="196"/>
      <c r="I18" s="196"/>
      <c r="J18" s="197"/>
      <c r="K18" s="196"/>
      <c r="L18" s="284"/>
      <c r="M18" s="191"/>
      <c r="N18" s="191"/>
      <c r="O18" s="191"/>
      <c r="P18" s="191"/>
      <c r="Q18" s="191"/>
      <c r="R18" s="191"/>
      <c r="S18" s="191"/>
      <c r="T18" s="171"/>
      <c r="U18" s="172"/>
      <c r="W18" s="179"/>
    </row>
    <row r="19" spans="1:23" s="173" customFormat="1" x14ac:dyDescent="0.2">
      <c r="A19" s="193" t="s">
        <v>162</v>
      </c>
      <c r="B19" s="198">
        <v>1</v>
      </c>
      <c r="C19" s="195" t="s">
        <v>164</v>
      </c>
      <c r="D19" s="196"/>
      <c r="E19" s="196"/>
      <c r="F19" s="196"/>
      <c r="G19" s="196"/>
      <c r="H19" s="196"/>
      <c r="I19" s="196"/>
      <c r="J19" s="197"/>
      <c r="K19" s="196"/>
      <c r="L19" s="284"/>
      <c r="M19" s="191"/>
      <c r="N19" s="191"/>
      <c r="O19" s="191"/>
      <c r="P19" s="191"/>
      <c r="Q19" s="191"/>
      <c r="R19" s="191"/>
      <c r="S19" s="191"/>
      <c r="T19" s="171"/>
      <c r="U19" s="172"/>
      <c r="W19" s="179"/>
    </row>
    <row r="20" spans="1:23" s="173" customFormat="1" ht="16.149999999999999" customHeight="1" x14ac:dyDescent="0.2">
      <c r="A20" s="193" t="s">
        <v>162</v>
      </c>
      <c r="B20" s="199">
        <v>66.38</v>
      </c>
      <c r="C20" s="200" t="s">
        <v>165</v>
      </c>
      <c r="D20" s="634" t="s">
        <v>241</v>
      </c>
      <c r="E20" s="635"/>
      <c r="F20" s="635"/>
      <c r="G20" s="635"/>
      <c r="H20" s="635"/>
      <c r="I20" s="635"/>
      <c r="J20" s="635"/>
      <c r="K20" s="635"/>
      <c r="L20" s="636"/>
      <c r="M20" s="191"/>
      <c r="N20" s="191"/>
      <c r="O20" s="191"/>
      <c r="P20" s="191"/>
      <c r="Q20" s="191"/>
      <c r="R20" s="191"/>
      <c r="S20" s="191"/>
      <c r="T20" s="171"/>
      <c r="U20" s="172"/>
      <c r="V20" s="201"/>
      <c r="W20" s="179"/>
    </row>
    <row r="21" spans="1:23" s="173" customFormat="1" ht="63.75" x14ac:dyDescent="0.2">
      <c r="A21" s="202" t="s">
        <v>166</v>
      </c>
      <c r="B21" s="202" t="s">
        <v>167</v>
      </c>
      <c r="C21" s="202" t="s">
        <v>168</v>
      </c>
      <c r="D21" s="202" t="s">
        <v>169</v>
      </c>
      <c r="E21" s="202" t="s">
        <v>170</v>
      </c>
      <c r="F21" s="203" t="s">
        <v>171</v>
      </c>
      <c r="G21" s="202" t="s">
        <v>406</v>
      </c>
      <c r="H21" s="202" t="s">
        <v>407</v>
      </c>
      <c r="I21" s="202" t="s">
        <v>413</v>
      </c>
      <c r="J21" s="203" t="s">
        <v>172</v>
      </c>
      <c r="K21" s="203" t="s">
        <v>173</v>
      </c>
      <c r="L21" s="285" t="s">
        <v>414</v>
      </c>
      <c r="M21" s="204"/>
      <c r="N21" s="204"/>
      <c r="O21" s="204"/>
      <c r="P21" s="204"/>
      <c r="Q21" s="204"/>
      <c r="R21" s="204"/>
      <c r="S21" s="204"/>
      <c r="T21" s="171"/>
      <c r="U21" s="172"/>
      <c r="W21" s="179"/>
    </row>
    <row r="22" spans="1:23" s="173" customFormat="1" x14ac:dyDescent="0.2">
      <c r="A22" s="202">
        <v>1</v>
      </c>
      <c r="B22" s="202">
        <v>2</v>
      </c>
      <c r="C22" s="202">
        <v>3</v>
      </c>
      <c r="D22" s="202">
        <v>4</v>
      </c>
      <c r="E22" s="202">
        <v>5</v>
      </c>
      <c r="F22" s="202">
        <v>6</v>
      </c>
      <c r="G22" s="202">
        <v>7</v>
      </c>
      <c r="H22" s="202">
        <v>8</v>
      </c>
      <c r="I22" s="202"/>
      <c r="J22" s="203">
        <v>9</v>
      </c>
      <c r="K22" s="202">
        <v>10</v>
      </c>
      <c r="L22" s="284">
        <v>11</v>
      </c>
      <c r="M22" s="205"/>
      <c r="N22" s="205"/>
      <c r="O22" s="205"/>
      <c r="P22" s="205"/>
      <c r="Q22" s="205"/>
      <c r="R22" s="205"/>
      <c r="S22" s="205"/>
      <c r="T22" s="171"/>
      <c r="U22" s="172"/>
      <c r="W22" s="179"/>
    </row>
    <row r="23" spans="1:23" s="173" customFormat="1" x14ac:dyDescent="0.2">
      <c r="A23" s="627" t="s">
        <v>174</v>
      </c>
      <c r="B23" s="627"/>
      <c r="C23" s="627"/>
      <c r="D23" s="627"/>
      <c r="E23" s="627"/>
      <c r="F23" s="627"/>
      <c r="G23" s="627"/>
      <c r="H23" s="627"/>
      <c r="I23" s="627"/>
      <c r="J23" s="627"/>
      <c r="K23" s="627"/>
      <c r="L23" s="627"/>
      <c r="M23" s="206"/>
      <c r="N23" s="206"/>
      <c r="O23" s="206"/>
      <c r="P23" s="206"/>
      <c r="Q23" s="206"/>
      <c r="R23" s="206"/>
      <c r="S23" s="206"/>
      <c r="T23" s="171"/>
      <c r="U23" s="172"/>
      <c r="W23" s="179"/>
    </row>
    <row r="24" spans="1:23" s="173" customFormat="1" x14ac:dyDescent="0.2">
      <c r="A24" s="628" t="s">
        <v>175</v>
      </c>
      <c r="B24" s="629"/>
      <c r="C24" s="629"/>
      <c r="D24" s="629"/>
      <c r="E24" s="629"/>
      <c r="F24" s="629"/>
      <c r="G24" s="629"/>
      <c r="H24" s="629"/>
      <c r="I24" s="629"/>
      <c r="J24" s="629"/>
      <c r="K24" s="629"/>
      <c r="L24" s="629"/>
      <c r="M24" s="205"/>
      <c r="N24" s="205"/>
      <c r="O24" s="205"/>
      <c r="P24" s="205"/>
      <c r="Q24" s="205"/>
      <c r="R24" s="205"/>
      <c r="S24" s="205"/>
      <c r="T24" s="171"/>
      <c r="U24" s="172"/>
      <c r="W24" s="179"/>
    </row>
    <row r="25" spans="1:23" s="173" customFormat="1" ht="63.75" x14ac:dyDescent="0.2">
      <c r="A25" s="202">
        <v>1</v>
      </c>
      <c r="B25" s="198" t="str">
        <f>IF(C16=1,"Сбор, обработка и анализ материалов изысканий прошлых лет. Анализ предоставленных заказчиком предпроектных материалов (для районов 1 кат. сложности инж.-геолог. условий)",IF(C16=2,"Сбор, обработка и анализ материалов изысканий прошлых лет. Анализ предоставленных заказчиком предпроектных материалов (для районов 2 кат. сложности инж.-геолог. условий)","Сбор, обработка и анализ материалов изысканий прошлых лет. Анализ предоставленных заказчиком предпроектных материалов (для районов 3 кат. сложности инж.-геолог. условий)"))</f>
        <v>Сбор, обработка и анализ материалов изысканий прошлых лет. Анализ предоставленных заказчиком предпроектных материалов (для районов 2 кат. сложности инж.-геолог. условий)</v>
      </c>
      <c r="C25" s="198" t="s">
        <v>416</v>
      </c>
      <c r="D25" s="202" t="s">
        <v>176</v>
      </c>
      <c r="E25" s="202">
        <v>10</v>
      </c>
      <c r="F25" s="203">
        <v>3.6</v>
      </c>
      <c r="G25" s="202">
        <v>1</v>
      </c>
      <c r="H25" s="202">
        <v>1</v>
      </c>
      <c r="I25" s="202"/>
      <c r="J25" s="203">
        <f>E25*F25*G25*H25</f>
        <v>36</v>
      </c>
      <c r="K25" s="203">
        <f>B$20</f>
        <v>66.38</v>
      </c>
      <c r="L25" s="284">
        <f>J25*K25</f>
        <v>2389.6799999999998</v>
      </c>
      <c r="M25" s="208"/>
      <c r="N25" s="208"/>
      <c r="O25" s="208"/>
      <c r="P25" s="208"/>
      <c r="Q25" s="208"/>
      <c r="R25" s="208"/>
      <c r="S25" s="208"/>
      <c r="T25" s="209"/>
      <c r="U25" s="172"/>
      <c r="W25" s="179"/>
    </row>
    <row r="26" spans="1:23" s="173" customFormat="1" ht="25.5" x14ac:dyDescent="0.2">
      <c r="A26" s="202">
        <v>2</v>
      </c>
      <c r="B26" s="198" t="str">
        <f>IF(C16=1,"Составление программы работ (1-я кат.сложности инж.-геолог. условий)",IF(C16=2,"Составление программы работ (2-я кат.сложности инж.-геолог. условий)","Составление программы работ (3-я кат.сложности инж.-геолог. условий)"))</f>
        <v>Составление программы работ (2-я кат.сложности инж.-геолог. условий)</v>
      </c>
      <c r="C26" s="198" t="s">
        <v>417</v>
      </c>
      <c r="D26" s="202" t="s">
        <v>177</v>
      </c>
      <c r="E26" s="202">
        <v>1</v>
      </c>
      <c r="F26" s="203">
        <v>200</v>
      </c>
      <c r="G26" s="202">
        <v>1.25</v>
      </c>
      <c r="H26" s="202">
        <v>1</v>
      </c>
      <c r="I26" s="202"/>
      <c r="J26" s="203">
        <f>E26*F26*G26*H26</f>
        <v>250</v>
      </c>
      <c r="K26" s="203">
        <f>B$20</f>
        <v>66.38</v>
      </c>
      <c r="L26" s="284">
        <f>J26*K26</f>
        <v>16595</v>
      </c>
      <c r="M26" s="208"/>
      <c r="N26" s="208"/>
      <c r="O26" s="208"/>
      <c r="P26" s="208"/>
      <c r="Q26" s="208"/>
      <c r="R26" s="208"/>
      <c r="S26" s="208"/>
      <c r="T26" s="171"/>
      <c r="U26" s="172"/>
      <c r="W26" s="179"/>
    </row>
    <row r="27" spans="1:23" s="173" customFormat="1" ht="153" customHeight="1" x14ac:dyDescent="0.2">
      <c r="A27" s="202">
        <v>3</v>
      </c>
      <c r="B27" s="199" t="s">
        <v>544</v>
      </c>
      <c r="C27" s="210" t="s">
        <v>418</v>
      </c>
      <c r="D27" s="211" t="s">
        <v>178</v>
      </c>
      <c r="E27" s="211">
        <v>6</v>
      </c>
      <c r="F27" s="212">
        <v>50.7</v>
      </c>
      <c r="G27" s="202">
        <v>1</v>
      </c>
      <c r="H27" s="202">
        <v>1</v>
      </c>
      <c r="I27" s="202"/>
      <c r="J27" s="203">
        <f>E27*F27*G27*H27</f>
        <v>304.20000000000005</v>
      </c>
      <c r="K27" s="203">
        <f>B$20</f>
        <v>66.38</v>
      </c>
      <c r="L27" s="284">
        <f>J27*K27</f>
        <v>20192.796000000002</v>
      </c>
      <c r="M27" s="208"/>
      <c r="N27" s="208"/>
      <c r="O27" s="208"/>
      <c r="P27" s="208"/>
      <c r="Q27" s="208"/>
      <c r="R27" s="208"/>
      <c r="S27" s="208"/>
      <c r="W27" s="179"/>
    </row>
    <row r="28" spans="1:23" s="173" customFormat="1" ht="13.15" customHeight="1" x14ac:dyDescent="0.2">
      <c r="A28" s="633" t="s">
        <v>475</v>
      </c>
      <c r="B28" s="631"/>
      <c r="C28" s="631"/>
      <c r="D28" s="631"/>
      <c r="E28" s="631"/>
      <c r="F28" s="631"/>
      <c r="G28" s="631" t="s">
        <v>476</v>
      </c>
      <c r="H28" s="631"/>
      <c r="I28" s="632"/>
      <c r="J28" s="400">
        <f>J27+J26+J25</f>
        <v>590.20000000000005</v>
      </c>
      <c r="K28" s="400">
        <f>K27</f>
        <v>66.38</v>
      </c>
      <c r="L28" s="286">
        <f>SUM(L25:L27)</f>
        <v>39177.476000000002</v>
      </c>
      <c r="M28" s="213"/>
      <c r="N28" s="213"/>
      <c r="O28" s="213"/>
      <c r="P28" s="213"/>
      <c r="Q28" s="213"/>
      <c r="R28" s="213"/>
      <c r="S28" s="213"/>
      <c r="T28" s="214">
        <f>SUM(L25:L27)</f>
        <v>39177.476000000002</v>
      </c>
      <c r="U28" s="172"/>
      <c r="W28" s="179"/>
    </row>
    <row r="29" spans="1:23" s="173" customFormat="1" ht="13.15" customHeight="1" x14ac:dyDescent="0.2">
      <c r="A29" s="633" t="s">
        <v>477</v>
      </c>
      <c r="B29" s="631"/>
      <c r="C29" s="631"/>
      <c r="D29" s="631"/>
      <c r="E29" s="631"/>
      <c r="F29" s="631"/>
      <c r="G29" s="631"/>
      <c r="H29" s="631"/>
      <c r="I29" s="632"/>
      <c r="J29" s="399"/>
      <c r="K29" s="399"/>
      <c r="L29" s="286">
        <f>L28</f>
        <v>39177.476000000002</v>
      </c>
      <c r="M29" s="213"/>
      <c r="N29" s="213"/>
      <c r="O29" s="213"/>
      <c r="P29" s="213"/>
      <c r="Q29" s="213"/>
      <c r="R29" s="213"/>
      <c r="S29" s="213"/>
      <c r="T29" s="214">
        <f>SUM(L26:L28)</f>
        <v>75965.271999999997</v>
      </c>
      <c r="U29" s="172"/>
      <c r="W29" s="179"/>
    </row>
    <row r="30" spans="1:23" s="173" customFormat="1" x14ac:dyDescent="0.2">
      <c r="A30" s="628" t="s">
        <v>42</v>
      </c>
      <c r="B30" s="628"/>
      <c r="C30" s="628"/>
      <c r="D30" s="628"/>
      <c r="E30" s="628"/>
      <c r="F30" s="628"/>
      <c r="G30" s="628"/>
      <c r="H30" s="628"/>
      <c r="I30" s="628"/>
      <c r="J30" s="628"/>
      <c r="K30" s="628"/>
      <c r="L30" s="628"/>
      <c r="M30" s="215"/>
      <c r="N30" s="215"/>
      <c r="O30" s="215"/>
      <c r="P30" s="215"/>
      <c r="Q30" s="215"/>
      <c r="R30" s="215"/>
      <c r="S30" s="215"/>
      <c r="T30" s="171"/>
      <c r="U30" s="172"/>
    </row>
    <row r="31" spans="1:23" s="173" customFormat="1" ht="38.25" x14ac:dyDescent="0.2">
      <c r="A31" s="193">
        <v>4</v>
      </c>
      <c r="B31" s="216" t="s">
        <v>415</v>
      </c>
      <c r="C31" s="217" t="s">
        <v>420</v>
      </c>
      <c r="D31" s="202" t="s">
        <v>179</v>
      </c>
      <c r="E31" s="202">
        <v>1</v>
      </c>
      <c r="F31" s="203">
        <v>23.3</v>
      </c>
      <c r="G31" s="202">
        <v>1.1000000000000001</v>
      </c>
      <c r="H31" s="202">
        <v>1</v>
      </c>
      <c r="I31" s="202"/>
      <c r="J31" s="203">
        <f>H31*G31*F31*E31</f>
        <v>25.630000000000003</v>
      </c>
      <c r="K31" s="203">
        <f t="shared" ref="K31:K53" si="0">B$20</f>
        <v>66.38</v>
      </c>
      <c r="L31" s="284">
        <f>J31*K31</f>
        <v>1701.3194000000001</v>
      </c>
      <c r="M31" s="208"/>
      <c r="N31" s="208"/>
      <c r="O31" s="208"/>
      <c r="P31" s="208"/>
      <c r="Q31" s="208"/>
      <c r="R31" s="208"/>
      <c r="S31" s="208"/>
      <c r="T31" s="171"/>
      <c r="U31" s="172"/>
    </row>
    <row r="32" spans="1:23" s="173" customFormat="1" ht="38.25" x14ac:dyDescent="0.2">
      <c r="A32" s="193">
        <v>5</v>
      </c>
      <c r="B32" s="216" t="s">
        <v>296</v>
      </c>
      <c r="C32" s="217" t="s">
        <v>419</v>
      </c>
      <c r="D32" s="202" t="s">
        <v>179</v>
      </c>
      <c r="E32" s="202">
        <f>E31</f>
        <v>1</v>
      </c>
      <c r="F32" s="203">
        <v>3.24</v>
      </c>
      <c r="G32" s="202">
        <v>1.1000000000000001</v>
      </c>
      <c r="H32" s="202">
        <v>1</v>
      </c>
      <c r="I32" s="202"/>
      <c r="J32" s="392">
        <f>H32*G32*F32*E32</f>
        <v>3.5640000000000005</v>
      </c>
      <c r="K32" s="203">
        <f t="shared" si="0"/>
        <v>66.38</v>
      </c>
      <c r="L32" s="287">
        <f>J32*K32</f>
        <v>236.57832000000002</v>
      </c>
      <c r="M32" s="218"/>
      <c r="N32" s="218"/>
      <c r="O32" s="218"/>
      <c r="P32" s="218"/>
      <c r="Q32" s="218"/>
      <c r="R32" s="218"/>
      <c r="S32" s="218"/>
      <c r="T32" s="171"/>
      <c r="U32" s="172"/>
    </row>
    <row r="33" spans="1:32" s="173" customFormat="1" ht="63.75" x14ac:dyDescent="0.2">
      <c r="A33" s="193" t="s">
        <v>370</v>
      </c>
      <c r="B33" s="219" t="s">
        <v>408</v>
      </c>
      <c r="C33" s="219" t="s">
        <v>375</v>
      </c>
      <c r="D33" s="220" t="s">
        <v>179</v>
      </c>
      <c r="E33" s="221">
        <v>1</v>
      </c>
      <c r="F33" s="222">
        <v>14.4</v>
      </c>
      <c r="G33" s="220">
        <v>1</v>
      </c>
      <c r="H33" s="220">
        <v>1</v>
      </c>
      <c r="I33" s="220"/>
      <c r="J33" s="203">
        <f t="shared" ref="J33:J41" si="1">E33*F33*G33*H33</f>
        <v>14.4</v>
      </c>
      <c r="K33" s="203">
        <f t="shared" si="0"/>
        <v>66.38</v>
      </c>
      <c r="L33" s="284">
        <f t="shared" ref="L33:L47" si="2">J33*K33</f>
        <v>955.87199999999996</v>
      </c>
      <c r="M33" s="208"/>
      <c r="N33" s="208"/>
      <c r="O33" s="208"/>
      <c r="P33" s="208"/>
      <c r="Q33" s="208"/>
      <c r="R33" s="208"/>
      <c r="S33" s="208"/>
      <c r="T33" s="171"/>
      <c r="U33" s="172"/>
      <c r="W33" s="172"/>
      <c r="Y33" s="223"/>
    </row>
    <row r="34" spans="1:32" s="173" customFormat="1" ht="51" x14ac:dyDescent="0.2">
      <c r="A34" s="193" t="s">
        <v>371</v>
      </c>
      <c r="B34" s="219" t="s">
        <v>409</v>
      </c>
      <c r="C34" s="219" t="s">
        <v>376</v>
      </c>
      <c r="D34" s="220" t="s">
        <v>179</v>
      </c>
      <c r="E34" s="221">
        <v>1</v>
      </c>
      <c r="F34" s="222">
        <v>16.3</v>
      </c>
      <c r="G34" s="220">
        <v>1</v>
      </c>
      <c r="H34" s="220">
        <v>1</v>
      </c>
      <c r="I34" s="220"/>
      <c r="J34" s="203">
        <f t="shared" ref="J34" si="3">E34*F34*G34*H34</f>
        <v>16.3</v>
      </c>
      <c r="K34" s="203">
        <f t="shared" ref="K34" si="4">B$20</f>
        <v>66.38</v>
      </c>
      <c r="L34" s="284">
        <f t="shared" ref="L34" si="5">J34*K34</f>
        <v>1081.9939999999999</v>
      </c>
      <c r="M34" s="208"/>
      <c r="N34" s="208"/>
      <c r="O34" s="208"/>
      <c r="P34" s="208"/>
      <c r="Q34" s="208"/>
      <c r="R34" s="208"/>
      <c r="S34" s="208"/>
      <c r="T34" s="171"/>
      <c r="U34" s="172"/>
      <c r="W34" s="172"/>
      <c r="Y34" s="223"/>
    </row>
    <row r="35" spans="1:32" s="173" customFormat="1" ht="108" customHeight="1" x14ac:dyDescent="0.2">
      <c r="A35" s="193">
        <v>7</v>
      </c>
      <c r="B35" s="216" t="s">
        <v>410</v>
      </c>
      <c r="C35" s="224" t="s">
        <v>377</v>
      </c>
      <c r="D35" s="202" t="s">
        <v>179</v>
      </c>
      <c r="E35" s="202">
        <f>E33</f>
        <v>1</v>
      </c>
      <c r="F35" s="203">
        <v>16.3</v>
      </c>
      <c r="G35" s="202">
        <v>1.3</v>
      </c>
      <c r="H35" s="202">
        <v>1</v>
      </c>
      <c r="I35" s="202"/>
      <c r="J35" s="203">
        <f>H35*G35*F35*E35</f>
        <v>21.19</v>
      </c>
      <c r="K35" s="203">
        <f t="shared" si="0"/>
        <v>66.38</v>
      </c>
      <c r="L35" s="284">
        <f>J35*K35</f>
        <v>1406.5922</v>
      </c>
      <c r="M35" s="208"/>
      <c r="N35" s="208"/>
      <c r="O35" s="208"/>
      <c r="P35" s="208"/>
      <c r="Q35" s="208"/>
      <c r="R35" s="208"/>
      <c r="S35" s="208"/>
      <c r="U35" s="171"/>
      <c r="Y35" s="225"/>
    </row>
    <row r="36" spans="1:32" s="173" customFormat="1" ht="120" customHeight="1" x14ac:dyDescent="0.2">
      <c r="A36" s="193">
        <v>8</v>
      </c>
      <c r="B36" s="219" t="s">
        <v>411</v>
      </c>
      <c r="C36" s="219" t="s">
        <v>518</v>
      </c>
      <c r="D36" s="220" t="s">
        <v>180</v>
      </c>
      <c r="E36" s="226">
        <v>2</v>
      </c>
      <c r="F36" s="227">
        <v>11.7</v>
      </c>
      <c r="G36" s="220">
        <v>1</v>
      </c>
      <c r="H36" s="220">
        <v>1</v>
      </c>
      <c r="I36" s="220">
        <v>1.1499999999999999</v>
      </c>
      <c r="J36" s="203">
        <f>E36*F36*G36*H36</f>
        <v>23.4</v>
      </c>
      <c r="K36" s="203">
        <f t="shared" si="0"/>
        <v>66.38</v>
      </c>
      <c r="L36" s="284">
        <f>J36*K36</f>
        <v>1553.2919999999997</v>
      </c>
      <c r="M36" s="208"/>
      <c r="N36" s="208"/>
      <c r="O36" s="208"/>
      <c r="P36" s="208"/>
      <c r="Q36" s="208"/>
      <c r="R36" s="208"/>
      <c r="S36" s="208"/>
      <c r="T36" s="171"/>
      <c r="U36" s="172"/>
    </row>
    <row r="37" spans="1:32" s="173" customFormat="1" ht="139.9" customHeight="1" x14ac:dyDescent="0.2">
      <c r="A37" s="193">
        <v>9</v>
      </c>
      <c r="B37" s="219" t="s">
        <v>369</v>
      </c>
      <c r="C37" s="219" t="s">
        <v>519</v>
      </c>
      <c r="D37" s="220" t="s">
        <v>180</v>
      </c>
      <c r="E37" s="228">
        <v>2</v>
      </c>
      <c r="F37" s="227">
        <v>11.7</v>
      </c>
      <c r="G37" s="220">
        <v>1</v>
      </c>
      <c r="H37" s="220">
        <v>0.4</v>
      </c>
      <c r="I37" s="220">
        <v>1.1499999999999999</v>
      </c>
      <c r="J37" s="203">
        <f>E37*F37*G37*H37*I37</f>
        <v>10.763999999999999</v>
      </c>
      <c r="K37" s="203">
        <f t="shared" si="0"/>
        <v>66.38</v>
      </c>
      <c r="L37" s="284">
        <f t="shared" si="2"/>
        <v>714.51431999999988</v>
      </c>
      <c r="M37" s="208"/>
      <c r="N37" s="208"/>
      <c r="O37" s="208"/>
      <c r="P37" s="208"/>
      <c r="Q37" s="208"/>
      <c r="R37" s="208"/>
      <c r="S37" s="208"/>
      <c r="T37" s="171"/>
      <c r="U37" s="172"/>
    </row>
    <row r="38" spans="1:32" s="173" customFormat="1" ht="169.9" customHeight="1" x14ac:dyDescent="0.2">
      <c r="A38" s="193">
        <v>10</v>
      </c>
      <c r="B38" s="216" t="s">
        <v>412</v>
      </c>
      <c r="C38" s="229" t="s">
        <v>520</v>
      </c>
      <c r="D38" s="220" t="s">
        <v>180</v>
      </c>
      <c r="E38" s="228">
        <v>2</v>
      </c>
      <c r="F38" s="227">
        <v>11.7</v>
      </c>
      <c r="G38" s="220">
        <v>1</v>
      </c>
      <c r="H38" s="220">
        <v>1.3</v>
      </c>
      <c r="I38" s="220">
        <v>1.1499999999999999</v>
      </c>
      <c r="J38" s="203">
        <f>E38*F38*G38*H38*I38</f>
        <v>34.982999999999997</v>
      </c>
      <c r="K38" s="203">
        <f>B$20</f>
        <v>66.38</v>
      </c>
      <c r="L38" s="284">
        <f t="shared" si="2"/>
        <v>2322.1715399999998</v>
      </c>
      <c r="M38" s="208"/>
      <c r="N38" s="208"/>
      <c r="O38" s="208"/>
      <c r="P38" s="208"/>
      <c r="Q38" s="208"/>
      <c r="R38" s="208"/>
      <c r="S38" s="208"/>
      <c r="T38" s="171"/>
      <c r="U38" s="172"/>
    </row>
    <row r="39" spans="1:32" s="173" customFormat="1" ht="30.6" customHeight="1" x14ac:dyDescent="0.2">
      <c r="A39" s="193">
        <v>11</v>
      </c>
      <c r="B39" s="219" t="s">
        <v>181</v>
      </c>
      <c r="C39" s="219" t="s">
        <v>421</v>
      </c>
      <c r="D39" s="220" t="s">
        <v>182</v>
      </c>
      <c r="E39" s="226">
        <v>1</v>
      </c>
      <c r="F39" s="227">
        <v>1.9</v>
      </c>
      <c r="G39" s="220">
        <v>1</v>
      </c>
      <c r="H39" s="220">
        <v>1</v>
      </c>
      <c r="I39" s="220"/>
      <c r="J39" s="203">
        <f t="shared" si="1"/>
        <v>1.9</v>
      </c>
      <c r="K39" s="203">
        <f t="shared" si="0"/>
        <v>66.38</v>
      </c>
      <c r="L39" s="284">
        <f t="shared" si="2"/>
        <v>126.12199999999999</v>
      </c>
      <c r="M39" s="208"/>
      <c r="N39" s="208"/>
      <c r="O39" s="208"/>
      <c r="P39" s="208"/>
      <c r="Q39" s="208"/>
      <c r="R39" s="208"/>
      <c r="S39" s="208"/>
      <c r="T39" s="171"/>
      <c r="U39" s="172"/>
    </row>
    <row r="40" spans="1:32" s="173" customFormat="1" ht="38.25" x14ac:dyDescent="0.2">
      <c r="A40" s="193">
        <v>12</v>
      </c>
      <c r="B40" s="199" t="s">
        <v>380</v>
      </c>
      <c r="C40" s="199" t="s">
        <v>422</v>
      </c>
      <c r="D40" s="202" t="s">
        <v>113</v>
      </c>
      <c r="E40" s="207">
        <v>3</v>
      </c>
      <c r="F40" s="203">
        <v>6.9</v>
      </c>
      <c r="G40" s="202">
        <v>1</v>
      </c>
      <c r="H40" s="202">
        <v>1</v>
      </c>
      <c r="I40" s="202"/>
      <c r="J40" s="203">
        <f>E40*F40*G40*H40</f>
        <v>20.700000000000003</v>
      </c>
      <c r="K40" s="203">
        <f>B$20</f>
        <v>66.38</v>
      </c>
      <c r="L40" s="284">
        <f>J40*K40</f>
        <v>1374.066</v>
      </c>
      <c r="M40" s="208"/>
      <c r="N40" s="208"/>
      <c r="O40" s="208"/>
      <c r="P40" s="208"/>
      <c r="Q40" s="208"/>
      <c r="R40" s="208"/>
      <c r="S40" s="208"/>
      <c r="T40" s="171"/>
      <c r="U40" s="172"/>
      <c r="AF40" s="223"/>
    </row>
    <row r="41" spans="1:32" s="173" customFormat="1" ht="25.5" x14ac:dyDescent="0.2">
      <c r="A41" s="193">
        <v>13</v>
      </c>
      <c r="B41" s="199" t="s">
        <v>385</v>
      </c>
      <c r="C41" s="194" t="s">
        <v>422</v>
      </c>
      <c r="D41" s="202" t="s">
        <v>113</v>
      </c>
      <c r="E41" s="207">
        <v>2</v>
      </c>
      <c r="F41" s="203">
        <v>6.9</v>
      </c>
      <c r="G41" s="202">
        <v>1</v>
      </c>
      <c r="H41" s="202">
        <v>1</v>
      </c>
      <c r="I41" s="202"/>
      <c r="J41" s="203">
        <f t="shared" si="1"/>
        <v>13.8</v>
      </c>
      <c r="K41" s="203">
        <f t="shared" si="0"/>
        <v>66.38</v>
      </c>
      <c r="L41" s="284">
        <f t="shared" si="2"/>
        <v>916.04399999999998</v>
      </c>
      <c r="M41" s="208"/>
      <c r="N41" s="208"/>
      <c r="O41" s="208"/>
      <c r="P41" s="208"/>
      <c r="Q41" s="208"/>
      <c r="R41" s="208"/>
      <c r="S41" s="208"/>
      <c r="T41" s="171"/>
      <c r="U41" s="172"/>
    </row>
    <row r="42" spans="1:32" s="173" customFormat="1" ht="45.6" customHeight="1" x14ac:dyDescent="0.2">
      <c r="A42" s="193">
        <v>14</v>
      </c>
      <c r="B42" s="199" t="s">
        <v>381</v>
      </c>
      <c r="C42" s="194" t="s">
        <v>423</v>
      </c>
      <c r="D42" s="202" t="s">
        <v>113</v>
      </c>
      <c r="E42" s="207">
        <v>1</v>
      </c>
      <c r="F42" s="203">
        <v>37.700000000000003</v>
      </c>
      <c r="G42" s="202">
        <v>10</v>
      </c>
      <c r="H42" s="202">
        <v>1</v>
      </c>
      <c r="I42" s="202"/>
      <c r="J42" s="203">
        <f>E42*F42*G42*H42</f>
        <v>377</v>
      </c>
      <c r="K42" s="203">
        <f t="shared" si="0"/>
        <v>66.38</v>
      </c>
      <c r="L42" s="284">
        <f>J42*K42</f>
        <v>25025.26</v>
      </c>
      <c r="M42" s="208"/>
      <c r="N42" s="208"/>
      <c r="O42" s="208"/>
      <c r="P42" s="208"/>
      <c r="Q42" s="208"/>
      <c r="R42" s="208"/>
      <c r="S42" s="208"/>
      <c r="T42" s="230"/>
      <c r="U42" s="172"/>
    </row>
    <row r="43" spans="1:32" s="173" customFormat="1" ht="52.9" customHeight="1" x14ac:dyDescent="0.2">
      <c r="A43" s="193">
        <v>15</v>
      </c>
      <c r="B43" s="199" t="s">
        <v>382</v>
      </c>
      <c r="C43" s="194" t="s">
        <v>424</v>
      </c>
      <c r="D43" s="202" t="s">
        <v>113</v>
      </c>
      <c r="E43" s="207">
        <v>1</v>
      </c>
      <c r="F43" s="203">
        <v>37.700000000000003</v>
      </c>
      <c r="G43" s="202">
        <v>10</v>
      </c>
      <c r="H43" s="202">
        <v>0.9</v>
      </c>
      <c r="I43" s="202"/>
      <c r="J43" s="203">
        <f>E43*F43*G43*H43</f>
        <v>339.3</v>
      </c>
      <c r="K43" s="203">
        <f>B$20</f>
        <v>66.38</v>
      </c>
      <c r="L43" s="284">
        <f>J43*K43</f>
        <v>22522.734</v>
      </c>
      <c r="M43" s="208"/>
      <c r="N43" s="208"/>
      <c r="O43" s="208"/>
      <c r="P43" s="208"/>
      <c r="Q43" s="208"/>
      <c r="R43" s="208"/>
      <c r="S43" s="208"/>
      <c r="T43" s="171"/>
      <c r="U43" s="172"/>
    </row>
    <row r="44" spans="1:32" s="173" customFormat="1" ht="33" customHeight="1" x14ac:dyDescent="0.2">
      <c r="A44" s="193">
        <v>16</v>
      </c>
      <c r="B44" s="199" t="s">
        <v>384</v>
      </c>
      <c r="C44" s="198" t="s">
        <v>383</v>
      </c>
      <c r="D44" s="202" t="s">
        <v>113</v>
      </c>
      <c r="E44" s="207">
        <v>1</v>
      </c>
      <c r="F44" s="203">
        <v>6.9</v>
      </c>
      <c r="G44" s="202">
        <v>1</v>
      </c>
      <c r="H44" s="202">
        <v>1.2</v>
      </c>
      <c r="I44" s="202"/>
      <c r="J44" s="203">
        <f>E44*F44*G44*H44</f>
        <v>8.2799999999999994</v>
      </c>
      <c r="K44" s="203">
        <f t="shared" si="0"/>
        <v>66.38</v>
      </c>
      <c r="L44" s="284">
        <f t="shared" si="2"/>
        <v>549.62639999999988</v>
      </c>
      <c r="M44" s="208"/>
      <c r="N44" s="208"/>
      <c r="O44" s="208"/>
      <c r="P44" s="208"/>
      <c r="Q44" s="208"/>
      <c r="R44" s="208"/>
      <c r="S44" s="208"/>
      <c r="T44" s="171"/>
      <c r="U44" s="172"/>
    </row>
    <row r="45" spans="1:32" s="173" customFormat="1" ht="44.45" customHeight="1" x14ac:dyDescent="0.2">
      <c r="A45" s="193">
        <v>17</v>
      </c>
      <c r="B45" s="198" t="s">
        <v>521</v>
      </c>
      <c r="C45" s="198" t="s">
        <v>522</v>
      </c>
      <c r="D45" s="202" t="s">
        <v>113</v>
      </c>
      <c r="E45" s="231">
        <v>1</v>
      </c>
      <c r="F45" s="203">
        <v>7.6</v>
      </c>
      <c r="G45" s="202">
        <v>1</v>
      </c>
      <c r="H45" s="202">
        <v>0.5</v>
      </c>
      <c r="I45" s="202"/>
      <c r="J45" s="203">
        <f>E45*F45*G45*H45</f>
        <v>3.8</v>
      </c>
      <c r="K45" s="203">
        <f t="shared" si="0"/>
        <v>66.38</v>
      </c>
      <c r="L45" s="284">
        <f>J45*K45</f>
        <v>252.24399999999997</v>
      </c>
      <c r="M45" s="208"/>
      <c r="N45" s="208"/>
      <c r="O45" s="208"/>
      <c r="P45" s="208"/>
      <c r="Q45" s="208"/>
      <c r="R45" s="208"/>
      <c r="S45" s="208"/>
      <c r="T45" s="171"/>
      <c r="U45" s="172"/>
    </row>
    <row r="46" spans="1:32" s="173" customFormat="1" ht="27.6" customHeight="1" x14ac:dyDescent="0.2">
      <c r="A46" s="193">
        <v>18</v>
      </c>
      <c r="B46" s="198" t="s">
        <v>183</v>
      </c>
      <c r="C46" s="198" t="s">
        <v>390</v>
      </c>
      <c r="D46" s="202" t="s">
        <v>184</v>
      </c>
      <c r="E46" s="203">
        <f>0.38*10</f>
        <v>3.8</v>
      </c>
      <c r="F46" s="203">
        <v>49.2</v>
      </c>
      <c r="G46" s="202">
        <v>1</v>
      </c>
      <c r="H46" s="202">
        <v>1</v>
      </c>
      <c r="I46" s="202"/>
      <c r="J46" s="203">
        <f t="shared" ref="J46:J47" si="6">E46*F46*G46*H46</f>
        <v>186.96</v>
      </c>
      <c r="K46" s="203">
        <f t="shared" ref="K46:K47" si="7">B$20</f>
        <v>66.38</v>
      </c>
      <c r="L46" s="284">
        <f t="shared" si="2"/>
        <v>12410.4048</v>
      </c>
      <c r="M46" s="208"/>
      <c r="N46" s="208"/>
      <c r="O46" s="208"/>
      <c r="P46" s="208"/>
      <c r="Q46" s="208"/>
      <c r="R46" s="208"/>
      <c r="S46" s="208"/>
      <c r="T46" s="171"/>
      <c r="U46" s="172"/>
    </row>
    <row r="47" spans="1:32" s="173" customFormat="1" ht="79.150000000000006" customHeight="1" x14ac:dyDescent="0.2">
      <c r="A47" s="193">
        <v>19</v>
      </c>
      <c r="B47" s="198" t="s">
        <v>425</v>
      </c>
      <c r="C47" s="198" t="s">
        <v>545</v>
      </c>
      <c r="D47" s="202" t="s">
        <v>185</v>
      </c>
      <c r="E47" s="207">
        <v>1</v>
      </c>
      <c r="F47" s="203">
        <v>535</v>
      </c>
      <c r="G47" s="202">
        <v>0.75</v>
      </c>
      <c r="H47" s="202">
        <v>1</v>
      </c>
      <c r="I47" s="202"/>
      <c r="J47" s="203">
        <f t="shared" si="6"/>
        <v>401.25</v>
      </c>
      <c r="K47" s="203">
        <f t="shared" si="7"/>
        <v>66.38</v>
      </c>
      <c r="L47" s="284">
        <f t="shared" si="2"/>
        <v>26634.974999999999</v>
      </c>
      <c r="M47" s="208">
        <f>535/20*15</f>
        <v>401.25</v>
      </c>
      <c r="N47" s="208"/>
      <c r="O47" s="208"/>
      <c r="P47" s="208"/>
      <c r="Q47" s="208"/>
      <c r="R47" s="208"/>
      <c r="S47" s="208"/>
      <c r="T47" s="171"/>
      <c r="U47" s="172"/>
    </row>
    <row r="48" spans="1:32" s="173" customFormat="1" x14ac:dyDescent="0.2">
      <c r="A48" s="630" t="s">
        <v>470</v>
      </c>
      <c r="B48" s="630"/>
      <c r="C48" s="630"/>
      <c r="D48" s="630"/>
      <c r="E48" s="630"/>
      <c r="F48" s="630"/>
      <c r="G48" s="630"/>
      <c r="H48" s="232"/>
      <c r="I48" s="232"/>
      <c r="J48" s="393">
        <f>SUM(J31:J47)</f>
        <v>1503.221</v>
      </c>
      <c r="K48" s="203">
        <f t="shared" si="0"/>
        <v>66.38</v>
      </c>
      <c r="L48" s="286">
        <f>J48*K48</f>
        <v>99783.809979999991</v>
      </c>
      <c r="M48" s="233">
        <f>M47/F47</f>
        <v>0.75</v>
      </c>
      <c r="N48" s="234"/>
      <c r="O48" s="234"/>
      <c r="P48" s="234"/>
      <c r="Q48" s="234"/>
      <c r="R48" s="234"/>
      <c r="S48" s="234"/>
      <c r="T48" s="235"/>
      <c r="U48" s="236"/>
      <c r="V48" s="137"/>
      <c r="W48" s="137"/>
    </row>
    <row r="49" spans="1:24" s="173" customFormat="1" x14ac:dyDescent="0.2">
      <c r="A49" s="638" t="s">
        <v>471</v>
      </c>
      <c r="B49" s="638"/>
      <c r="C49" s="638"/>
      <c r="D49" s="638"/>
      <c r="E49" s="638"/>
      <c r="F49" s="638"/>
      <c r="G49" s="638"/>
      <c r="H49" s="237"/>
      <c r="I49" s="237"/>
      <c r="J49" s="394"/>
      <c r="K49" s="203"/>
      <c r="L49" s="286">
        <f>L48</f>
        <v>99783.809979999991</v>
      </c>
      <c r="M49" s="238"/>
      <c r="N49" s="238"/>
      <c r="O49" s="238"/>
      <c r="P49" s="238"/>
      <c r="Q49" s="238"/>
      <c r="R49" s="238"/>
      <c r="S49" s="238"/>
      <c r="T49" s="626"/>
      <c r="U49" s="626"/>
      <c r="V49" s="626"/>
    </row>
    <row r="50" spans="1:24" s="173" customFormat="1" x14ac:dyDescent="0.2">
      <c r="A50" s="646" t="s">
        <v>146</v>
      </c>
      <c r="B50" s="647"/>
      <c r="C50" s="647"/>
      <c r="D50" s="647"/>
      <c r="E50" s="647"/>
      <c r="F50" s="647"/>
      <c r="G50" s="647"/>
      <c r="H50" s="647"/>
      <c r="I50" s="647"/>
      <c r="J50" s="647"/>
      <c r="K50" s="647"/>
      <c r="L50" s="648"/>
      <c r="M50" s="238"/>
      <c r="N50" s="238"/>
      <c r="O50" s="238"/>
      <c r="P50" s="238"/>
      <c r="Q50" s="238"/>
      <c r="R50" s="238"/>
      <c r="S50" s="238"/>
      <c r="T50" s="172"/>
      <c r="U50" s="172"/>
      <c r="V50" s="172"/>
    </row>
    <row r="51" spans="1:24" s="173" customFormat="1" ht="55.15" customHeight="1" x14ac:dyDescent="0.2">
      <c r="A51" s="202">
        <v>20</v>
      </c>
      <c r="B51" s="199" t="s">
        <v>464</v>
      </c>
      <c r="C51" s="199" t="s">
        <v>463</v>
      </c>
      <c r="D51" s="202" t="s">
        <v>525</v>
      </c>
      <c r="E51" s="202" t="s">
        <v>186</v>
      </c>
      <c r="F51" s="239">
        <v>0.16250000000000001</v>
      </c>
      <c r="G51" s="202"/>
      <c r="H51" s="202"/>
      <c r="I51" s="202"/>
      <c r="J51" s="203">
        <f>J48*F51</f>
        <v>244.27341250000001</v>
      </c>
      <c r="K51" s="203">
        <f t="shared" si="0"/>
        <v>66.38</v>
      </c>
      <c r="L51" s="284">
        <f>J51*K51</f>
        <v>16214.86912175</v>
      </c>
      <c r="M51" s="208"/>
      <c r="N51" s="208"/>
      <c r="O51" s="208"/>
      <c r="P51" s="208"/>
      <c r="Q51" s="208"/>
      <c r="R51" s="208"/>
      <c r="S51" s="208"/>
      <c r="T51" s="171"/>
      <c r="U51" s="172"/>
    </row>
    <row r="52" spans="1:24" s="173" customFormat="1" ht="63.75" x14ac:dyDescent="0.2">
      <c r="A52" s="202">
        <v>21</v>
      </c>
      <c r="B52" s="199" t="s">
        <v>388</v>
      </c>
      <c r="C52" s="199" t="s">
        <v>426</v>
      </c>
      <c r="D52" s="202" t="s">
        <v>524</v>
      </c>
      <c r="E52" s="202" t="s">
        <v>186</v>
      </c>
      <c r="F52" s="239">
        <v>0.36399999999999999</v>
      </c>
      <c r="G52" s="202"/>
      <c r="H52" s="202"/>
      <c r="I52" s="202"/>
      <c r="J52" s="203">
        <f>(J49+J51)*F52</f>
        <v>88.915522150000001</v>
      </c>
      <c r="K52" s="203">
        <f t="shared" si="0"/>
        <v>66.38</v>
      </c>
      <c r="L52" s="284">
        <f>J52*K52</f>
        <v>5902.2123603169994</v>
      </c>
      <c r="M52" s="204">
        <f>J51+J49</f>
        <v>244.27341250000001</v>
      </c>
      <c r="N52" s="208"/>
      <c r="O52" s="208"/>
      <c r="P52" s="208"/>
      <c r="Q52" s="208"/>
      <c r="R52" s="208"/>
      <c r="S52" s="208"/>
      <c r="T52" s="171"/>
      <c r="U52" s="172"/>
    </row>
    <row r="53" spans="1:24" s="173" customFormat="1" ht="109.9" customHeight="1" x14ac:dyDescent="0.2">
      <c r="A53" s="202">
        <v>22</v>
      </c>
      <c r="B53" s="199" t="s">
        <v>386</v>
      </c>
      <c r="C53" s="198" t="s">
        <v>387</v>
      </c>
      <c r="D53" s="202" t="s">
        <v>523</v>
      </c>
      <c r="E53" s="202" t="s">
        <v>186</v>
      </c>
      <c r="F53" s="240">
        <v>0.06</v>
      </c>
      <c r="G53" s="241">
        <v>2.5</v>
      </c>
      <c r="H53" s="202"/>
      <c r="I53" s="202"/>
      <c r="J53" s="203">
        <f>(J49+J51)*F53*G53</f>
        <v>36.641011875000004</v>
      </c>
      <c r="K53" s="203">
        <f t="shared" si="0"/>
        <v>66.38</v>
      </c>
      <c r="L53" s="284">
        <f>J53*K53</f>
        <v>2432.2303682625002</v>
      </c>
      <c r="M53" s="208">
        <f>J49+J51</f>
        <v>244.27341250000001</v>
      </c>
      <c r="N53" s="208"/>
      <c r="O53" s="208"/>
      <c r="P53" s="208"/>
      <c r="Q53" s="208"/>
      <c r="R53" s="208"/>
      <c r="S53" s="208"/>
      <c r="T53" s="171"/>
      <c r="U53" s="172"/>
    </row>
    <row r="54" spans="1:24" s="173" customFormat="1" ht="25.15" customHeight="1" x14ac:dyDescent="0.2">
      <c r="A54" s="633" t="s">
        <v>456</v>
      </c>
      <c r="B54" s="631"/>
      <c r="C54" s="631"/>
      <c r="D54" s="631"/>
      <c r="E54" s="631"/>
      <c r="F54" s="631"/>
      <c r="G54" s="631"/>
      <c r="H54" s="631" t="s">
        <v>526</v>
      </c>
      <c r="I54" s="632"/>
      <c r="J54" s="400">
        <f>SUM(J51:J53)</f>
        <v>369.82994652500003</v>
      </c>
      <c r="K54" s="399">
        <v>66.38</v>
      </c>
      <c r="L54" s="284">
        <f>SUM(L51:L53)</f>
        <v>24549.311850329497</v>
      </c>
      <c r="M54" s="242"/>
      <c r="N54" s="242"/>
      <c r="O54" s="242"/>
      <c r="P54" s="242"/>
      <c r="Q54" s="242"/>
      <c r="R54" s="242"/>
      <c r="S54" s="242"/>
      <c r="T54" s="171"/>
      <c r="U54" s="172"/>
    </row>
    <row r="55" spans="1:24" s="173" customFormat="1" x14ac:dyDescent="0.2">
      <c r="A55" s="630" t="s">
        <v>472</v>
      </c>
      <c r="B55" s="630"/>
      <c r="C55" s="630"/>
      <c r="D55" s="630"/>
      <c r="E55" s="630"/>
      <c r="F55" s="630"/>
      <c r="G55" s="630"/>
      <c r="H55" s="243"/>
      <c r="I55" s="243"/>
      <c r="J55" s="394"/>
      <c r="K55" s="203"/>
      <c r="L55" s="286">
        <f>L54</f>
        <v>24549.311850329497</v>
      </c>
      <c r="M55" s="238"/>
      <c r="N55" s="238"/>
      <c r="O55" s="238"/>
      <c r="P55" s="238"/>
      <c r="Q55" s="238"/>
      <c r="R55" s="238"/>
      <c r="S55" s="238"/>
      <c r="T55" s="214"/>
      <c r="U55" s="172"/>
    </row>
    <row r="56" spans="1:24" s="173" customFormat="1" x14ac:dyDescent="0.2">
      <c r="A56" s="628" t="s">
        <v>295</v>
      </c>
      <c r="B56" s="628"/>
      <c r="C56" s="628"/>
      <c r="D56" s="628"/>
      <c r="E56" s="628"/>
      <c r="F56" s="628"/>
      <c r="G56" s="628"/>
      <c r="H56" s="628"/>
      <c r="I56" s="628"/>
      <c r="J56" s="628"/>
      <c r="K56" s="628"/>
      <c r="L56" s="628"/>
      <c r="M56" s="215"/>
      <c r="N56" s="215"/>
      <c r="O56" s="215"/>
      <c r="P56" s="215"/>
      <c r="Q56" s="215"/>
      <c r="R56" s="215"/>
      <c r="S56" s="215"/>
      <c r="T56" s="171"/>
      <c r="U56" s="172"/>
      <c r="X56" s="223"/>
    </row>
    <row r="57" spans="1:24" s="173" customFormat="1" ht="124.15" customHeight="1" x14ac:dyDescent="0.2">
      <c r="A57" s="202">
        <v>23</v>
      </c>
      <c r="B57" s="198" t="s">
        <v>188</v>
      </c>
      <c r="C57" s="198" t="s">
        <v>427</v>
      </c>
      <c r="D57" s="244" t="s">
        <v>187</v>
      </c>
      <c r="E57" s="231">
        <f>E45</f>
        <v>1</v>
      </c>
      <c r="F57" s="245">
        <f>1.3+0.8+0.8+7.1+2+9.6+6.1+8.1+12.2+8.7+4.8+4.5+10.8+3.1+11.3+8.8+2.6+14+14.7</f>
        <v>131.29999999999998</v>
      </c>
      <c r="G57" s="202">
        <v>1</v>
      </c>
      <c r="H57" s="202">
        <v>1</v>
      </c>
      <c r="I57" s="202"/>
      <c r="J57" s="203">
        <f>E57*F57*G57*H57</f>
        <v>131.29999999999998</v>
      </c>
      <c r="K57" s="203">
        <f>B$20</f>
        <v>66.38</v>
      </c>
      <c r="L57" s="284">
        <f>J57*K57</f>
        <v>8715.6939999999977</v>
      </c>
      <c r="M57" s="208"/>
      <c r="N57" s="208"/>
      <c r="O57" s="208"/>
      <c r="P57" s="208"/>
      <c r="Q57" s="208"/>
      <c r="R57" s="208"/>
      <c r="S57" s="208"/>
      <c r="T57" s="246"/>
      <c r="U57" s="172"/>
    </row>
    <row r="58" spans="1:24" s="173" customFormat="1" ht="117.6" customHeight="1" x14ac:dyDescent="0.2">
      <c r="A58" s="202">
        <v>24</v>
      </c>
      <c r="B58" s="247" t="s">
        <v>189</v>
      </c>
      <c r="C58" s="247" t="s">
        <v>428</v>
      </c>
      <c r="D58" s="244" t="s">
        <v>187</v>
      </c>
      <c r="E58" s="207">
        <f>E40</f>
        <v>3</v>
      </c>
      <c r="F58" s="245">
        <f>52.3+7.8+7.8+7.8+7.8+7.8+23+23+95.8+19.7+2</f>
        <v>254.79999999999995</v>
      </c>
      <c r="G58" s="202">
        <v>1</v>
      </c>
      <c r="H58" s="202">
        <v>1</v>
      </c>
      <c r="I58" s="202"/>
      <c r="J58" s="203">
        <f>E58*F58*G58*H58</f>
        <v>764.39999999999986</v>
      </c>
      <c r="K58" s="203">
        <f>B$20</f>
        <v>66.38</v>
      </c>
      <c r="L58" s="284">
        <f>J58*K58</f>
        <v>50740.871999999988</v>
      </c>
      <c r="M58" s="208"/>
      <c r="N58" s="208"/>
      <c r="O58" s="208"/>
      <c r="P58" s="208"/>
      <c r="Q58" s="208"/>
      <c r="R58" s="208"/>
      <c r="S58" s="208"/>
      <c r="T58" s="171"/>
      <c r="U58" s="172"/>
    </row>
    <row r="59" spans="1:24" s="173" customFormat="1" ht="132" customHeight="1" x14ac:dyDescent="0.2">
      <c r="A59" s="202">
        <v>25</v>
      </c>
      <c r="B59" s="248" t="s">
        <v>190</v>
      </c>
      <c r="C59" s="247" t="s">
        <v>429</v>
      </c>
      <c r="D59" s="249"/>
      <c r="E59" s="207">
        <f>E41</f>
        <v>2</v>
      </c>
      <c r="F59" s="245">
        <v>57.5</v>
      </c>
      <c r="G59" s="202">
        <v>1</v>
      </c>
      <c r="H59" s="202">
        <v>1</v>
      </c>
      <c r="I59" s="202"/>
      <c r="J59" s="203">
        <f>E59*F59*G59*H59</f>
        <v>115</v>
      </c>
      <c r="K59" s="203">
        <f t="shared" ref="K59:K60" si="8">B$20</f>
        <v>66.38</v>
      </c>
      <c r="L59" s="284">
        <f>J59*K59</f>
        <v>7633.7</v>
      </c>
      <c r="M59" s="208"/>
      <c r="N59" s="208"/>
      <c r="O59" s="208"/>
      <c r="P59" s="208"/>
      <c r="Q59" s="208"/>
      <c r="R59" s="208"/>
      <c r="S59" s="208"/>
      <c r="T59" s="171"/>
      <c r="U59" s="172"/>
    </row>
    <row r="60" spans="1:24" s="173" customFormat="1" x14ac:dyDescent="0.2">
      <c r="A60" s="638" t="s">
        <v>473</v>
      </c>
      <c r="B60" s="638"/>
      <c r="C60" s="638"/>
      <c r="D60" s="638"/>
      <c r="E60" s="638"/>
      <c r="F60" s="638"/>
      <c r="G60" s="638"/>
      <c r="H60" s="250"/>
      <c r="I60" s="250"/>
      <c r="J60" s="394">
        <f>SUM(J57:J59)</f>
        <v>1010.6999999999998</v>
      </c>
      <c r="K60" s="203">
        <f t="shared" si="8"/>
        <v>66.38</v>
      </c>
      <c r="L60" s="286">
        <f>L57+L58+L59</f>
        <v>67090.265999999989</v>
      </c>
      <c r="M60" s="238"/>
      <c r="N60" s="238"/>
      <c r="O60" s="238"/>
      <c r="P60" s="238"/>
      <c r="Q60" s="238"/>
      <c r="R60" s="238"/>
      <c r="S60" s="238"/>
      <c r="T60" s="214"/>
      <c r="U60" s="172"/>
    </row>
    <row r="61" spans="1:24" s="173" customFormat="1" x14ac:dyDescent="0.2">
      <c r="A61" s="638" t="s">
        <v>474</v>
      </c>
      <c r="B61" s="638"/>
      <c r="C61" s="638"/>
      <c r="D61" s="638"/>
      <c r="E61" s="638"/>
      <c r="F61" s="638"/>
      <c r="G61" s="638"/>
      <c r="H61" s="250"/>
      <c r="I61" s="250"/>
      <c r="J61" s="394"/>
      <c r="K61" s="203"/>
      <c r="L61" s="286">
        <f>L60</f>
        <v>67090.265999999989</v>
      </c>
      <c r="M61" s="238"/>
      <c r="N61" s="238"/>
      <c r="O61" s="238"/>
      <c r="P61" s="238"/>
      <c r="Q61" s="238"/>
      <c r="R61" s="238"/>
      <c r="S61" s="238"/>
      <c r="T61" s="214"/>
      <c r="U61" s="172"/>
    </row>
    <row r="62" spans="1:24" s="173" customFormat="1" x14ac:dyDescent="0.2">
      <c r="A62" s="628" t="s">
        <v>58</v>
      </c>
      <c r="B62" s="628"/>
      <c r="C62" s="628"/>
      <c r="D62" s="628"/>
      <c r="E62" s="628"/>
      <c r="F62" s="628"/>
      <c r="G62" s="628"/>
      <c r="H62" s="628"/>
      <c r="I62" s="628"/>
      <c r="J62" s="628"/>
      <c r="K62" s="628"/>
      <c r="L62" s="628"/>
      <c r="M62" s="215"/>
      <c r="N62" s="215"/>
      <c r="O62" s="215"/>
      <c r="P62" s="215"/>
      <c r="Q62" s="215"/>
      <c r="R62" s="215"/>
      <c r="S62" s="215"/>
      <c r="T62" s="171"/>
      <c r="U62" s="172"/>
    </row>
    <row r="63" spans="1:24" s="173" customFormat="1" ht="37.15" customHeight="1" x14ac:dyDescent="0.2">
      <c r="A63" s="193">
        <v>28</v>
      </c>
      <c r="B63" s="216" t="str">
        <f t="shared" ref="B63:B70" si="9">B31</f>
        <v xml:space="preserve">Рекогносцировка при проходимости: хорошая. II категория сложности
</v>
      </c>
      <c r="C63" s="217" t="s">
        <v>420</v>
      </c>
      <c r="D63" s="202" t="s">
        <v>179</v>
      </c>
      <c r="E63" s="202">
        <f>E31</f>
        <v>1</v>
      </c>
      <c r="F63" s="203">
        <v>18.5</v>
      </c>
      <c r="G63" s="202">
        <v>1.1000000000000001</v>
      </c>
      <c r="H63" s="202">
        <v>1</v>
      </c>
      <c r="I63" s="202"/>
      <c r="J63" s="392">
        <f>H63*G63*F63*E63</f>
        <v>20.350000000000001</v>
      </c>
      <c r="K63" s="203">
        <f t="shared" ref="K63:K76" si="10">B$20</f>
        <v>66.38</v>
      </c>
      <c r="L63" s="287">
        <f>J63*K63</f>
        <v>1350.8330000000001</v>
      </c>
      <c r="M63" s="218"/>
      <c r="N63" s="218"/>
      <c r="O63" s="218"/>
      <c r="P63" s="218"/>
      <c r="Q63" s="218"/>
      <c r="R63" s="218"/>
      <c r="S63" s="218"/>
      <c r="T63" s="171"/>
      <c r="U63" s="172"/>
    </row>
    <row r="64" spans="1:24" s="173" customFormat="1" ht="38.25" x14ac:dyDescent="0.2">
      <c r="A64" s="193">
        <v>29</v>
      </c>
      <c r="B64" s="216" t="str">
        <f t="shared" si="9"/>
        <v>Рекогносцировочное почвенное обследование при хорошей проходимости (II категория сложности)</v>
      </c>
      <c r="C64" s="217" t="s">
        <v>419</v>
      </c>
      <c r="D64" s="202" t="s">
        <v>179</v>
      </c>
      <c r="E64" s="202">
        <f>E33</f>
        <v>1</v>
      </c>
      <c r="F64" s="203">
        <v>1.69</v>
      </c>
      <c r="G64" s="202">
        <v>1.1000000000000001</v>
      </c>
      <c r="H64" s="202">
        <v>1</v>
      </c>
      <c r="I64" s="202"/>
      <c r="J64" s="392">
        <f>H64*G64*F64*E64</f>
        <v>1.859</v>
      </c>
      <c r="K64" s="203">
        <f t="shared" ref="K64" si="11">B$20</f>
        <v>66.38</v>
      </c>
      <c r="L64" s="287">
        <f>J64*K64</f>
        <v>123.40042</v>
      </c>
      <c r="M64" s="218"/>
      <c r="N64" s="218"/>
      <c r="O64" s="218"/>
      <c r="P64" s="218"/>
      <c r="Q64" s="218"/>
      <c r="R64" s="218"/>
      <c r="S64" s="218"/>
      <c r="T64" s="171"/>
      <c r="U64" s="172"/>
    </row>
    <row r="65" spans="1:25" s="173" customFormat="1" ht="58.9" customHeight="1" x14ac:dyDescent="0.2">
      <c r="A65" s="193" t="s">
        <v>467</v>
      </c>
      <c r="B65" s="251" t="str">
        <f t="shared" si="9"/>
        <v>Наблюдения при передвижении по маршруту при составлении карты современного экологического состояния при проходимости: хорошей в масштабе: 1:10000 - 1:5000</v>
      </c>
      <c r="C65" s="251" t="s">
        <v>372</v>
      </c>
      <c r="D65" s="220" t="s">
        <v>179</v>
      </c>
      <c r="E65" s="221">
        <f>E33</f>
        <v>1</v>
      </c>
      <c r="F65" s="227">
        <v>1.8</v>
      </c>
      <c r="G65" s="252">
        <v>1</v>
      </c>
      <c r="H65" s="220">
        <f>H33</f>
        <v>1</v>
      </c>
      <c r="I65" s="220"/>
      <c r="J65" s="392">
        <f t="shared" ref="J65:J67" si="12">E65*F65*G65*H65</f>
        <v>1.8</v>
      </c>
      <c r="K65" s="203">
        <f t="shared" si="10"/>
        <v>66.38</v>
      </c>
      <c r="L65" s="288">
        <f>J65*K65</f>
        <v>119.48399999999999</v>
      </c>
      <c r="M65" s="253"/>
      <c r="N65" s="253"/>
      <c r="O65" s="253"/>
      <c r="P65" s="253"/>
      <c r="Q65" s="253"/>
      <c r="R65" s="253"/>
      <c r="S65" s="253"/>
      <c r="T65" s="171"/>
      <c r="U65" s="172"/>
    </row>
    <row r="66" spans="1:25" s="173" customFormat="1" ht="51" x14ac:dyDescent="0.2">
      <c r="A66" s="193" t="s">
        <v>468</v>
      </c>
      <c r="B66" s="251" t="str">
        <f t="shared" si="9"/>
        <v>Наблюдения при передвижении по маршруту при составлении почвенной карты при проходимости: хорошей в масштабе: 1:2000 - 1:1000</v>
      </c>
      <c r="C66" s="251" t="s">
        <v>373</v>
      </c>
      <c r="D66" s="220" t="s">
        <v>179</v>
      </c>
      <c r="E66" s="221">
        <f>E34</f>
        <v>1</v>
      </c>
      <c r="F66" s="227">
        <v>2.1</v>
      </c>
      <c r="G66" s="252">
        <v>1</v>
      </c>
      <c r="H66" s="220">
        <f>H34</f>
        <v>1</v>
      </c>
      <c r="I66" s="220"/>
      <c r="J66" s="392">
        <f t="shared" ref="J66" si="13">E66*F66*G66*H66</f>
        <v>2.1</v>
      </c>
      <c r="K66" s="203">
        <f t="shared" ref="K66" si="14">B$20</f>
        <v>66.38</v>
      </c>
      <c r="L66" s="288">
        <f>J66*K66</f>
        <v>139.398</v>
      </c>
      <c r="M66" s="253"/>
      <c r="N66" s="253"/>
      <c r="O66" s="253"/>
      <c r="P66" s="253"/>
      <c r="Q66" s="253"/>
      <c r="R66" s="253"/>
      <c r="S66" s="253"/>
      <c r="T66" s="171"/>
      <c r="U66" s="172"/>
    </row>
    <row r="67" spans="1:25" s="173" customFormat="1" ht="93.6" customHeight="1" x14ac:dyDescent="0.2">
      <c r="A67" s="193">
        <v>31</v>
      </c>
      <c r="B67" s="254" t="str">
        <f t="shared" si="9"/>
        <v>Наблюдения при передвижении по маршруту при составлении карты фактического материала с определением мощности эквивалентной дозы гамма-излучения при проходимости: хорошей в масштабе: 1:2000 - 1:1000</v>
      </c>
      <c r="C67" s="255" t="s">
        <v>374</v>
      </c>
      <c r="D67" s="202" t="s">
        <v>179</v>
      </c>
      <c r="E67" s="221">
        <f>E35</f>
        <v>1</v>
      </c>
      <c r="F67" s="203">
        <v>2.1</v>
      </c>
      <c r="G67" s="202">
        <v>1.3</v>
      </c>
      <c r="H67" s="202">
        <v>1</v>
      </c>
      <c r="I67" s="202"/>
      <c r="J67" s="392">
        <f t="shared" si="12"/>
        <v>2.7300000000000004</v>
      </c>
      <c r="K67" s="203">
        <f t="shared" si="10"/>
        <v>66.38</v>
      </c>
      <c r="L67" s="287">
        <f>K67*J67</f>
        <v>181.21740000000003</v>
      </c>
      <c r="M67" s="218"/>
      <c r="N67" s="218"/>
      <c r="O67" s="218"/>
      <c r="P67" s="218"/>
      <c r="Q67" s="218"/>
      <c r="R67" s="218"/>
      <c r="S67" s="218"/>
      <c r="T67" s="171"/>
      <c r="U67" s="172"/>
    </row>
    <row r="68" spans="1:25" s="173" customFormat="1" ht="101.45" customHeight="1" x14ac:dyDescent="0.2">
      <c r="A68" s="193">
        <v>32</v>
      </c>
      <c r="B68" s="251" t="str">
        <f t="shared" si="9"/>
        <v>Описание точек наблюдений при составлении инженерно-экологических карт:  карты современного экологического состояния (II категория сложности)</v>
      </c>
      <c r="C68" s="251" t="s">
        <v>378</v>
      </c>
      <c r="D68" s="220" t="s">
        <v>180</v>
      </c>
      <c r="E68" s="226">
        <f>E36</f>
        <v>2</v>
      </c>
      <c r="F68" s="227">
        <v>7.5</v>
      </c>
      <c r="G68" s="252">
        <v>1</v>
      </c>
      <c r="H68" s="220">
        <v>1</v>
      </c>
      <c r="I68" s="252">
        <v>1.1499999999999999</v>
      </c>
      <c r="J68" s="227">
        <f>E68*F68*G68*H68*I68</f>
        <v>17.25</v>
      </c>
      <c r="K68" s="203">
        <f t="shared" si="10"/>
        <v>66.38</v>
      </c>
      <c r="L68" s="288">
        <f t="shared" ref="L68:L73" si="15">J68*K68</f>
        <v>1145.0549999999998</v>
      </c>
      <c r="M68" s="253"/>
      <c r="N68" s="253"/>
      <c r="O68" s="253"/>
      <c r="P68" s="253"/>
      <c r="Q68" s="253"/>
      <c r="R68" s="253"/>
      <c r="S68" s="253"/>
      <c r="T68" s="171"/>
      <c r="U68" s="172"/>
    </row>
    <row r="69" spans="1:25" s="173" customFormat="1" ht="129.6" customHeight="1" x14ac:dyDescent="0.2">
      <c r="A69" s="193">
        <v>33</v>
      </c>
      <c r="B69" s="251" t="str">
        <f t="shared" si="9"/>
        <v>Описание точек наблюдения при составлении  почвенной карты (II категория сложности)</v>
      </c>
      <c r="C69" s="251" t="s">
        <v>527</v>
      </c>
      <c r="D69" s="220" t="s">
        <v>180</v>
      </c>
      <c r="E69" s="256">
        <v>2</v>
      </c>
      <c r="F69" s="227">
        <v>7.5</v>
      </c>
      <c r="G69" s="252">
        <v>0.4</v>
      </c>
      <c r="H69" s="252">
        <v>1</v>
      </c>
      <c r="I69" s="252">
        <v>1.1499999999999999</v>
      </c>
      <c r="J69" s="227">
        <f>E69*F69*G69*H69*I69</f>
        <v>6.8999999999999995</v>
      </c>
      <c r="K69" s="203">
        <f t="shared" si="10"/>
        <v>66.38</v>
      </c>
      <c r="L69" s="288">
        <f t="shared" si="15"/>
        <v>458.02199999999993</v>
      </c>
      <c r="M69" s="253"/>
      <c r="N69" s="253"/>
      <c r="O69" s="253"/>
      <c r="P69" s="253"/>
      <c r="Q69" s="253"/>
      <c r="R69" s="253"/>
      <c r="S69" s="253"/>
      <c r="T69" s="171"/>
      <c r="U69" s="172"/>
    </row>
    <row r="70" spans="1:25" s="173" customFormat="1" ht="163.15" customHeight="1" x14ac:dyDescent="0.2">
      <c r="A70" s="193">
        <v>34</v>
      </c>
      <c r="B70" s="254" t="str">
        <f t="shared" si="9"/>
        <v>Описание точек наблюдения при составлении карты фактического материала с определением мощности эквивалентной дозы гамма-излучения (II категория сложности)</v>
      </c>
      <c r="C70" s="251" t="s">
        <v>379</v>
      </c>
      <c r="D70" s="220" t="s">
        <v>180</v>
      </c>
      <c r="E70" s="228">
        <f>E38</f>
        <v>2</v>
      </c>
      <c r="F70" s="227">
        <v>7.5</v>
      </c>
      <c r="G70" s="252">
        <v>1.3</v>
      </c>
      <c r="H70" s="220">
        <v>1</v>
      </c>
      <c r="I70" s="252">
        <v>1.1499999999999999</v>
      </c>
      <c r="J70" s="227">
        <f>E70*F70*G70*H70*I70</f>
        <v>22.424999999999997</v>
      </c>
      <c r="K70" s="203">
        <f t="shared" si="10"/>
        <v>66.38</v>
      </c>
      <c r="L70" s="288">
        <f t="shared" si="15"/>
        <v>1488.5714999999998</v>
      </c>
      <c r="M70" s="253"/>
      <c r="N70" s="253"/>
      <c r="O70" s="253"/>
      <c r="P70" s="253"/>
      <c r="Q70" s="253"/>
      <c r="R70" s="253"/>
      <c r="S70" s="253"/>
      <c r="T70" s="171"/>
      <c r="U70" s="172"/>
    </row>
    <row r="71" spans="1:25" s="173" customFormat="1" ht="25.9" customHeight="1" x14ac:dyDescent="0.2">
      <c r="A71" s="193">
        <v>35</v>
      </c>
      <c r="B71" s="198" t="s">
        <v>183</v>
      </c>
      <c r="C71" s="198" t="s">
        <v>390</v>
      </c>
      <c r="D71" s="202" t="s">
        <v>184</v>
      </c>
      <c r="E71" s="203">
        <f>0.38*10</f>
        <v>3.8</v>
      </c>
      <c r="F71" s="203">
        <v>14.8</v>
      </c>
      <c r="G71" s="202">
        <v>1</v>
      </c>
      <c r="H71" s="202">
        <v>1</v>
      </c>
      <c r="I71" s="202"/>
      <c r="J71" s="203">
        <f t="shared" ref="J71" si="16">E71*F71*G71*H71</f>
        <v>56.24</v>
      </c>
      <c r="K71" s="203">
        <f t="shared" si="10"/>
        <v>66.38</v>
      </c>
      <c r="L71" s="284">
        <f t="shared" si="15"/>
        <v>3733.2111999999997</v>
      </c>
      <c r="M71" s="208"/>
      <c r="N71" s="208"/>
      <c r="O71" s="208"/>
      <c r="P71" s="208"/>
      <c r="Q71" s="208"/>
      <c r="R71" s="208"/>
      <c r="S71" s="208"/>
      <c r="T71" s="171"/>
      <c r="U71" s="172"/>
    </row>
    <row r="72" spans="1:25" s="173" customFormat="1" ht="41.45" customHeight="1" x14ac:dyDescent="0.2">
      <c r="A72" s="193">
        <v>36</v>
      </c>
      <c r="B72" s="198" t="s">
        <v>546</v>
      </c>
      <c r="C72" s="198" t="s">
        <v>391</v>
      </c>
      <c r="D72" s="202" t="s">
        <v>185</v>
      </c>
      <c r="E72" s="207">
        <v>1</v>
      </c>
      <c r="F72" s="203">
        <v>161</v>
      </c>
      <c r="G72" s="202">
        <v>0.75</v>
      </c>
      <c r="H72" s="202">
        <v>1</v>
      </c>
      <c r="I72" s="202"/>
      <c r="J72" s="203">
        <f t="shared" ref="J72" si="17">E72*F72*G72*H72</f>
        <v>120.75</v>
      </c>
      <c r="K72" s="203">
        <f t="shared" si="10"/>
        <v>66.38</v>
      </c>
      <c r="L72" s="284">
        <f t="shared" si="15"/>
        <v>8015.3849999999993</v>
      </c>
      <c r="M72" s="208"/>
      <c r="N72" s="208"/>
      <c r="O72" s="208"/>
      <c r="P72" s="208"/>
      <c r="Q72" s="208"/>
      <c r="R72" s="208"/>
      <c r="S72" s="208"/>
      <c r="T72" s="171"/>
      <c r="U72" s="172"/>
    </row>
    <row r="73" spans="1:25" s="173" customFormat="1" ht="24" customHeight="1" x14ac:dyDescent="0.2">
      <c r="A73" s="193">
        <v>37</v>
      </c>
      <c r="B73" s="198" t="s">
        <v>191</v>
      </c>
      <c r="C73" s="198" t="s">
        <v>389</v>
      </c>
      <c r="D73" s="202"/>
      <c r="E73" s="202" t="s">
        <v>186</v>
      </c>
      <c r="F73" s="240">
        <v>0.2</v>
      </c>
      <c r="G73" s="202"/>
      <c r="H73" s="202"/>
      <c r="I73" s="202"/>
      <c r="J73" s="203">
        <f>J60*F73</f>
        <v>202.14</v>
      </c>
      <c r="K73" s="203">
        <f t="shared" si="10"/>
        <v>66.38</v>
      </c>
      <c r="L73" s="284">
        <f t="shared" si="15"/>
        <v>13418.053199999998</v>
      </c>
      <c r="M73" s="208"/>
      <c r="N73" s="208"/>
      <c r="O73" s="208"/>
      <c r="P73" s="208"/>
      <c r="Q73" s="208"/>
      <c r="R73" s="208"/>
      <c r="S73" s="208"/>
      <c r="T73" s="171"/>
      <c r="U73" s="172"/>
    </row>
    <row r="74" spans="1:25" s="173" customFormat="1" x14ac:dyDescent="0.2">
      <c r="A74" s="630" t="s">
        <v>469</v>
      </c>
      <c r="B74" s="630"/>
      <c r="C74" s="630"/>
      <c r="D74" s="630"/>
      <c r="E74" s="630"/>
      <c r="F74" s="630"/>
      <c r="G74" s="630"/>
      <c r="H74" s="630"/>
      <c r="I74" s="257"/>
      <c r="J74" s="394">
        <f>SUM(J63:J73)</f>
        <v>454.54399999999998</v>
      </c>
      <c r="K74" s="203">
        <f t="shared" si="10"/>
        <v>66.38</v>
      </c>
      <c r="L74" s="286">
        <f>J74*K74</f>
        <v>30172.630719999997</v>
      </c>
      <c r="M74" s="258"/>
      <c r="N74" s="258"/>
      <c r="O74" s="258"/>
      <c r="P74" s="258"/>
      <c r="Q74" s="258"/>
      <c r="R74" s="258"/>
      <c r="S74" s="258"/>
      <c r="T74" s="171"/>
      <c r="U74" s="172"/>
    </row>
    <row r="75" spans="1:25" s="173" customFormat="1" ht="38.25" x14ac:dyDescent="0.2">
      <c r="A75" s="202">
        <v>38</v>
      </c>
      <c r="B75" s="198" t="s">
        <v>393</v>
      </c>
      <c r="C75" s="198" t="s">
        <v>392</v>
      </c>
      <c r="D75" s="196" t="s">
        <v>528</v>
      </c>
      <c r="E75" s="202" t="s">
        <v>186</v>
      </c>
      <c r="F75" s="240">
        <v>0.21</v>
      </c>
      <c r="G75" s="196"/>
      <c r="H75" s="202">
        <v>1</v>
      </c>
      <c r="I75" s="202"/>
      <c r="J75" s="203">
        <f xml:space="preserve"> (J74+J25+J27)*F75*H75</f>
        <v>166.89624000000001</v>
      </c>
      <c r="K75" s="203">
        <f t="shared" si="10"/>
        <v>66.38</v>
      </c>
      <c r="L75" s="288">
        <f>J75*K75</f>
        <v>11078.572411199999</v>
      </c>
      <c r="M75" s="259"/>
      <c r="N75" s="259"/>
      <c r="O75" s="259"/>
      <c r="P75" s="259"/>
      <c r="Q75" s="259"/>
      <c r="R75" s="259"/>
      <c r="S75" s="259"/>
      <c r="T75" s="171"/>
      <c r="U75" s="172"/>
    </row>
    <row r="76" spans="1:25" s="173" customFormat="1" x14ac:dyDescent="0.2">
      <c r="A76" s="630" t="s">
        <v>454</v>
      </c>
      <c r="B76" s="630"/>
      <c r="C76" s="630"/>
      <c r="D76" s="630"/>
      <c r="E76" s="630"/>
      <c r="F76" s="630"/>
      <c r="G76" s="630"/>
      <c r="H76" s="260"/>
      <c r="I76" s="260"/>
      <c r="J76" s="394">
        <f>J74+J75</f>
        <v>621.44024000000002</v>
      </c>
      <c r="K76" s="203">
        <f t="shared" si="10"/>
        <v>66.38</v>
      </c>
      <c r="L76" s="286">
        <f>J76*K76</f>
        <v>41251.203131199996</v>
      </c>
      <c r="M76" s="258"/>
      <c r="N76" s="258"/>
      <c r="O76" s="258"/>
      <c r="P76" s="258"/>
      <c r="Q76" s="258"/>
      <c r="R76" s="258"/>
      <c r="S76" s="258"/>
      <c r="T76" s="171"/>
      <c r="U76" s="172"/>
    </row>
    <row r="77" spans="1:25" s="173" customFormat="1" x14ac:dyDescent="0.2">
      <c r="A77" s="630" t="s">
        <v>466</v>
      </c>
      <c r="B77" s="630"/>
      <c r="C77" s="630"/>
      <c r="D77" s="630"/>
      <c r="E77" s="630"/>
      <c r="F77" s="630"/>
      <c r="G77" s="630"/>
      <c r="H77" s="261"/>
      <c r="I77" s="261"/>
      <c r="J77" s="395"/>
      <c r="K77" s="203"/>
      <c r="L77" s="286">
        <f>L76</f>
        <v>41251.203131199996</v>
      </c>
      <c r="M77" s="238"/>
      <c r="N77" s="238"/>
      <c r="O77" s="238"/>
      <c r="P77" s="238"/>
      <c r="Q77" s="238"/>
      <c r="R77" s="238"/>
      <c r="S77" s="238"/>
      <c r="T77" s="171"/>
      <c r="U77" s="172"/>
    </row>
    <row r="78" spans="1:25" s="173" customFormat="1" x14ac:dyDescent="0.2">
      <c r="A78" s="633" t="s">
        <v>80</v>
      </c>
      <c r="B78" s="631"/>
      <c r="C78" s="631"/>
      <c r="D78" s="631"/>
      <c r="E78" s="631"/>
      <c r="F78" s="631"/>
      <c r="G78" s="631"/>
      <c r="H78" s="631"/>
      <c r="I78" s="632"/>
      <c r="J78" s="395">
        <f>J76+J60+J54+J48+J28</f>
        <v>4095.3911865249993</v>
      </c>
      <c r="K78" s="395">
        <f>K76</f>
        <v>66.38</v>
      </c>
      <c r="L78" s="395">
        <f>L77+L61+L55+L49+L29</f>
        <v>271852.06696152949</v>
      </c>
      <c r="M78" s="238"/>
      <c r="N78" s="238"/>
      <c r="O78" s="238"/>
      <c r="P78" s="238"/>
      <c r="Q78" s="238"/>
      <c r="R78" s="238"/>
      <c r="S78" s="238"/>
      <c r="T78" s="171"/>
      <c r="U78" s="172"/>
    </row>
    <row r="79" spans="1:25" s="173" customFormat="1" ht="66.599999999999994" customHeight="1" x14ac:dyDescent="0.2">
      <c r="A79" s="262">
        <v>39</v>
      </c>
      <c r="B79" s="198" t="s">
        <v>396</v>
      </c>
      <c r="C79" s="198" t="s">
        <v>394</v>
      </c>
      <c r="D79" s="202" t="s">
        <v>395</v>
      </c>
      <c r="E79" s="262">
        <v>5</v>
      </c>
      <c r="F79" s="212">
        <v>4730</v>
      </c>
      <c r="G79" s="262"/>
      <c r="H79" s="263"/>
      <c r="I79" s="263"/>
      <c r="J79" s="396"/>
      <c r="K79" s="203"/>
      <c r="L79" s="284">
        <f>F79*E79</f>
        <v>23650</v>
      </c>
      <c r="M79" s="238"/>
      <c r="N79" s="238"/>
      <c r="O79" s="238"/>
      <c r="P79" s="238"/>
      <c r="Q79" s="238"/>
      <c r="R79" s="238"/>
      <c r="S79" s="238"/>
      <c r="T79" s="171"/>
      <c r="U79" s="172"/>
    </row>
    <row r="80" spans="1:25" s="173" customFormat="1" ht="81" customHeight="1" x14ac:dyDescent="0.2">
      <c r="A80" s="241">
        <v>40</v>
      </c>
      <c r="B80" s="428" t="s">
        <v>192</v>
      </c>
      <c r="C80" s="427" t="s">
        <v>549</v>
      </c>
      <c r="D80" s="211" t="s">
        <v>193</v>
      </c>
      <c r="E80" s="264">
        <v>1</v>
      </c>
      <c r="F80" s="203">
        <v>731.44</v>
      </c>
      <c r="G80" s="202"/>
      <c r="H80" s="202"/>
      <c r="I80" s="202"/>
      <c r="J80" s="203"/>
      <c r="K80" s="203"/>
      <c r="L80" s="285">
        <f>F80*E80</f>
        <v>731.44</v>
      </c>
      <c r="M80" s="208"/>
      <c r="N80" s="208"/>
      <c r="O80" s="208"/>
      <c r="P80" s="208"/>
      <c r="Q80" s="208"/>
      <c r="R80" s="208"/>
      <c r="S80" s="208"/>
      <c r="T80" s="171"/>
      <c r="U80" s="172"/>
      <c r="V80" s="637"/>
      <c r="W80" s="626"/>
      <c r="X80" s="626"/>
      <c r="Y80" s="626"/>
    </row>
    <row r="81" spans="1:22" s="173" customFormat="1" ht="70.150000000000006" customHeight="1" x14ac:dyDescent="0.2">
      <c r="A81" s="241">
        <v>41</v>
      </c>
      <c r="B81" s="427" t="s">
        <v>547</v>
      </c>
      <c r="C81" s="427" t="s">
        <v>550</v>
      </c>
      <c r="D81" s="244" t="s">
        <v>187</v>
      </c>
      <c r="E81" s="265">
        <v>1</v>
      </c>
      <c r="F81" s="203">
        <v>543.44000000000005</v>
      </c>
      <c r="G81" s="202"/>
      <c r="H81" s="202"/>
      <c r="I81" s="202"/>
      <c r="J81" s="203"/>
      <c r="K81" s="203"/>
      <c r="L81" s="285">
        <f>F81*E81</f>
        <v>543.44000000000005</v>
      </c>
      <c r="M81" s="208"/>
      <c r="N81" s="208"/>
      <c r="O81" s="208"/>
      <c r="P81" s="208"/>
      <c r="Q81" s="208"/>
      <c r="R81" s="208"/>
      <c r="S81" s="208"/>
      <c r="T81" s="171"/>
      <c r="U81" s="172"/>
      <c r="V81" s="201"/>
    </row>
    <row r="82" spans="1:22" s="173" customFormat="1" ht="70.150000000000006" customHeight="1" x14ac:dyDescent="0.2">
      <c r="A82" s="241">
        <v>42</v>
      </c>
      <c r="B82" s="427" t="s">
        <v>548</v>
      </c>
      <c r="C82" s="427" t="s">
        <v>551</v>
      </c>
      <c r="D82" s="244" t="s">
        <v>187</v>
      </c>
      <c r="E82" s="265">
        <v>1</v>
      </c>
      <c r="F82" s="203">
        <v>615.84</v>
      </c>
      <c r="G82" s="202"/>
      <c r="H82" s="202"/>
      <c r="I82" s="202"/>
      <c r="J82" s="203"/>
      <c r="K82" s="203"/>
      <c r="L82" s="285">
        <f>F82*E82</f>
        <v>615.84</v>
      </c>
      <c r="M82" s="208"/>
      <c r="N82" s="208"/>
      <c r="O82" s="208"/>
      <c r="P82" s="208"/>
      <c r="Q82" s="208"/>
      <c r="R82" s="208"/>
      <c r="S82" s="208"/>
      <c r="T82" s="171"/>
      <c r="U82" s="172"/>
      <c r="V82" s="201"/>
    </row>
    <row r="83" spans="1:22" s="173" customFormat="1" x14ac:dyDescent="0.2">
      <c r="A83" s="202"/>
      <c r="B83" s="639" t="s">
        <v>194</v>
      </c>
      <c r="C83" s="640"/>
      <c r="D83" s="640"/>
      <c r="E83" s="640"/>
      <c r="F83" s="640"/>
      <c r="G83" s="640"/>
      <c r="H83" s="640"/>
      <c r="I83" s="641"/>
      <c r="J83" s="642" t="s">
        <v>552</v>
      </c>
      <c r="K83" s="643"/>
      <c r="L83" s="284">
        <f>SUM(L79:L82)</f>
        <v>25540.719999999998</v>
      </c>
      <c r="M83" s="266"/>
      <c r="N83" s="266"/>
      <c r="O83" s="266"/>
      <c r="P83" s="266"/>
      <c r="Q83" s="266"/>
      <c r="R83" s="266"/>
      <c r="S83" s="266"/>
      <c r="T83" s="171"/>
      <c r="U83" s="172"/>
    </row>
    <row r="84" spans="1:22" s="173" customFormat="1" ht="31.5" customHeight="1" x14ac:dyDescent="0.2">
      <c r="A84" s="202"/>
      <c r="B84" s="645" t="s">
        <v>195</v>
      </c>
      <c r="C84" s="645"/>
      <c r="D84" s="645"/>
      <c r="E84" s="645"/>
      <c r="F84" s="645"/>
      <c r="G84" s="645"/>
      <c r="H84" s="645"/>
      <c r="I84" s="645"/>
      <c r="J84" s="645"/>
      <c r="K84" s="645"/>
      <c r="L84" s="286">
        <f>ROUND((L78+L28+L60+L472+L83+L55),0)</f>
        <v>428210</v>
      </c>
      <c r="M84" s="258"/>
      <c r="N84" s="258"/>
      <c r="O84" s="258"/>
      <c r="P84" s="258"/>
      <c r="Q84" s="258"/>
      <c r="R84" s="258"/>
      <c r="S84" s="258"/>
      <c r="T84" s="214"/>
      <c r="U84" s="172"/>
    </row>
    <row r="85" spans="1:22" x14ac:dyDescent="0.2">
      <c r="A85" s="205"/>
      <c r="B85" s="267"/>
      <c r="C85" s="267"/>
      <c r="D85" s="267"/>
      <c r="E85" s="267"/>
      <c r="F85" s="267"/>
      <c r="G85" s="267"/>
      <c r="H85" s="267"/>
      <c r="I85" s="267"/>
      <c r="J85" s="289"/>
      <c r="K85" s="267"/>
      <c r="L85" s="289"/>
      <c r="M85" s="258"/>
      <c r="N85" s="258"/>
      <c r="O85" s="258"/>
      <c r="P85" s="258"/>
      <c r="Q85" s="258"/>
      <c r="R85" s="258"/>
      <c r="S85" s="258"/>
    </row>
    <row r="86" spans="1:22" x14ac:dyDescent="0.2">
      <c r="A86" s="190"/>
      <c r="B86" s="268"/>
      <c r="C86" s="269"/>
      <c r="D86" s="268"/>
      <c r="E86" s="268"/>
      <c r="F86" s="270"/>
      <c r="J86" s="644"/>
      <c r="K86" s="644"/>
      <c r="L86" s="271"/>
      <c r="M86" s="271"/>
      <c r="N86" s="271"/>
      <c r="O86" s="271"/>
      <c r="P86" s="271"/>
      <c r="Q86" s="271"/>
      <c r="R86" s="271"/>
      <c r="S86" s="271"/>
    </row>
    <row r="87" spans="1:22" x14ac:dyDescent="0.2">
      <c r="A87" s="190"/>
      <c r="B87" s="268"/>
      <c r="C87" s="269"/>
      <c r="D87" s="268"/>
      <c r="E87" s="268"/>
      <c r="F87" s="270"/>
      <c r="J87" s="272"/>
      <c r="K87" s="273"/>
      <c r="L87" s="271"/>
      <c r="M87" s="271"/>
      <c r="N87" s="271"/>
      <c r="O87" s="271"/>
      <c r="P87" s="271"/>
      <c r="Q87" s="271"/>
      <c r="R87" s="271"/>
      <c r="S87" s="271"/>
    </row>
    <row r="88" spans="1:22" x14ac:dyDescent="0.2">
      <c r="A88" s="190"/>
      <c r="B88" s="268"/>
      <c r="C88" s="274"/>
      <c r="D88" s="268"/>
      <c r="E88" s="268"/>
      <c r="F88" s="270"/>
      <c r="J88" s="644"/>
      <c r="K88" s="644"/>
      <c r="L88" s="271"/>
      <c r="M88" s="271"/>
      <c r="N88" s="271"/>
      <c r="O88" s="271"/>
      <c r="P88" s="271"/>
      <c r="Q88" s="271"/>
      <c r="R88" s="271"/>
      <c r="S88" s="271"/>
    </row>
    <row r="89" spans="1:22" x14ac:dyDescent="0.2">
      <c r="B89" s="165"/>
      <c r="C89" s="165"/>
      <c r="D89" s="165"/>
      <c r="E89" s="165"/>
      <c r="G89" s="190"/>
      <c r="H89" s="165"/>
      <c r="I89" s="165"/>
      <c r="J89" s="191"/>
    </row>
    <row r="90" spans="1:22" x14ac:dyDescent="0.2">
      <c r="A90" s="190"/>
      <c r="B90" s="268"/>
      <c r="C90" s="269"/>
      <c r="D90" s="268"/>
      <c r="E90" s="268"/>
      <c r="F90" s="270"/>
      <c r="J90" s="644"/>
      <c r="K90" s="644"/>
      <c r="L90" s="271"/>
      <c r="M90" s="271"/>
      <c r="N90" s="271"/>
      <c r="O90" s="271"/>
      <c r="P90" s="271"/>
      <c r="Q90" s="271"/>
      <c r="R90" s="271"/>
      <c r="S90" s="271"/>
      <c r="T90" s="165"/>
      <c r="U90" s="165"/>
    </row>
    <row r="96" spans="1:22" x14ac:dyDescent="0.2">
      <c r="M96" s="275"/>
      <c r="N96" s="275"/>
      <c r="O96" s="275"/>
      <c r="P96" s="275"/>
      <c r="Q96" s="275"/>
      <c r="R96" s="275"/>
      <c r="S96" s="275"/>
      <c r="T96" s="165"/>
      <c r="U96" s="165"/>
    </row>
  </sheetData>
  <mergeCells count="47">
    <mergeCell ref="A13:C13"/>
    <mergeCell ref="D13:L13"/>
    <mergeCell ref="A50:L50"/>
    <mergeCell ref="A61:G61"/>
    <mergeCell ref="A29:I29"/>
    <mergeCell ref="A54:G54"/>
    <mergeCell ref="H54:I54"/>
    <mergeCell ref="A49:G49"/>
    <mergeCell ref="H9:J9"/>
    <mergeCell ref="K9:R9"/>
    <mergeCell ref="A10:C10"/>
    <mergeCell ref="D10:G10"/>
    <mergeCell ref="A11:C11"/>
    <mergeCell ref="D11:G11"/>
    <mergeCell ref="H11:J11"/>
    <mergeCell ref="K11:R11"/>
    <mergeCell ref="J90:K90"/>
    <mergeCell ref="A62:L62"/>
    <mergeCell ref="A74:H74"/>
    <mergeCell ref="A76:G76"/>
    <mergeCell ref="A77:G77"/>
    <mergeCell ref="B84:K84"/>
    <mergeCell ref="J86:K86"/>
    <mergeCell ref="J88:K88"/>
    <mergeCell ref="A78:I78"/>
    <mergeCell ref="V80:Y80"/>
    <mergeCell ref="A55:G55"/>
    <mergeCell ref="A56:L56"/>
    <mergeCell ref="A60:G60"/>
    <mergeCell ref="B83:I83"/>
    <mergeCell ref="J83:K83"/>
    <mergeCell ref="W5:W11"/>
    <mergeCell ref="A6:D6"/>
    <mergeCell ref="E6:L6"/>
    <mergeCell ref="E7:L7"/>
    <mergeCell ref="T49:V49"/>
    <mergeCell ref="A23:L23"/>
    <mergeCell ref="A24:L24"/>
    <mergeCell ref="A30:L30"/>
    <mergeCell ref="A48:G48"/>
    <mergeCell ref="G28:I28"/>
    <mergeCell ref="A28:F28"/>
    <mergeCell ref="D20:L20"/>
    <mergeCell ref="A8:C8"/>
    <mergeCell ref="D8:G8"/>
    <mergeCell ref="A9:C9"/>
    <mergeCell ref="D9:G9"/>
  </mergeCells>
  <phoneticPr fontId="33" type="noConversion"/>
  <pageMargins left="0.59055118110236227" right="0.19" top="0.39370078740157483" bottom="0.39370078740157483" header="0.51181102362204722" footer="0.51181102362204722"/>
  <pageSetup paperSize="9" scale="80" orientation="landscape" r:id="rId1"/>
  <headerFooter alignWithMargins="0"/>
  <rowBreaks count="2" manualBreakCount="2">
    <brk id="37" max="16383" man="1"/>
    <brk id="5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0"/>
  <sheetViews>
    <sheetView topLeftCell="A34" zoomScale="85" zoomScaleNormal="85" zoomScaleSheetLayoutView="100" workbookViewId="0">
      <selection activeCell="D18" sqref="D18:G18"/>
    </sheetView>
  </sheetViews>
  <sheetFormatPr defaultColWidth="9.140625" defaultRowHeight="12.75" x14ac:dyDescent="0.2"/>
  <cols>
    <col min="1" max="1" width="6.42578125" style="348" customWidth="1"/>
    <col min="2" max="2" width="49" style="328" customWidth="1"/>
    <col min="3" max="3" width="12.42578125" style="343" customWidth="1"/>
    <col min="4" max="4" width="9" style="328" customWidth="1"/>
    <col min="5" max="5" width="13" style="349" customWidth="1"/>
    <col min="6" max="6" width="15.85546875" style="349" customWidth="1"/>
    <col min="7" max="7" width="13.42578125" style="351" customWidth="1"/>
    <col min="8" max="8" width="15" style="328" hidden="1" customWidth="1"/>
    <col min="9" max="9" width="9.140625" style="328" hidden="1" customWidth="1"/>
    <col min="10" max="10" width="65.5703125" style="327" customWidth="1"/>
    <col min="11" max="11" width="9.140625" style="328" customWidth="1"/>
    <col min="12" max="16384" width="9.140625" style="328"/>
  </cols>
  <sheetData>
    <row r="1" spans="1:23" s="27" customFormat="1" ht="29.25" customHeight="1" x14ac:dyDescent="0.2">
      <c r="A1" s="26"/>
      <c r="C1" s="28"/>
      <c r="E1" s="613"/>
      <c r="F1" s="613"/>
      <c r="G1" s="613"/>
      <c r="H1" s="29"/>
      <c r="I1" s="29"/>
      <c r="J1" s="325"/>
    </row>
    <row r="2" spans="1:23" s="27" customFormat="1" ht="17.25" customHeight="1" x14ac:dyDescent="0.2">
      <c r="A2" s="30"/>
      <c r="B2" s="650" t="s">
        <v>492</v>
      </c>
      <c r="C2" s="650"/>
      <c r="D2" s="650"/>
      <c r="E2" s="650"/>
      <c r="F2" s="650"/>
      <c r="G2" s="650"/>
      <c r="H2" s="650"/>
      <c r="I2" s="30"/>
      <c r="J2" s="325"/>
    </row>
    <row r="3" spans="1:23" s="27" customFormat="1" ht="17.25" customHeight="1" x14ac:dyDescent="0.2">
      <c r="A3" s="30"/>
      <c r="B3" s="615" t="s">
        <v>196</v>
      </c>
      <c r="C3" s="615"/>
      <c r="D3" s="615"/>
      <c r="E3" s="615"/>
      <c r="F3" s="615"/>
      <c r="G3" s="615"/>
      <c r="H3" s="615"/>
      <c r="I3" s="30"/>
      <c r="J3" s="325"/>
    </row>
    <row r="4" spans="1:23" s="27" customFormat="1" ht="10.5" customHeight="1" x14ac:dyDescent="0.2">
      <c r="A4" s="30"/>
      <c r="B4" s="30"/>
      <c r="C4" s="31"/>
      <c r="D4" s="30"/>
      <c r="E4" s="25"/>
      <c r="F4" s="25"/>
      <c r="G4" s="324"/>
      <c r="H4" s="30"/>
      <c r="I4" s="30"/>
      <c r="J4" s="325"/>
    </row>
    <row r="5" spans="1:23" s="27" customFormat="1" ht="93" customHeight="1" x14ac:dyDescent="0.2">
      <c r="A5" s="651" t="s">
        <v>33</v>
      </c>
      <c r="B5" s="651"/>
      <c r="C5" s="614" t="s">
        <v>197</v>
      </c>
      <c r="D5" s="614"/>
      <c r="E5" s="614"/>
      <c r="F5" s="614"/>
      <c r="G5" s="614"/>
      <c r="H5" s="353"/>
      <c r="I5" s="353"/>
      <c r="J5" s="325"/>
    </row>
    <row r="6" spans="1:23" s="27" customFormat="1" x14ac:dyDescent="0.2">
      <c r="A6" s="47"/>
      <c r="B6" s="47"/>
      <c r="C6" s="352"/>
      <c r="D6" s="352"/>
      <c r="E6" s="352"/>
      <c r="F6" s="352"/>
      <c r="G6" s="352"/>
      <c r="H6" s="353"/>
      <c r="I6" s="353"/>
      <c r="J6" s="325"/>
    </row>
    <row r="7" spans="1:23" s="51" customFormat="1" x14ac:dyDescent="0.2">
      <c r="A7" s="591" t="s">
        <v>234</v>
      </c>
      <c r="B7" s="591"/>
      <c r="C7" s="591"/>
      <c r="D7" s="591" t="s">
        <v>232</v>
      </c>
      <c r="E7" s="591"/>
      <c r="F7" s="591"/>
      <c r="G7" s="591"/>
      <c r="H7" s="50"/>
      <c r="I7" s="50"/>
      <c r="J7" s="50"/>
      <c r="K7" s="50"/>
      <c r="L7" s="279"/>
      <c r="W7" s="27"/>
    </row>
    <row r="8" spans="1:23" s="112" customFormat="1" x14ac:dyDescent="0.2">
      <c r="A8" s="566" t="s">
        <v>398</v>
      </c>
      <c r="B8" s="567"/>
      <c r="C8" s="567"/>
      <c r="D8" s="582" t="s">
        <v>235</v>
      </c>
      <c r="E8" s="592"/>
      <c r="F8" s="592"/>
      <c r="G8" s="592"/>
      <c r="H8" s="566"/>
      <c r="I8" s="567"/>
      <c r="J8" s="567"/>
      <c r="K8" s="580"/>
      <c r="L8" s="581"/>
      <c r="M8" s="581"/>
      <c r="N8" s="581"/>
      <c r="O8" s="581"/>
      <c r="P8" s="581"/>
      <c r="Q8" s="581"/>
      <c r="R8" s="581"/>
      <c r="W8" s="27"/>
    </row>
    <row r="9" spans="1:23" s="112" customFormat="1" x14ac:dyDescent="0.2">
      <c r="A9" s="566" t="s">
        <v>399</v>
      </c>
      <c r="B9" s="566"/>
      <c r="C9" s="566"/>
      <c r="D9" s="582" t="s">
        <v>400</v>
      </c>
      <c r="E9" s="582"/>
      <c r="F9" s="582"/>
      <c r="G9" s="582"/>
      <c r="H9" s="115"/>
      <c r="I9" s="116"/>
      <c r="J9" s="116"/>
      <c r="K9" s="117"/>
      <c r="L9" s="280"/>
      <c r="M9" s="118"/>
      <c r="N9" s="118"/>
      <c r="O9" s="118"/>
      <c r="P9" s="118"/>
      <c r="Q9" s="118"/>
      <c r="R9" s="118"/>
      <c r="W9" s="27"/>
    </row>
    <row r="10" spans="1:23" s="112" customFormat="1" x14ac:dyDescent="0.2">
      <c r="A10" s="566" t="s">
        <v>397</v>
      </c>
      <c r="B10" s="567"/>
      <c r="C10" s="567"/>
      <c r="D10" s="603" t="s">
        <v>401</v>
      </c>
      <c r="E10" s="603"/>
      <c r="F10" s="603"/>
      <c r="G10" s="603"/>
      <c r="H10" s="566"/>
      <c r="I10" s="567"/>
      <c r="J10" s="567"/>
      <c r="K10" s="580"/>
      <c r="L10" s="581"/>
      <c r="M10" s="581"/>
      <c r="N10" s="581"/>
      <c r="O10" s="581"/>
      <c r="P10" s="581"/>
      <c r="Q10" s="581"/>
      <c r="R10" s="581"/>
      <c r="W10" s="27"/>
    </row>
    <row r="11" spans="1:23" s="27" customFormat="1" x14ac:dyDescent="0.2">
      <c r="A11" s="30"/>
      <c r="B11" s="30"/>
      <c r="C11" s="31"/>
      <c r="D11" s="30"/>
      <c r="E11" s="30"/>
      <c r="F11" s="649"/>
      <c r="G11" s="649"/>
      <c r="H11" s="649"/>
      <c r="I11" s="649"/>
      <c r="J11" s="325"/>
    </row>
    <row r="12" spans="1:23" s="27" customFormat="1" x14ac:dyDescent="0.2">
      <c r="A12" s="651"/>
      <c r="B12" s="651"/>
      <c r="C12" s="657" t="s">
        <v>354</v>
      </c>
      <c r="D12" s="651"/>
      <c r="E12" s="651"/>
      <c r="F12" s="651"/>
      <c r="G12" s="651"/>
      <c r="H12" s="651"/>
      <c r="I12" s="651"/>
      <c r="J12" s="325"/>
    </row>
    <row r="13" spans="1:23" s="326" customFormat="1" x14ac:dyDescent="0.2">
      <c r="A13" s="656" t="s">
        <v>355</v>
      </c>
      <c r="B13" s="656"/>
      <c r="C13" s="651"/>
      <c r="D13" s="651"/>
      <c r="E13" s="651"/>
      <c r="F13" s="651"/>
      <c r="G13" s="651"/>
      <c r="H13" s="651"/>
      <c r="I13" s="651"/>
      <c r="J13" s="325"/>
    </row>
    <row r="14" spans="1:23" ht="4.5" customHeight="1" x14ac:dyDescent="0.2">
      <c r="A14" s="32"/>
      <c r="B14" s="32"/>
      <c r="C14" s="651"/>
      <c r="D14" s="651"/>
      <c r="E14" s="651"/>
      <c r="F14" s="651"/>
      <c r="G14" s="651"/>
      <c r="H14" s="651"/>
      <c r="I14" s="651"/>
    </row>
    <row r="15" spans="1:23" ht="31.5" customHeight="1" x14ac:dyDescent="0.2">
      <c r="A15" s="652" t="s">
        <v>198</v>
      </c>
      <c r="B15" s="652"/>
      <c r="C15" s="652"/>
      <c r="D15" s="652"/>
      <c r="E15" s="652"/>
      <c r="F15" s="652"/>
      <c r="G15" s="652"/>
      <c r="H15" s="48"/>
      <c r="I15" s="48"/>
    </row>
    <row r="16" spans="1:23" ht="47.25" customHeight="1" x14ac:dyDescent="0.2">
      <c r="A16" s="653" t="s">
        <v>199</v>
      </c>
      <c r="B16" s="654" t="s">
        <v>200</v>
      </c>
      <c r="C16" s="329" t="s">
        <v>201</v>
      </c>
      <c r="D16" s="329" t="s">
        <v>202</v>
      </c>
      <c r="E16" s="654" t="s">
        <v>38</v>
      </c>
      <c r="F16" s="654" t="s">
        <v>39</v>
      </c>
      <c r="G16" s="655" t="s">
        <v>40</v>
      </c>
    </row>
    <row r="17" spans="1:10" ht="15.75" hidden="1" customHeight="1" x14ac:dyDescent="0.2">
      <c r="A17" s="653"/>
      <c r="B17" s="654"/>
      <c r="C17" s="329"/>
      <c r="D17" s="329"/>
      <c r="E17" s="654"/>
      <c r="F17" s="654"/>
      <c r="G17" s="655"/>
    </row>
    <row r="18" spans="1:10" ht="18" customHeight="1" x14ac:dyDescent="0.2">
      <c r="A18" s="330">
        <v>1</v>
      </c>
      <c r="B18" s="331">
        <v>2</v>
      </c>
      <c r="C18" s="331">
        <v>3</v>
      </c>
      <c r="D18" s="331">
        <v>4</v>
      </c>
      <c r="E18" s="329">
        <v>5</v>
      </c>
      <c r="F18" s="329">
        <v>6</v>
      </c>
      <c r="G18" s="332">
        <v>7</v>
      </c>
    </row>
    <row r="19" spans="1:10" ht="18" customHeight="1" x14ac:dyDescent="0.2">
      <c r="A19" s="658" t="s">
        <v>42</v>
      </c>
      <c r="B19" s="658"/>
      <c r="C19" s="658"/>
      <c r="D19" s="658"/>
      <c r="E19" s="658"/>
      <c r="F19" s="658"/>
      <c r="G19" s="658"/>
    </row>
    <row r="20" spans="1:10" ht="30.75" customHeight="1" x14ac:dyDescent="0.2">
      <c r="A20" s="333" t="s">
        <v>4</v>
      </c>
      <c r="B20" s="354" t="s">
        <v>431</v>
      </c>
      <c r="C20" s="334" t="s">
        <v>158</v>
      </c>
      <c r="D20" s="334">
        <v>0.5</v>
      </c>
      <c r="E20" s="335" t="s">
        <v>432</v>
      </c>
      <c r="F20" s="335" t="s">
        <v>243</v>
      </c>
      <c r="G20" s="336">
        <f>D20*18</f>
        <v>9</v>
      </c>
      <c r="J20" s="337"/>
    </row>
    <row r="21" spans="1:10" ht="18" customHeight="1" x14ac:dyDescent="0.2">
      <c r="A21" s="338" t="s">
        <v>5</v>
      </c>
      <c r="B21" s="378" t="s">
        <v>452</v>
      </c>
      <c r="C21" s="379"/>
      <c r="D21" s="379"/>
      <c r="E21" s="379"/>
      <c r="F21" s="380" t="s">
        <v>453</v>
      </c>
      <c r="G21" s="332">
        <f>G20</f>
        <v>9</v>
      </c>
    </row>
    <row r="22" spans="1:10" ht="21" customHeight="1" x14ac:dyDescent="0.2">
      <c r="A22" s="659" t="s">
        <v>58</v>
      </c>
      <c r="B22" s="659"/>
      <c r="C22" s="659"/>
      <c r="D22" s="659"/>
      <c r="E22" s="659"/>
      <c r="F22" s="659"/>
      <c r="G22" s="659"/>
    </row>
    <row r="23" spans="1:10" ht="30.75" customHeight="1" x14ac:dyDescent="0.2">
      <c r="A23" s="333" t="s">
        <v>6</v>
      </c>
      <c r="B23" s="354" t="s">
        <v>431</v>
      </c>
      <c r="C23" s="334" t="s">
        <v>158</v>
      </c>
      <c r="D23" s="334">
        <v>0.5</v>
      </c>
      <c r="E23" s="335" t="s">
        <v>432</v>
      </c>
      <c r="F23" s="335" t="s">
        <v>244</v>
      </c>
      <c r="G23" s="336">
        <f>D23*6</f>
        <v>3</v>
      </c>
      <c r="J23" s="337"/>
    </row>
    <row r="24" spans="1:10" ht="18" customHeight="1" x14ac:dyDescent="0.2">
      <c r="A24" s="660" t="s">
        <v>10</v>
      </c>
      <c r="B24" s="661" t="s">
        <v>433</v>
      </c>
      <c r="C24" s="662" t="s">
        <v>203</v>
      </c>
      <c r="D24" s="662">
        <v>2</v>
      </c>
      <c r="E24" s="662" t="s">
        <v>204</v>
      </c>
      <c r="F24" s="663" t="s">
        <v>205</v>
      </c>
      <c r="G24" s="664">
        <f>D24*105</f>
        <v>210</v>
      </c>
    </row>
    <row r="25" spans="1:10" s="339" customFormat="1" x14ac:dyDescent="0.2">
      <c r="A25" s="660"/>
      <c r="B25" s="661"/>
      <c r="C25" s="662"/>
      <c r="D25" s="662"/>
      <c r="E25" s="662"/>
      <c r="F25" s="663"/>
      <c r="G25" s="664"/>
      <c r="J25" s="337"/>
    </row>
    <row r="26" spans="1:10" ht="28.5" customHeight="1" x14ac:dyDescent="0.2">
      <c r="A26" s="660" t="s">
        <v>11</v>
      </c>
      <c r="B26" s="661" t="s">
        <v>434</v>
      </c>
      <c r="C26" s="662" t="s">
        <v>206</v>
      </c>
      <c r="D26" s="662">
        <v>1</v>
      </c>
      <c r="E26" s="662" t="s">
        <v>207</v>
      </c>
      <c r="F26" s="663" t="s">
        <v>208</v>
      </c>
      <c r="G26" s="664">
        <f>D26*61</f>
        <v>61</v>
      </c>
    </row>
    <row r="27" spans="1:10" ht="13.15" customHeight="1" x14ac:dyDescent="0.2">
      <c r="A27" s="660"/>
      <c r="B27" s="661"/>
      <c r="C27" s="662"/>
      <c r="D27" s="662"/>
      <c r="E27" s="662"/>
      <c r="F27" s="663"/>
      <c r="G27" s="664"/>
      <c r="J27" s="337"/>
    </row>
    <row r="28" spans="1:10" ht="40.9" customHeight="1" x14ac:dyDescent="0.2">
      <c r="A28" s="333" t="s">
        <v>12</v>
      </c>
      <c r="B28" s="355" t="s">
        <v>435</v>
      </c>
      <c r="C28" s="334" t="s">
        <v>245</v>
      </c>
      <c r="D28" s="334">
        <v>1</v>
      </c>
      <c r="E28" s="335" t="s">
        <v>436</v>
      </c>
      <c r="F28" s="356" t="s">
        <v>440</v>
      </c>
      <c r="G28" s="336">
        <f>1*201</f>
        <v>201</v>
      </c>
    </row>
    <row r="29" spans="1:10" ht="58.9" customHeight="1" x14ac:dyDescent="0.2">
      <c r="A29" s="333" t="s">
        <v>25</v>
      </c>
      <c r="B29" s="340" t="s">
        <v>209</v>
      </c>
      <c r="C29" s="357" t="s">
        <v>437</v>
      </c>
      <c r="D29" s="334">
        <v>1</v>
      </c>
      <c r="E29" s="334" t="s">
        <v>210</v>
      </c>
      <c r="F29" s="335" t="s">
        <v>211</v>
      </c>
      <c r="G29" s="336">
        <f>1*90</f>
        <v>90</v>
      </c>
    </row>
    <row r="30" spans="1:10" ht="38.25" customHeight="1" x14ac:dyDescent="0.2">
      <c r="A30" s="333" t="s">
        <v>26</v>
      </c>
      <c r="B30" s="358" t="s">
        <v>438</v>
      </c>
      <c r="C30" s="334" t="s">
        <v>212</v>
      </c>
      <c r="D30" s="334">
        <v>4</v>
      </c>
      <c r="E30" s="335" t="s">
        <v>213</v>
      </c>
      <c r="F30" s="335" t="s">
        <v>439</v>
      </c>
      <c r="G30" s="336">
        <f>D30*49</f>
        <v>196</v>
      </c>
      <c r="J30" s="337"/>
    </row>
    <row r="31" spans="1:10" ht="21" customHeight="1" x14ac:dyDescent="0.2">
      <c r="A31" s="333" t="s">
        <v>27</v>
      </c>
      <c r="B31" s="670" t="s">
        <v>345</v>
      </c>
      <c r="C31" s="671"/>
      <c r="D31" s="671"/>
      <c r="E31" s="671"/>
      <c r="F31" s="672"/>
      <c r="G31" s="332">
        <f>SUM(G23:G30)</f>
        <v>761</v>
      </c>
      <c r="J31" s="337"/>
    </row>
    <row r="32" spans="1:10" s="341" customFormat="1" ht="60" customHeight="1" x14ac:dyDescent="0.2">
      <c r="A32" s="359" t="s">
        <v>28</v>
      </c>
      <c r="B32" s="371" t="s">
        <v>441</v>
      </c>
      <c r="C32" s="360" t="s">
        <v>177</v>
      </c>
      <c r="D32" s="360">
        <v>1</v>
      </c>
      <c r="E32" s="375" t="s">
        <v>215</v>
      </c>
      <c r="F32" s="374" t="s">
        <v>442</v>
      </c>
      <c r="G32" s="361">
        <f>D32*450</f>
        <v>450</v>
      </c>
      <c r="J32" s="327"/>
    </row>
    <row r="33" spans="1:10" s="341" customFormat="1" ht="59.25" customHeight="1" x14ac:dyDescent="0.2">
      <c r="A33" s="676" t="s">
        <v>29</v>
      </c>
      <c r="B33" s="371" t="s">
        <v>443</v>
      </c>
      <c r="C33" s="363" t="s">
        <v>217</v>
      </c>
      <c r="D33" s="360">
        <v>1</v>
      </c>
      <c r="E33" s="376" t="s">
        <v>218</v>
      </c>
      <c r="F33" s="372" t="s">
        <v>445</v>
      </c>
      <c r="G33" s="364">
        <f>1*G31*60%*1.15</f>
        <v>525.08999999999992</v>
      </c>
      <c r="J33" s="327"/>
    </row>
    <row r="34" spans="1:10" s="341" customFormat="1" ht="25.5" x14ac:dyDescent="0.2">
      <c r="A34" s="677"/>
      <c r="B34" s="373" t="s">
        <v>444</v>
      </c>
      <c r="C34" s="365"/>
      <c r="D34" s="369"/>
      <c r="E34" s="366" t="s">
        <v>543</v>
      </c>
      <c r="F34" s="368"/>
      <c r="G34" s="367"/>
      <c r="J34" s="327"/>
    </row>
    <row r="35" spans="1:10" s="341" customFormat="1" ht="22.15" customHeight="1" x14ac:dyDescent="0.2">
      <c r="A35" s="384" t="s">
        <v>214</v>
      </c>
      <c r="B35" s="381" t="s">
        <v>454</v>
      </c>
      <c r="C35" s="382"/>
      <c r="D35" s="382"/>
      <c r="E35" s="382"/>
      <c r="F35" s="383" t="s">
        <v>455</v>
      </c>
      <c r="G35" s="362">
        <f>G32+G33+G31</f>
        <v>1736.09</v>
      </c>
      <c r="J35" s="327"/>
    </row>
    <row r="36" spans="1:10" s="341" customFormat="1" ht="22.15" customHeight="1" x14ac:dyDescent="0.2">
      <c r="A36" s="678" t="s">
        <v>146</v>
      </c>
      <c r="B36" s="679"/>
      <c r="C36" s="679"/>
      <c r="D36" s="679"/>
      <c r="E36" s="679"/>
      <c r="F36" s="679"/>
      <c r="G36" s="680"/>
      <c r="J36" s="327"/>
    </row>
    <row r="37" spans="1:10" s="341" customFormat="1" ht="60.6" customHeight="1" x14ac:dyDescent="0.2">
      <c r="A37" s="333" t="s">
        <v>216</v>
      </c>
      <c r="B37" s="370" t="s">
        <v>446</v>
      </c>
      <c r="C37" s="334" t="s">
        <v>186</v>
      </c>
      <c r="D37" s="334">
        <v>16.25</v>
      </c>
      <c r="E37" s="334" t="s">
        <v>447</v>
      </c>
      <c r="F37" s="335" t="s">
        <v>448</v>
      </c>
      <c r="G37" s="336">
        <f>G21*16.25%</f>
        <v>1.4625000000000001</v>
      </c>
      <c r="J37" s="327"/>
    </row>
    <row r="38" spans="1:10" s="343" customFormat="1" ht="74.25" customHeight="1" x14ac:dyDescent="0.2">
      <c r="A38" s="333" t="s">
        <v>219</v>
      </c>
      <c r="B38" s="370" t="s">
        <v>348</v>
      </c>
      <c r="C38" s="334" t="s">
        <v>186</v>
      </c>
      <c r="D38" s="342">
        <v>36.4</v>
      </c>
      <c r="E38" s="334" t="s">
        <v>222</v>
      </c>
      <c r="F38" s="377" t="s">
        <v>451</v>
      </c>
      <c r="G38" s="336">
        <f>D38%*(G37+G21)</f>
        <v>3.8083499999999999</v>
      </c>
      <c r="J38" s="337">
        <f>G37+G21</f>
        <v>10.4625</v>
      </c>
    </row>
    <row r="39" spans="1:10" ht="29.45" customHeight="1" x14ac:dyDescent="0.2">
      <c r="A39" s="333" t="s">
        <v>220</v>
      </c>
      <c r="B39" s="370" t="s">
        <v>449</v>
      </c>
      <c r="C39" s="334" t="s">
        <v>186</v>
      </c>
      <c r="D39" s="342">
        <v>6</v>
      </c>
      <c r="E39" s="334" t="s">
        <v>529</v>
      </c>
      <c r="F39" s="377" t="s">
        <v>450</v>
      </c>
      <c r="G39" s="336">
        <f>6%*(G21+G37)*2.5</f>
        <v>1.569375</v>
      </c>
    </row>
    <row r="40" spans="1:10" x14ac:dyDescent="0.2">
      <c r="A40" s="338" t="s">
        <v>221</v>
      </c>
      <c r="B40" s="385" t="s">
        <v>456</v>
      </c>
      <c r="C40" s="386"/>
      <c r="D40" s="386"/>
      <c r="E40" s="386"/>
      <c r="F40" s="387" t="s">
        <v>530</v>
      </c>
      <c r="G40" s="332">
        <f>G37+G38+G39</f>
        <v>6.8402250000000002</v>
      </c>
    </row>
    <row r="41" spans="1:10" ht="25.5" x14ac:dyDescent="0.2">
      <c r="A41" s="338" t="s">
        <v>223</v>
      </c>
      <c r="B41" s="378" t="s">
        <v>225</v>
      </c>
      <c r="C41" s="379"/>
      <c r="D41" s="379"/>
      <c r="E41" s="379"/>
      <c r="F41" s="380" t="s">
        <v>531</v>
      </c>
      <c r="G41" s="332">
        <f>G21+G35+G40</f>
        <v>1751.9302249999998</v>
      </c>
    </row>
    <row r="42" spans="1:10" ht="42.75" customHeight="1" x14ac:dyDescent="0.2">
      <c r="A42" s="338" t="s">
        <v>224</v>
      </c>
      <c r="B42" s="344" t="s">
        <v>226</v>
      </c>
      <c r="C42" s="673" t="s">
        <v>241</v>
      </c>
      <c r="D42" s="674"/>
      <c r="E42" s="675"/>
      <c r="F42" s="345">
        <v>66.38</v>
      </c>
      <c r="G42" s="332">
        <f>G41*F42</f>
        <v>116293.12833549998</v>
      </c>
    </row>
    <row r="43" spans="1:10" ht="34.5" customHeight="1" x14ac:dyDescent="0.2">
      <c r="A43" s="329">
        <v>19</v>
      </c>
      <c r="B43" s="665" t="s">
        <v>430</v>
      </c>
      <c r="C43" s="666"/>
      <c r="D43" s="666"/>
      <c r="E43" s="666"/>
      <c r="F43" s="346"/>
      <c r="G43" s="332">
        <v>15180</v>
      </c>
    </row>
    <row r="44" spans="1:10" x14ac:dyDescent="0.2">
      <c r="A44" s="329">
        <v>20</v>
      </c>
      <c r="B44" s="667" t="s">
        <v>227</v>
      </c>
      <c r="C44" s="668"/>
      <c r="D44" s="668"/>
      <c r="E44" s="668"/>
      <c r="F44" s="669"/>
      <c r="G44" s="347">
        <f>G42+G43</f>
        <v>131473.12833549996</v>
      </c>
    </row>
    <row r="45" spans="1:10" x14ac:dyDescent="0.2">
      <c r="B45" s="349"/>
      <c r="C45" s="349"/>
      <c r="D45" s="349"/>
      <c r="E45" s="343"/>
      <c r="F45" s="343"/>
      <c r="G45" s="350"/>
    </row>
    <row r="46" spans="1:10" x14ac:dyDescent="0.2">
      <c r="B46" s="349"/>
      <c r="C46" s="349"/>
      <c r="D46" s="349"/>
      <c r="E46" s="343"/>
      <c r="F46" s="343"/>
      <c r="G46" s="350"/>
    </row>
    <row r="47" spans="1:10" x14ac:dyDescent="0.2">
      <c r="B47" s="349"/>
      <c r="C47" s="349"/>
      <c r="D47" s="349"/>
      <c r="E47" s="343"/>
      <c r="F47" s="343"/>
      <c r="G47" s="350"/>
    </row>
    <row r="48" spans="1:10" x14ac:dyDescent="0.2">
      <c r="B48" s="349"/>
      <c r="C48" s="349"/>
      <c r="D48" s="349"/>
      <c r="E48" s="343"/>
      <c r="F48" s="343"/>
      <c r="G48" s="350"/>
    </row>
    <row r="49" spans="2:7" x14ac:dyDescent="0.2">
      <c r="B49" s="349"/>
      <c r="C49" s="349"/>
      <c r="D49" s="349"/>
      <c r="E49" s="343"/>
      <c r="F49" s="343"/>
      <c r="G49" s="350"/>
    </row>
    <row r="50" spans="2:7" x14ac:dyDescent="0.2">
      <c r="B50" s="349"/>
      <c r="C50" s="349"/>
      <c r="D50" s="349"/>
      <c r="E50" s="343"/>
      <c r="F50" s="343"/>
      <c r="G50" s="350"/>
    </row>
  </sheetData>
  <mergeCells count="49">
    <mergeCell ref="A33:A34"/>
    <mergeCell ref="A36:G36"/>
    <mergeCell ref="K8:R8"/>
    <mergeCell ref="K10:R10"/>
    <mergeCell ref="C5:G5"/>
    <mergeCell ref="A7:C7"/>
    <mergeCell ref="D7:G7"/>
    <mergeCell ref="A8:C8"/>
    <mergeCell ref="D8:G8"/>
    <mergeCell ref="H8:J8"/>
    <mergeCell ref="A9:C9"/>
    <mergeCell ref="D9:G9"/>
    <mergeCell ref="A10:C10"/>
    <mergeCell ref="D10:G10"/>
    <mergeCell ref="H10:J10"/>
    <mergeCell ref="A26:A27"/>
    <mergeCell ref="B43:E43"/>
    <mergeCell ref="B44:F44"/>
    <mergeCell ref="G26:G27"/>
    <mergeCell ref="B31:F31"/>
    <mergeCell ref="C42:E42"/>
    <mergeCell ref="F26:F27"/>
    <mergeCell ref="B26:B27"/>
    <mergeCell ref="C26:C27"/>
    <mergeCell ref="D26:D27"/>
    <mergeCell ref="E26:E27"/>
    <mergeCell ref="A19:G19"/>
    <mergeCell ref="A22:G22"/>
    <mergeCell ref="A24:A25"/>
    <mergeCell ref="B24:B25"/>
    <mergeCell ref="C24:C25"/>
    <mergeCell ref="D24:D25"/>
    <mergeCell ref="E24:E25"/>
    <mergeCell ref="F24:F25"/>
    <mergeCell ref="G24:G25"/>
    <mergeCell ref="A12:B12"/>
    <mergeCell ref="A15:G15"/>
    <mergeCell ref="A16:A17"/>
    <mergeCell ref="B16:B17"/>
    <mergeCell ref="E16:E17"/>
    <mergeCell ref="F16:F17"/>
    <mergeCell ref="G16:G17"/>
    <mergeCell ref="A13:B13"/>
    <mergeCell ref="C12:I14"/>
    <mergeCell ref="F11:I11"/>
    <mergeCell ref="E1:G1"/>
    <mergeCell ref="B2:H2"/>
    <mergeCell ref="B3:H3"/>
    <mergeCell ref="A5:B5"/>
  </mergeCells>
  <printOptions horizontalCentered="1"/>
  <pageMargins left="0.19685039370078741" right="0.19685039370078741" top="0.39370078740157483" bottom="0.39370078740157483" header="0.31496062992125984" footer="0.31496062992125984"/>
  <pageSetup paperSize="9" scale="8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3"/>
  <dimension ref="A1:J41"/>
  <sheetViews>
    <sheetView topLeftCell="A18" zoomScale="70" zoomScaleNormal="70" workbookViewId="0">
      <selection activeCell="I25" sqref="I25"/>
    </sheetView>
  </sheetViews>
  <sheetFormatPr defaultColWidth="11.5703125" defaultRowHeight="12.75" x14ac:dyDescent="0.2"/>
  <cols>
    <col min="1" max="1" width="3.7109375" style="433" customWidth="1"/>
    <col min="2" max="2" width="10.7109375" style="433" customWidth="1"/>
    <col min="3" max="3" width="15.5703125" style="433" customWidth="1"/>
    <col min="4" max="4" width="4.42578125" style="433" customWidth="1"/>
    <col min="5" max="6" width="9.28515625" style="433" customWidth="1"/>
    <col min="7" max="7" width="29" style="433" customWidth="1"/>
    <col min="8" max="8" width="19.7109375" style="433" customWidth="1"/>
    <col min="9" max="9" width="14.7109375" style="433" customWidth="1"/>
    <col min="10" max="10" width="19.7109375" style="429" customWidth="1"/>
    <col min="11" max="256" width="11.5703125" style="429"/>
    <col min="257" max="257" width="3.7109375" style="429" customWidth="1"/>
    <col min="258" max="258" width="10.7109375" style="429" customWidth="1"/>
    <col min="259" max="259" width="15.5703125" style="429" customWidth="1"/>
    <col min="260" max="260" width="4.42578125" style="429" customWidth="1"/>
    <col min="261" max="263" width="9.28515625" style="429" customWidth="1"/>
    <col min="264" max="264" width="19.7109375" style="429" customWidth="1"/>
    <col min="265" max="265" width="14.7109375" style="429" customWidth="1"/>
    <col min="266" max="266" width="19.7109375" style="429" customWidth="1"/>
    <col min="267" max="512" width="11.5703125" style="429"/>
    <col min="513" max="513" width="3.7109375" style="429" customWidth="1"/>
    <col min="514" max="514" width="10.7109375" style="429" customWidth="1"/>
    <col min="515" max="515" width="15.5703125" style="429" customWidth="1"/>
    <col min="516" max="516" width="4.42578125" style="429" customWidth="1"/>
    <col min="517" max="519" width="9.28515625" style="429" customWidth="1"/>
    <col min="520" max="520" width="19.7109375" style="429" customWidth="1"/>
    <col min="521" max="521" width="14.7109375" style="429" customWidth="1"/>
    <col min="522" max="522" width="19.7109375" style="429" customWidth="1"/>
    <col min="523" max="768" width="11.5703125" style="429"/>
    <col min="769" max="769" width="3.7109375" style="429" customWidth="1"/>
    <col min="770" max="770" width="10.7109375" style="429" customWidth="1"/>
    <col min="771" max="771" width="15.5703125" style="429" customWidth="1"/>
    <col min="772" max="772" width="4.42578125" style="429" customWidth="1"/>
    <col min="773" max="775" width="9.28515625" style="429" customWidth="1"/>
    <col min="776" max="776" width="19.7109375" style="429" customWidth="1"/>
    <col min="777" max="777" width="14.7109375" style="429" customWidth="1"/>
    <col min="778" max="778" width="19.7109375" style="429" customWidth="1"/>
    <col min="779" max="1024" width="11.5703125" style="429"/>
    <col min="1025" max="1025" width="3.7109375" style="429" customWidth="1"/>
    <col min="1026" max="1026" width="10.7109375" style="429" customWidth="1"/>
    <col min="1027" max="1027" width="15.5703125" style="429" customWidth="1"/>
    <col min="1028" max="1028" width="4.42578125" style="429" customWidth="1"/>
    <col min="1029" max="1031" width="9.28515625" style="429" customWidth="1"/>
    <col min="1032" max="1032" width="19.7109375" style="429" customWidth="1"/>
    <col min="1033" max="1033" width="14.7109375" style="429" customWidth="1"/>
    <col min="1034" max="1034" width="19.7109375" style="429" customWidth="1"/>
    <col min="1035" max="1280" width="11.5703125" style="429"/>
    <col min="1281" max="1281" width="3.7109375" style="429" customWidth="1"/>
    <col min="1282" max="1282" width="10.7109375" style="429" customWidth="1"/>
    <col min="1283" max="1283" width="15.5703125" style="429" customWidth="1"/>
    <col min="1284" max="1284" width="4.42578125" style="429" customWidth="1"/>
    <col min="1285" max="1287" width="9.28515625" style="429" customWidth="1"/>
    <col min="1288" max="1288" width="19.7109375" style="429" customWidth="1"/>
    <col min="1289" max="1289" width="14.7109375" style="429" customWidth="1"/>
    <col min="1290" max="1290" width="19.7109375" style="429" customWidth="1"/>
    <col min="1291" max="1536" width="11.5703125" style="429"/>
    <col min="1537" max="1537" width="3.7109375" style="429" customWidth="1"/>
    <col min="1538" max="1538" width="10.7109375" style="429" customWidth="1"/>
    <col min="1539" max="1539" width="15.5703125" style="429" customWidth="1"/>
    <col min="1540" max="1540" width="4.42578125" style="429" customWidth="1"/>
    <col min="1541" max="1543" width="9.28515625" style="429" customWidth="1"/>
    <col min="1544" max="1544" width="19.7109375" style="429" customWidth="1"/>
    <col min="1545" max="1545" width="14.7109375" style="429" customWidth="1"/>
    <col min="1546" max="1546" width="19.7109375" style="429" customWidth="1"/>
    <col min="1547" max="1792" width="11.5703125" style="429"/>
    <col min="1793" max="1793" width="3.7109375" style="429" customWidth="1"/>
    <col min="1794" max="1794" width="10.7109375" style="429" customWidth="1"/>
    <col min="1795" max="1795" width="15.5703125" style="429" customWidth="1"/>
    <col min="1796" max="1796" width="4.42578125" style="429" customWidth="1"/>
    <col min="1797" max="1799" width="9.28515625" style="429" customWidth="1"/>
    <col min="1800" max="1800" width="19.7109375" style="429" customWidth="1"/>
    <col min="1801" max="1801" width="14.7109375" style="429" customWidth="1"/>
    <col min="1802" max="1802" width="19.7109375" style="429" customWidth="1"/>
    <col min="1803" max="2048" width="11.5703125" style="429"/>
    <col min="2049" max="2049" width="3.7109375" style="429" customWidth="1"/>
    <col min="2050" max="2050" width="10.7109375" style="429" customWidth="1"/>
    <col min="2051" max="2051" width="15.5703125" style="429" customWidth="1"/>
    <col min="2052" max="2052" width="4.42578125" style="429" customWidth="1"/>
    <col min="2053" max="2055" width="9.28515625" style="429" customWidth="1"/>
    <col min="2056" max="2056" width="19.7109375" style="429" customWidth="1"/>
    <col min="2057" max="2057" width="14.7109375" style="429" customWidth="1"/>
    <col min="2058" max="2058" width="19.7109375" style="429" customWidth="1"/>
    <col min="2059" max="2304" width="11.5703125" style="429"/>
    <col min="2305" max="2305" width="3.7109375" style="429" customWidth="1"/>
    <col min="2306" max="2306" width="10.7109375" style="429" customWidth="1"/>
    <col min="2307" max="2307" width="15.5703125" style="429" customWidth="1"/>
    <col min="2308" max="2308" width="4.42578125" style="429" customWidth="1"/>
    <col min="2309" max="2311" width="9.28515625" style="429" customWidth="1"/>
    <col min="2312" max="2312" width="19.7109375" style="429" customWidth="1"/>
    <col min="2313" max="2313" width="14.7109375" style="429" customWidth="1"/>
    <col min="2314" max="2314" width="19.7109375" style="429" customWidth="1"/>
    <col min="2315" max="2560" width="11.5703125" style="429"/>
    <col min="2561" max="2561" width="3.7109375" style="429" customWidth="1"/>
    <col min="2562" max="2562" width="10.7109375" style="429" customWidth="1"/>
    <col min="2563" max="2563" width="15.5703125" style="429" customWidth="1"/>
    <col min="2564" max="2564" width="4.42578125" style="429" customWidth="1"/>
    <col min="2565" max="2567" width="9.28515625" style="429" customWidth="1"/>
    <col min="2568" max="2568" width="19.7109375" style="429" customWidth="1"/>
    <col min="2569" max="2569" width="14.7109375" style="429" customWidth="1"/>
    <col min="2570" max="2570" width="19.7109375" style="429" customWidth="1"/>
    <col min="2571" max="2816" width="11.5703125" style="429"/>
    <col min="2817" max="2817" width="3.7109375" style="429" customWidth="1"/>
    <col min="2818" max="2818" width="10.7109375" style="429" customWidth="1"/>
    <col min="2819" max="2819" width="15.5703125" style="429" customWidth="1"/>
    <col min="2820" max="2820" width="4.42578125" style="429" customWidth="1"/>
    <col min="2821" max="2823" width="9.28515625" style="429" customWidth="1"/>
    <col min="2824" max="2824" width="19.7109375" style="429" customWidth="1"/>
    <col min="2825" max="2825" width="14.7109375" style="429" customWidth="1"/>
    <col min="2826" max="2826" width="19.7109375" style="429" customWidth="1"/>
    <col min="2827" max="3072" width="11.5703125" style="429"/>
    <col min="3073" max="3073" width="3.7109375" style="429" customWidth="1"/>
    <col min="3074" max="3074" width="10.7109375" style="429" customWidth="1"/>
    <col min="3075" max="3075" width="15.5703125" style="429" customWidth="1"/>
    <col min="3076" max="3076" width="4.42578125" style="429" customWidth="1"/>
    <col min="3077" max="3079" width="9.28515625" style="429" customWidth="1"/>
    <col min="3080" max="3080" width="19.7109375" style="429" customWidth="1"/>
    <col min="3081" max="3081" width="14.7109375" style="429" customWidth="1"/>
    <col min="3082" max="3082" width="19.7109375" style="429" customWidth="1"/>
    <col min="3083" max="3328" width="11.5703125" style="429"/>
    <col min="3329" max="3329" width="3.7109375" style="429" customWidth="1"/>
    <col min="3330" max="3330" width="10.7109375" style="429" customWidth="1"/>
    <col min="3331" max="3331" width="15.5703125" style="429" customWidth="1"/>
    <col min="3332" max="3332" width="4.42578125" style="429" customWidth="1"/>
    <col min="3333" max="3335" width="9.28515625" style="429" customWidth="1"/>
    <col min="3336" max="3336" width="19.7109375" style="429" customWidth="1"/>
    <col min="3337" max="3337" width="14.7109375" style="429" customWidth="1"/>
    <col min="3338" max="3338" width="19.7109375" style="429" customWidth="1"/>
    <col min="3339" max="3584" width="11.5703125" style="429"/>
    <col min="3585" max="3585" width="3.7109375" style="429" customWidth="1"/>
    <col min="3586" max="3586" width="10.7109375" style="429" customWidth="1"/>
    <col min="3587" max="3587" width="15.5703125" style="429" customWidth="1"/>
    <col min="3588" max="3588" width="4.42578125" style="429" customWidth="1"/>
    <col min="3589" max="3591" width="9.28515625" style="429" customWidth="1"/>
    <col min="3592" max="3592" width="19.7109375" style="429" customWidth="1"/>
    <col min="3593" max="3593" width="14.7109375" style="429" customWidth="1"/>
    <col min="3594" max="3594" width="19.7109375" style="429" customWidth="1"/>
    <col min="3595" max="3840" width="11.5703125" style="429"/>
    <col min="3841" max="3841" width="3.7109375" style="429" customWidth="1"/>
    <col min="3842" max="3842" width="10.7109375" style="429" customWidth="1"/>
    <col min="3843" max="3843" width="15.5703125" style="429" customWidth="1"/>
    <col min="3844" max="3844" width="4.42578125" style="429" customWidth="1"/>
    <col min="3845" max="3847" width="9.28515625" style="429" customWidth="1"/>
    <col min="3848" max="3848" width="19.7109375" style="429" customWidth="1"/>
    <col min="3849" max="3849" width="14.7109375" style="429" customWidth="1"/>
    <col min="3850" max="3850" width="19.7109375" style="429" customWidth="1"/>
    <col min="3851" max="4096" width="11.5703125" style="429"/>
    <col min="4097" max="4097" width="3.7109375" style="429" customWidth="1"/>
    <col min="4098" max="4098" width="10.7109375" style="429" customWidth="1"/>
    <col min="4099" max="4099" width="15.5703125" style="429" customWidth="1"/>
    <col min="4100" max="4100" width="4.42578125" style="429" customWidth="1"/>
    <col min="4101" max="4103" width="9.28515625" style="429" customWidth="1"/>
    <col min="4104" max="4104" width="19.7109375" style="429" customWidth="1"/>
    <col min="4105" max="4105" width="14.7109375" style="429" customWidth="1"/>
    <col min="4106" max="4106" width="19.7109375" style="429" customWidth="1"/>
    <col min="4107" max="4352" width="11.5703125" style="429"/>
    <col min="4353" max="4353" width="3.7109375" style="429" customWidth="1"/>
    <col min="4354" max="4354" width="10.7109375" style="429" customWidth="1"/>
    <col min="4355" max="4355" width="15.5703125" style="429" customWidth="1"/>
    <col min="4356" max="4356" width="4.42578125" style="429" customWidth="1"/>
    <col min="4357" max="4359" width="9.28515625" style="429" customWidth="1"/>
    <col min="4360" max="4360" width="19.7109375" style="429" customWidth="1"/>
    <col min="4361" max="4361" width="14.7109375" style="429" customWidth="1"/>
    <col min="4362" max="4362" width="19.7109375" style="429" customWidth="1"/>
    <col min="4363" max="4608" width="11.5703125" style="429"/>
    <col min="4609" max="4609" width="3.7109375" style="429" customWidth="1"/>
    <col min="4610" max="4610" width="10.7109375" style="429" customWidth="1"/>
    <col min="4611" max="4611" width="15.5703125" style="429" customWidth="1"/>
    <col min="4612" max="4612" width="4.42578125" style="429" customWidth="1"/>
    <col min="4613" max="4615" width="9.28515625" style="429" customWidth="1"/>
    <col min="4616" max="4616" width="19.7109375" style="429" customWidth="1"/>
    <col min="4617" max="4617" width="14.7109375" style="429" customWidth="1"/>
    <col min="4618" max="4618" width="19.7109375" style="429" customWidth="1"/>
    <col min="4619" max="4864" width="11.5703125" style="429"/>
    <col min="4865" max="4865" width="3.7109375" style="429" customWidth="1"/>
    <col min="4866" max="4866" width="10.7109375" style="429" customWidth="1"/>
    <col min="4867" max="4867" width="15.5703125" style="429" customWidth="1"/>
    <col min="4868" max="4868" width="4.42578125" style="429" customWidth="1"/>
    <col min="4869" max="4871" width="9.28515625" style="429" customWidth="1"/>
    <col min="4872" max="4872" width="19.7109375" style="429" customWidth="1"/>
    <col min="4873" max="4873" width="14.7109375" style="429" customWidth="1"/>
    <col min="4874" max="4874" width="19.7109375" style="429" customWidth="1"/>
    <col min="4875" max="5120" width="11.5703125" style="429"/>
    <col min="5121" max="5121" width="3.7109375" style="429" customWidth="1"/>
    <col min="5122" max="5122" width="10.7109375" style="429" customWidth="1"/>
    <col min="5123" max="5123" width="15.5703125" style="429" customWidth="1"/>
    <col min="5124" max="5124" width="4.42578125" style="429" customWidth="1"/>
    <col min="5125" max="5127" width="9.28515625" style="429" customWidth="1"/>
    <col min="5128" max="5128" width="19.7109375" style="429" customWidth="1"/>
    <col min="5129" max="5129" width="14.7109375" style="429" customWidth="1"/>
    <col min="5130" max="5130" width="19.7109375" style="429" customWidth="1"/>
    <col min="5131" max="5376" width="11.5703125" style="429"/>
    <col min="5377" max="5377" width="3.7109375" style="429" customWidth="1"/>
    <col min="5378" max="5378" width="10.7109375" style="429" customWidth="1"/>
    <col min="5379" max="5379" width="15.5703125" style="429" customWidth="1"/>
    <col min="5380" max="5380" width="4.42578125" style="429" customWidth="1"/>
    <col min="5381" max="5383" width="9.28515625" style="429" customWidth="1"/>
    <col min="5384" max="5384" width="19.7109375" style="429" customWidth="1"/>
    <col min="5385" max="5385" width="14.7109375" style="429" customWidth="1"/>
    <col min="5386" max="5386" width="19.7109375" style="429" customWidth="1"/>
    <col min="5387" max="5632" width="11.5703125" style="429"/>
    <col min="5633" max="5633" width="3.7109375" style="429" customWidth="1"/>
    <col min="5634" max="5634" width="10.7109375" style="429" customWidth="1"/>
    <col min="5635" max="5635" width="15.5703125" style="429" customWidth="1"/>
    <col min="5636" max="5636" width="4.42578125" style="429" customWidth="1"/>
    <col min="5637" max="5639" width="9.28515625" style="429" customWidth="1"/>
    <col min="5640" max="5640" width="19.7109375" style="429" customWidth="1"/>
    <col min="5641" max="5641" width="14.7109375" style="429" customWidth="1"/>
    <col min="5642" max="5642" width="19.7109375" style="429" customWidth="1"/>
    <col min="5643" max="5888" width="11.5703125" style="429"/>
    <col min="5889" max="5889" width="3.7109375" style="429" customWidth="1"/>
    <col min="5890" max="5890" width="10.7109375" style="429" customWidth="1"/>
    <col min="5891" max="5891" width="15.5703125" style="429" customWidth="1"/>
    <col min="5892" max="5892" width="4.42578125" style="429" customWidth="1"/>
    <col min="5893" max="5895" width="9.28515625" style="429" customWidth="1"/>
    <col min="5896" max="5896" width="19.7109375" style="429" customWidth="1"/>
    <col min="5897" max="5897" width="14.7109375" style="429" customWidth="1"/>
    <col min="5898" max="5898" width="19.7109375" style="429" customWidth="1"/>
    <col min="5899" max="6144" width="11.5703125" style="429"/>
    <col min="6145" max="6145" width="3.7109375" style="429" customWidth="1"/>
    <col min="6146" max="6146" width="10.7109375" style="429" customWidth="1"/>
    <col min="6147" max="6147" width="15.5703125" style="429" customWidth="1"/>
    <col min="6148" max="6148" width="4.42578125" style="429" customWidth="1"/>
    <col min="6149" max="6151" width="9.28515625" style="429" customWidth="1"/>
    <col min="6152" max="6152" width="19.7109375" style="429" customWidth="1"/>
    <col min="6153" max="6153" width="14.7109375" style="429" customWidth="1"/>
    <col min="6154" max="6154" width="19.7109375" style="429" customWidth="1"/>
    <col min="6155" max="6400" width="11.5703125" style="429"/>
    <col min="6401" max="6401" width="3.7109375" style="429" customWidth="1"/>
    <col min="6402" max="6402" width="10.7109375" style="429" customWidth="1"/>
    <col min="6403" max="6403" width="15.5703125" style="429" customWidth="1"/>
    <col min="6404" max="6404" width="4.42578125" style="429" customWidth="1"/>
    <col min="6405" max="6407" width="9.28515625" style="429" customWidth="1"/>
    <col min="6408" max="6408" width="19.7109375" style="429" customWidth="1"/>
    <col min="6409" max="6409" width="14.7109375" style="429" customWidth="1"/>
    <col min="6410" max="6410" width="19.7109375" style="429" customWidth="1"/>
    <col min="6411" max="6656" width="11.5703125" style="429"/>
    <col min="6657" max="6657" width="3.7109375" style="429" customWidth="1"/>
    <col min="6658" max="6658" width="10.7109375" style="429" customWidth="1"/>
    <col min="6659" max="6659" width="15.5703125" style="429" customWidth="1"/>
    <col min="6660" max="6660" width="4.42578125" style="429" customWidth="1"/>
    <col min="6661" max="6663" width="9.28515625" style="429" customWidth="1"/>
    <col min="6664" max="6664" width="19.7109375" style="429" customWidth="1"/>
    <col min="6665" max="6665" width="14.7109375" style="429" customWidth="1"/>
    <col min="6666" max="6666" width="19.7109375" style="429" customWidth="1"/>
    <col min="6667" max="6912" width="11.5703125" style="429"/>
    <col min="6913" max="6913" width="3.7109375" style="429" customWidth="1"/>
    <col min="6914" max="6914" width="10.7109375" style="429" customWidth="1"/>
    <col min="6915" max="6915" width="15.5703125" style="429" customWidth="1"/>
    <col min="6916" max="6916" width="4.42578125" style="429" customWidth="1"/>
    <col min="6917" max="6919" width="9.28515625" style="429" customWidth="1"/>
    <col min="6920" max="6920" width="19.7109375" style="429" customWidth="1"/>
    <col min="6921" max="6921" width="14.7109375" style="429" customWidth="1"/>
    <col min="6922" max="6922" width="19.7109375" style="429" customWidth="1"/>
    <col min="6923" max="7168" width="11.5703125" style="429"/>
    <col min="7169" max="7169" width="3.7109375" style="429" customWidth="1"/>
    <col min="7170" max="7170" width="10.7109375" style="429" customWidth="1"/>
    <col min="7171" max="7171" width="15.5703125" style="429" customWidth="1"/>
    <col min="7172" max="7172" width="4.42578125" style="429" customWidth="1"/>
    <col min="7173" max="7175" width="9.28515625" style="429" customWidth="1"/>
    <col min="7176" max="7176" width="19.7109375" style="429" customWidth="1"/>
    <col min="7177" max="7177" width="14.7109375" style="429" customWidth="1"/>
    <col min="7178" max="7178" width="19.7109375" style="429" customWidth="1"/>
    <col min="7179" max="7424" width="11.5703125" style="429"/>
    <col min="7425" max="7425" width="3.7109375" style="429" customWidth="1"/>
    <col min="7426" max="7426" width="10.7109375" style="429" customWidth="1"/>
    <col min="7427" max="7427" width="15.5703125" style="429" customWidth="1"/>
    <col min="7428" max="7428" width="4.42578125" style="429" customWidth="1"/>
    <col min="7429" max="7431" width="9.28515625" style="429" customWidth="1"/>
    <col min="7432" max="7432" width="19.7109375" style="429" customWidth="1"/>
    <col min="7433" max="7433" width="14.7109375" style="429" customWidth="1"/>
    <col min="7434" max="7434" width="19.7109375" style="429" customWidth="1"/>
    <col min="7435" max="7680" width="11.5703125" style="429"/>
    <col min="7681" max="7681" width="3.7109375" style="429" customWidth="1"/>
    <col min="7682" max="7682" width="10.7109375" style="429" customWidth="1"/>
    <col min="7683" max="7683" width="15.5703125" style="429" customWidth="1"/>
    <col min="7684" max="7684" width="4.42578125" style="429" customWidth="1"/>
    <col min="7685" max="7687" width="9.28515625" style="429" customWidth="1"/>
    <col min="7688" max="7688" width="19.7109375" style="429" customWidth="1"/>
    <col min="7689" max="7689" width="14.7109375" style="429" customWidth="1"/>
    <col min="7690" max="7690" width="19.7109375" style="429" customWidth="1"/>
    <col min="7691" max="7936" width="11.5703125" style="429"/>
    <col min="7937" max="7937" width="3.7109375" style="429" customWidth="1"/>
    <col min="7938" max="7938" width="10.7109375" style="429" customWidth="1"/>
    <col min="7939" max="7939" width="15.5703125" style="429" customWidth="1"/>
    <col min="7940" max="7940" width="4.42578125" style="429" customWidth="1"/>
    <col min="7941" max="7943" width="9.28515625" style="429" customWidth="1"/>
    <col min="7944" max="7944" width="19.7109375" style="429" customWidth="1"/>
    <col min="7945" max="7945" width="14.7109375" style="429" customWidth="1"/>
    <col min="7946" max="7946" width="19.7109375" style="429" customWidth="1"/>
    <col min="7947" max="8192" width="11.5703125" style="429"/>
    <col min="8193" max="8193" width="3.7109375" style="429" customWidth="1"/>
    <col min="8194" max="8194" width="10.7109375" style="429" customWidth="1"/>
    <col min="8195" max="8195" width="15.5703125" style="429" customWidth="1"/>
    <col min="8196" max="8196" width="4.42578125" style="429" customWidth="1"/>
    <col min="8197" max="8199" width="9.28515625" style="429" customWidth="1"/>
    <col min="8200" max="8200" width="19.7109375" style="429" customWidth="1"/>
    <col min="8201" max="8201" width="14.7109375" style="429" customWidth="1"/>
    <col min="8202" max="8202" width="19.7109375" style="429" customWidth="1"/>
    <col min="8203" max="8448" width="11.5703125" style="429"/>
    <col min="8449" max="8449" width="3.7109375" style="429" customWidth="1"/>
    <col min="8450" max="8450" width="10.7109375" style="429" customWidth="1"/>
    <col min="8451" max="8451" width="15.5703125" style="429" customWidth="1"/>
    <col min="8452" max="8452" width="4.42578125" style="429" customWidth="1"/>
    <col min="8453" max="8455" width="9.28515625" style="429" customWidth="1"/>
    <col min="8456" max="8456" width="19.7109375" style="429" customWidth="1"/>
    <col min="8457" max="8457" width="14.7109375" style="429" customWidth="1"/>
    <col min="8458" max="8458" width="19.7109375" style="429" customWidth="1"/>
    <col min="8459" max="8704" width="11.5703125" style="429"/>
    <col min="8705" max="8705" width="3.7109375" style="429" customWidth="1"/>
    <col min="8706" max="8706" width="10.7109375" style="429" customWidth="1"/>
    <col min="8707" max="8707" width="15.5703125" style="429" customWidth="1"/>
    <col min="8708" max="8708" width="4.42578125" style="429" customWidth="1"/>
    <col min="8709" max="8711" width="9.28515625" style="429" customWidth="1"/>
    <col min="8712" max="8712" width="19.7109375" style="429" customWidth="1"/>
    <col min="8713" max="8713" width="14.7109375" style="429" customWidth="1"/>
    <col min="8714" max="8714" width="19.7109375" style="429" customWidth="1"/>
    <col min="8715" max="8960" width="11.5703125" style="429"/>
    <col min="8961" max="8961" width="3.7109375" style="429" customWidth="1"/>
    <col min="8962" max="8962" width="10.7109375" style="429" customWidth="1"/>
    <col min="8963" max="8963" width="15.5703125" style="429" customWidth="1"/>
    <col min="8964" max="8964" width="4.42578125" style="429" customWidth="1"/>
    <col min="8965" max="8967" width="9.28515625" style="429" customWidth="1"/>
    <col min="8968" max="8968" width="19.7109375" style="429" customWidth="1"/>
    <col min="8969" max="8969" width="14.7109375" style="429" customWidth="1"/>
    <col min="8970" max="8970" width="19.7109375" style="429" customWidth="1"/>
    <col min="8971" max="9216" width="11.5703125" style="429"/>
    <col min="9217" max="9217" width="3.7109375" style="429" customWidth="1"/>
    <col min="9218" max="9218" width="10.7109375" style="429" customWidth="1"/>
    <col min="9219" max="9219" width="15.5703125" style="429" customWidth="1"/>
    <col min="9220" max="9220" width="4.42578125" style="429" customWidth="1"/>
    <col min="9221" max="9223" width="9.28515625" style="429" customWidth="1"/>
    <col min="9224" max="9224" width="19.7109375" style="429" customWidth="1"/>
    <col min="9225" max="9225" width="14.7109375" style="429" customWidth="1"/>
    <col min="9226" max="9226" width="19.7109375" style="429" customWidth="1"/>
    <col min="9227" max="9472" width="11.5703125" style="429"/>
    <col min="9473" max="9473" width="3.7109375" style="429" customWidth="1"/>
    <col min="9474" max="9474" width="10.7109375" style="429" customWidth="1"/>
    <col min="9475" max="9475" width="15.5703125" style="429" customWidth="1"/>
    <col min="9476" max="9476" width="4.42578125" style="429" customWidth="1"/>
    <col min="9477" max="9479" width="9.28515625" style="429" customWidth="1"/>
    <col min="9480" max="9480" width="19.7109375" style="429" customWidth="1"/>
    <col min="9481" max="9481" width="14.7109375" style="429" customWidth="1"/>
    <col min="9482" max="9482" width="19.7109375" style="429" customWidth="1"/>
    <col min="9483" max="9728" width="11.5703125" style="429"/>
    <col min="9729" max="9729" width="3.7109375" style="429" customWidth="1"/>
    <col min="9730" max="9730" width="10.7109375" style="429" customWidth="1"/>
    <col min="9731" max="9731" width="15.5703125" style="429" customWidth="1"/>
    <col min="9732" max="9732" width="4.42578125" style="429" customWidth="1"/>
    <col min="9733" max="9735" width="9.28515625" style="429" customWidth="1"/>
    <col min="9736" max="9736" width="19.7109375" style="429" customWidth="1"/>
    <col min="9737" max="9737" width="14.7109375" style="429" customWidth="1"/>
    <col min="9738" max="9738" width="19.7109375" style="429" customWidth="1"/>
    <col min="9739" max="9984" width="11.5703125" style="429"/>
    <col min="9985" max="9985" width="3.7109375" style="429" customWidth="1"/>
    <col min="9986" max="9986" width="10.7109375" style="429" customWidth="1"/>
    <col min="9987" max="9987" width="15.5703125" style="429" customWidth="1"/>
    <col min="9988" max="9988" width="4.42578125" style="429" customWidth="1"/>
    <col min="9989" max="9991" width="9.28515625" style="429" customWidth="1"/>
    <col min="9992" max="9992" width="19.7109375" style="429" customWidth="1"/>
    <col min="9993" max="9993" width="14.7109375" style="429" customWidth="1"/>
    <col min="9994" max="9994" width="19.7109375" style="429" customWidth="1"/>
    <col min="9995" max="10240" width="11.5703125" style="429"/>
    <col min="10241" max="10241" width="3.7109375" style="429" customWidth="1"/>
    <col min="10242" max="10242" width="10.7109375" style="429" customWidth="1"/>
    <col min="10243" max="10243" width="15.5703125" style="429" customWidth="1"/>
    <col min="10244" max="10244" width="4.42578125" style="429" customWidth="1"/>
    <col min="10245" max="10247" width="9.28515625" style="429" customWidth="1"/>
    <col min="10248" max="10248" width="19.7109375" style="429" customWidth="1"/>
    <col min="10249" max="10249" width="14.7109375" style="429" customWidth="1"/>
    <col min="10250" max="10250" width="19.7109375" style="429" customWidth="1"/>
    <col min="10251" max="10496" width="11.5703125" style="429"/>
    <col min="10497" max="10497" width="3.7109375" style="429" customWidth="1"/>
    <col min="10498" max="10498" width="10.7109375" style="429" customWidth="1"/>
    <col min="10499" max="10499" width="15.5703125" style="429" customWidth="1"/>
    <col min="10500" max="10500" width="4.42578125" style="429" customWidth="1"/>
    <col min="10501" max="10503" width="9.28515625" style="429" customWidth="1"/>
    <col min="10504" max="10504" width="19.7109375" style="429" customWidth="1"/>
    <col min="10505" max="10505" width="14.7109375" style="429" customWidth="1"/>
    <col min="10506" max="10506" width="19.7109375" style="429" customWidth="1"/>
    <col min="10507" max="10752" width="11.5703125" style="429"/>
    <col min="10753" max="10753" width="3.7109375" style="429" customWidth="1"/>
    <col min="10754" max="10754" width="10.7109375" style="429" customWidth="1"/>
    <col min="10755" max="10755" width="15.5703125" style="429" customWidth="1"/>
    <col min="10756" max="10756" width="4.42578125" style="429" customWidth="1"/>
    <col min="10757" max="10759" width="9.28515625" style="429" customWidth="1"/>
    <col min="10760" max="10760" width="19.7109375" style="429" customWidth="1"/>
    <col min="10761" max="10761" width="14.7109375" style="429" customWidth="1"/>
    <col min="10762" max="10762" width="19.7109375" style="429" customWidth="1"/>
    <col min="10763" max="11008" width="11.5703125" style="429"/>
    <col min="11009" max="11009" width="3.7109375" style="429" customWidth="1"/>
    <col min="11010" max="11010" width="10.7109375" style="429" customWidth="1"/>
    <col min="11011" max="11011" width="15.5703125" style="429" customWidth="1"/>
    <col min="11012" max="11012" width="4.42578125" style="429" customWidth="1"/>
    <col min="11013" max="11015" width="9.28515625" style="429" customWidth="1"/>
    <col min="11016" max="11016" width="19.7109375" style="429" customWidth="1"/>
    <col min="11017" max="11017" width="14.7109375" style="429" customWidth="1"/>
    <col min="11018" max="11018" width="19.7109375" style="429" customWidth="1"/>
    <col min="11019" max="11264" width="11.5703125" style="429"/>
    <col min="11265" max="11265" width="3.7109375" style="429" customWidth="1"/>
    <col min="11266" max="11266" width="10.7109375" style="429" customWidth="1"/>
    <col min="11267" max="11267" width="15.5703125" style="429" customWidth="1"/>
    <col min="11268" max="11268" width="4.42578125" style="429" customWidth="1"/>
    <col min="11269" max="11271" width="9.28515625" style="429" customWidth="1"/>
    <col min="11272" max="11272" width="19.7109375" style="429" customWidth="1"/>
    <col min="11273" max="11273" width="14.7109375" style="429" customWidth="1"/>
    <col min="11274" max="11274" width="19.7109375" style="429" customWidth="1"/>
    <col min="11275" max="11520" width="11.5703125" style="429"/>
    <col min="11521" max="11521" width="3.7109375" style="429" customWidth="1"/>
    <col min="11522" max="11522" width="10.7109375" style="429" customWidth="1"/>
    <col min="11523" max="11523" width="15.5703125" style="429" customWidth="1"/>
    <col min="11524" max="11524" width="4.42578125" style="429" customWidth="1"/>
    <col min="11525" max="11527" width="9.28515625" style="429" customWidth="1"/>
    <col min="11528" max="11528" width="19.7109375" style="429" customWidth="1"/>
    <col min="11529" max="11529" width="14.7109375" style="429" customWidth="1"/>
    <col min="11530" max="11530" width="19.7109375" style="429" customWidth="1"/>
    <col min="11531" max="11776" width="11.5703125" style="429"/>
    <col min="11777" max="11777" width="3.7109375" style="429" customWidth="1"/>
    <col min="11778" max="11778" width="10.7109375" style="429" customWidth="1"/>
    <col min="11779" max="11779" width="15.5703125" style="429" customWidth="1"/>
    <col min="11780" max="11780" width="4.42578125" style="429" customWidth="1"/>
    <col min="11781" max="11783" width="9.28515625" style="429" customWidth="1"/>
    <col min="11784" max="11784" width="19.7109375" style="429" customWidth="1"/>
    <col min="11785" max="11785" width="14.7109375" style="429" customWidth="1"/>
    <col min="11786" max="11786" width="19.7109375" style="429" customWidth="1"/>
    <col min="11787" max="12032" width="11.5703125" style="429"/>
    <col min="12033" max="12033" width="3.7109375" style="429" customWidth="1"/>
    <col min="12034" max="12034" width="10.7109375" style="429" customWidth="1"/>
    <col min="12035" max="12035" width="15.5703125" style="429" customWidth="1"/>
    <col min="12036" max="12036" width="4.42578125" style="429" customWidth="1"/>
    <col min="12037" max="12039" width="9.28515625" style="429" customWidth="1"/>
    <col min="12040" max="12040" width="19.7109375" style="429" customWidth="1"/>
    <col min="12041" max="12041" width="14.7109375" style="429" customWidth="1"/>
    <col min="12042" max="12042" width="19.7109375" style="429" customWidth="1"/>
    <col min="12043" max="12288" width="11.5703125" style="429"/>
    <col min="12289" max="12289" width="3.7109375" style="429" customWidth="1"/>
    <col min="12290" max="12290" width="10.7109375" style="429" customWidth="1"/>
    <col min="12291" max="12291" width="15.5703125" style="429" customWidth="1"/>
    <col min="12292" max="12292" width="4.42578125" style="429" customWidth="1"/>
    <col min="12293" max="12295" width="9.28515625" style="429" customWidth="1"/>
    <col min="12296" max="12296" width="19.7109375" style="429" customWidth="1"/>
    <col min="12297" max="12297" width="14.7109375" style="429" customWidth="1"/>
    <col min="12298" max="12298" width="19.7109375" style="429" customWidth="1"/>
    <col min="12299" max="12544" width="11.5703125" style="429"/>
    <col min="12545" max="12545" width="3.7109375" style="429" customWidth="1"/>
    <col min="12546" max="12546" width="10.7109375" style="429" customWidth="1"/>
    <col min="12547" max="12547" width="15.5703125" style="429" customWidth="1"/>
    <col min="12548" max="12548" width="4.42578125" style="429" customWidth="1"/>
    <col min="12549" max="12551" width="9.28515625" style="429" customWidth="1"/>
    <col min="12552" max="12552" width="19.7109375" style="429" customWidth="1"/>
    <col min="12553" max="12553" width="14.7109375" style="429" customWidth="1"/>
    <col min="12554" max="12554" width="19.7109375" style="429" customWidth="1"/>
    <col min="12555" max="12800" width="11.5703125" style="429"/>
    <col min="12801" max="12801" width="3.7109375" style="429" customWidth="1"/>
    <col min="12802" max="12802" width="10.7109375" style="429" customWidth="1"/>
    <col min="12803" max="12803" width="15.5703125" style="429" customWidth="1"/>
    <col min="12804" max="12804" width="4.42578125" style="429" customWidth="1"/>
    <col min="12805" max="12807" width="9.28515625" style="429" customWidth="1"/>
    <col min="12808" max="12808" width="19.7109375" style="429" customWidth="1"/>
    <col min="12809" max="12809" width="14.7109375" style="429" customWidth="1"/>
    <col min="12810" max="12810" width="19.7109375" style="429" customWidth="1"/>
    <col min="12811" max="13056" width="11.5703125" style="429"/>
    <col min="13057" max="13057" width="3.7109375" style="429" customWidth="1"/>
    <col min="13058" max="13058" width="10.7109375" style="429" customWidth="1"/>
    <col min="13059" max="13059" width="15.5703125" style="429" customWidth="1"/>
    <col min="13060" max="13060" width="4.42578125" style="429" customWidth="1"/>
    <col min="13061" max="13063" width="9.28515625" style="429" customWidth="1"/>
    <col min="13064" max="13064" width="19.7109375" style="429" customWidth="1"/>
    <col min="13065" max="13065" width="14.7109375" style="429" customWidth="1"/>
    <col min="13066" max="13066" width="19.7109375" style="429" customWidth="1"/>
    <col min="13067" max="13312" width="11.5703125" style="429"/>
    <col min="13313" max="13313" width="3.7109375" style="429" customWidth="1"/>
    <col min="13314" max="13314" width="10.7109375" style="429" customWidth="1"/>
    <col min="13315" max="13315" width="15.5703125" style="429" customWidth="1"/>
    <col min="13316" max="13316" width="4.42578125" style="429" customWidth="1"/>
    <col min="13317" max="13319" width="9.28515625" style="429" customWidth="1"/>
    <col min="13320" max="13320" width="19.7109375" style="429" customWidth="1"/>
    <col min="13321" max="13321" width="14.7109375" style="429" customWidth="1"/>
    <col min="13322" max="13322" width="19.7109375" style="429" customWidth="1"/>
    <col min="13323" max="13568" width="11.5703125" style="429"/>
    <col min="13569" max="13569" width="3.7109375" style="429" customWidth="1"/>
    <col min="13570" max="13570" width="10.7109375" style="429" customWidth="1"/>
    <col min="13571" max="13571" width="15.5703125" style="429" customWidth="1"/>
    <col min="13572" max="13572" width="4.42578125" style="429" customWidth="1"/>
    <col min="13573" max="13575" width="9.28515625" style="429" customWidth="1"/>
    <col min="13576" max="13576" width="19.7109375" style="429" customWidth="1"/>
    <col min="13577" max="13577" width="14.7109375" style="429" customWidth="1"/>
    <col min="13578" max="13578" width="19.7109375" style="429" customWidth="1"/>
    <col min="13579" max="13824" width="11.5703125" style="429"/>
    <col min="13825" max="13825" width="3.7109375" style="429" customWidth="1"/>
    <col min="13826" max="13826" width="10.7109375" style="429" customWidth="1"/>
    <col min="13827" max="13827" width="15.5703125" style="429" customWidth="1"/>
    <col min="13828" max="13828" width="4.42578125" style="429" customWidth="1"/>
    <col min="13829" max="13831" width="9.28515625" style="429" customWidth="1"/>
    <col min="13832" max="13832" width="19.7109375" style="429" customWidth="1"/>
    <col min="13833" max="13833" width="14.7109375" style="429" customWidth="1"/>
    <col min="13834" max="13834" width="19.7109375" style="429" customWidth="1"/>
    <col min="13835" max="14080" width="11.5703125" style="429"/>
    <col min="14081" max="14081" width="3.7109375" style="429" customWidth="1"/>
    <col min="14082" max="14082" width="10.7109375" style="429" customWidth="1"/>
    <col min="14083" max="14083" width="15.5703125" style="429" customWidth="1"/>
    <col min="14084" max="14084" width="4.42578125" style="429" customWidth="1"/>
    <col min="14085" max="14087" width="9.28515625" style="429" customWidth="1"/>
    <col min="14088" max="14088" width="19.7109375" style="429" customWidth="1"/>
    <col min="14089" max="14089" width="14.7109375" style="429" customWidth="1"/>
    <col min="14090" max="14090" width="19.7109375" style="429" customWidth="1"/>
    <col min="14091" max="14336" width="11.5703125" style="429"/>
    <col min="14337" max="14337" width="3.7109375" style="429" customWidth="1"/>
    <col min="14338" max="14338" width="10.7109375" style="429" customWidth="1"/>
    <col min="14339" max="14339" width="15.5703125" style="429" customWidth="1"/>
    <col min="14340" max="14340" width="4.42578125" style="429" customWidth="1"/>
    <col min="14341" max="14343" width="9.28515625" style="429" customWidth="1"/>
    <col min="14344" max="14344" width="19.7109375" style="429" customWidth="1"/>
    <col min="14345" max="14345" width="14.7109375" style="429" customWidth="1"/>
    <col min="14346" max="14346" width="19.7109375" style="429" customWidth="1"/>
    <col min="14347" max="14592" width="11.5703125" style="429"/>
    <col min="14593" max="14593" width="3.7109375" style="429" customWidth="1"/>
    <col min="14594" max="14594" width="10.7109375" style="429" customWidth="1"/>
    <col min="14595" max="14595" width="15.5703125" style="429" customWidth="1"/>
    <col min="14596" max="14596" width="4.42578125" style="429" customWidth="1"/>
    <col min="14597" max="14599" width="9.28515625" style="429" customWidth="1"/>
    <col min="14600" max="14600" width="19.7109375" style="429" customWidth="1"/>
    <col min="14601" max="14601" width="14.7109375" style="429" customWidth="1"/>
    <col min="14602" max="14602" width="19.7109375" style="429" customWidth="1"/>
    <col min="14603" max="14848" width="11.5703125" style="429"/>
    <col min="14849" max="14849" width="3.7109375" style="429" customWidth="1"/>
    <col min="14850" max="14850" width="10.7109375" style="429" customWidth="1"/>
    <col min="14851" max="14851" width="15.5703125" style="429" customWidth="1"/>
    <col min="14852" max="14852" width="4.42578125" style="429" customWidth="1"/>
    <col min="14853" max="14855" width="9.28515625" style="429" customWidth="1"/>
    <col min="14856" max="14856" width="19.7109375" style="429" customWidth="1"/>
    <col min="14857" max="14857" width="14.7109375" style="429" customWidth="1"/>
    <col min="14858" max="14858" width="19.7109375" style="429" customWidth="1"/>
    <col min="14859" max="15104" width="11.5703125" style="429"/>
    <col min="15105" max="15105" width="3.7109375" style="429" customWidth="1"/>
    <col min="15106" max="15106" width="10.7109375" style="429" customWidth="1"/>
    <col min="15107" max="15107" width="15.5703125" style="429" customWidth="1"/>
    <col min="15108" max="15108" width="4.42578125" style="429" customWidth="1"/>
    <col min="15109" max="15111" width="9.28515625" style="429" customWidth="1"/>
    <col min="15112" max="15112" width="19.7109375" style="429" customWidth="1"/>
    <col min="15113" max="15113" width="14.7109375" style="429" customWidth="1"/>
    <col min="15114" max="15114" width="19.7109375" style="429" customWidth="1"/>
    <col min="15115" max="15360" width="11.5703125" style="429"/>
    <col min="15361" max="15361" width="3.7109375" style="429" customWidth="1"/>
    <col min="15362" max="15362" width="10.7109375" style="429" customWidth="1"/>
    <col min="15363" max="15363" width="15.5703125" style="429" customWidth="1"/>
    <col min="15364" max="15364" width="4.42578125" style="429" customWidth="1"/>
    <col min="15365" max="15367" width="9.28515625" style="429" customWidth="1"/>
    <col min="15368" max="15368" width="19.7109375" style="429" customWidth="1"/>
    <col min="15369" max="15369" width="14.7109375" style="429" customWidth="1"/>
    <col min="15370" max="15370" width="19.7109375" style="429" customWidth="1"/>
    <col min="15371" max="15616" width="11.5703125" style="429"/>
    <col min="15617" max="15617" width="3.7109375" style="429" customWidth="1"/>
    <col min="15618" max="15618" width="10.7109375" style="429" customWidth="1"/>
    <col min="15619" max="15619" width="15.5703125" style="429" customWidth="1"/>
    <col min="15620" max="15620" width="4.42578125" style="429" customWidth="1"/>
    <col min="15621" max="15623" width="9.28515625" style="429" customWidth="1"/>
    <col min="15624" max="15624" width="19.7109375" style="429" customWidth="1"/>
    <col min="15625" max="15625" width="14.7109375" style="429" customWidth="1"/>
    <col min="15626" max="15626" width="19.7109375" style="429" customWidth="1"/>
    <col min="15627" max="15872" width="11.5703125" style="429"/>
    <col min="15873" max="15873" width="3.7109375" style="429" customWidth="1"/>
    <col min="15874" max="15874" width="10.7109375" style="429" customWidth="1"/>
    <col min="15875" max="15875" width="15.5703125" style="429" customWidth="1"/>
    <col min="15876" max="15876" width="4.42578125" style="429" customWidth="1"/>
    <col min="15877" max="15879" width="9.28515625" style="429" customWidth="1"/>
    <col min="15880" max="15880" width="19.7109375" style="429" customWidth="1"/>
    <col min="15881" max="15881" width="14.7109375" style="429" customWidth="1"/>
    <col min="15882" max="15882" width="19.7109375" style="429" customWidth="1"/>
    <col min="15883" max="16128" width="11.5703125" style="429"/>
    <col min="16129" max="16129" width="3.7109375" style="429" customWidth="1"/>
    <col min="16130" max="16130" width="10.7109375" style="429" customWidth="1"/>
    <col min="16131" max="16131" width="15.5703125" style="429" customWidth="1"/>
    <col min="16132" max="16132" width="4.42578125" style="429" customWidth="1"/>
    <col min="16133" max="16135" width="9.28515625" style="429" customWidth="1"/>
    <col min="16136" max="16136" width="19.7109375" style="429" customWidth="1"/>
    <col min="16137" max="16137" width="14.7109375" style="429" customWidth="1"/>
    <col min="16138" max="16138" width="19.7109375" style="429" customWidth="1"/>
    <col min="16139" max="16384" width="11.5703125" style="429"/>
  </cols>
  <sheetData>
    <row r="1" spans="1:10" ht="25.5" customHeight="1" x14ac:dyDescent="0.2">
      <c r="A1" s="719" t="s">
        <v>569</v>
      </c>
      <c r="B1" s="719"/>
      <c r="C1" s="719"/>
      <c r="D1" s="720" t="s">
        <v>575</v>
      </c>
      <c r="E1" s="720"/>
      <c r="F1" s="720"/>
      <c r="G1" s="720"/>
      <c r="H1" s="720"/>
      <c r="I1" s="720"/>
    </row>
    <row r="2" spans="1:10" x14ac:dyDescent="0.2">
      <c r="A2" s="430"/>
      <c r="B2" s="430"/>
      <c r="C2" s="430"/>
      <c r="D2" s="431"/>
      <c r="E2" s="431"/>
      <c r="F2" s="431"/>
      <c r="G2" s="431"/>
      <c r="H2" s="431"/>
      <c r="I2" s="431"/>
    </row>
    <row r="3" spans="1:10" x14ac:dyDescent="0.2">
      <c r="A3" s="721" t="s">
        <v>576</v>
      </c>
      <c r="B3" s="721"/>
      <c r="C3" s="721"/>
      <c r="D3" s="721"/>
      <c r="E3" s="721"/>
      <c r="F3" s="721"/>
      <c r="G3" s="721"/>
      <c r="H3" s="721"/>
      <c r="I3" s="721"/>
    </row>
    <row r="4" spans="1:10" x14ac:dyDescent="0.2">
      <c r="A4" s="722" t="s">
        <v>553</v>
      </c>
      <c r="B4" s="722"/>
      <c r="C4" s="722"/>
      <c r="D4" s="722"/>
      <c r="E4" s="722"/>
      <c r="F4" s="722"/>
      <c r="G4" s="722"/>
      <c r="H4" s="722"/>
      <c r="I4" s="722"/>
    </row>
    <row r="5" spans="1:10" x14ac:dyDescent="0.2">
      <c r="A5" s="432"/>
      <c r="B5" s="432"/>
      <c r="C5" s="432"/>
      <c r="D5" s="432"/>
      <c r="E5" s="432"/>
      <c r="F5" s="432"/>
      <c r="G5" s="432"/>
      <c r="H5" s="432"/>
      <c r="I5" s="432"/>
    </row>
    <row r="6" spans="1:10" ht="66" customHeight="1" x14ac:dyDescent="0.2">
      <c r="A6" s="723" t="s">
        <v>233</v>
      </c>
      <c r="B6" s="723"/>
      <c r="C6" s="693" t="s">
        <v>583</v>
      </c>
      <c r="D6" s="693"/>
      <c r="E6" s="693"/>
      <c r="F6" s="693"/>
      <c r="G6" s="693"/>
      <c r="H6" s="693"/>
      <c r="I6" s="693"/>
    </row>
    <row r="7" spans="1:10" ht="12.75" customHeight="1" x14ac:dyDescent="0.2">
      <c r="C7" s="42"/>
      <c r="J7" s="433"/>
    </row>
    <row r="8" spans="1:10" ht="12.75" customHeight="1" x14ac:dyDescent="0.2">
      <c r="A8" s="724" t="s">
        <v>234</v>
      </c>
      <c r="B8" s="724"/>
      <c r="C8" s="724"/>
      <c r="D8" s="693"/>
      <c r="E8" s="693"/>
      <c r="F8" s="693"/>
      <c r="G8" s="693"/>
      <c r="H8" s="693"/>
      <c r="I8" s="693"/>
      <c r="J8" s="435"/>
    </row>
    <row r="9" spans="1:10" ht="12.75" customHeight="1" x14ac:dyDescent="0.2">
      <c r="J9" s="433"/>
    </row>
    <row r="10" spans="1:10" ht="12.75" customHeight="1" x14ac:dyDescent="0.2">
      <c r="A10" s="724" t="s">
        <v>554</v>
      </c>
      <c r="B10" s="724"/>
      <c r="C10" s="724"/>
      <c r="D10" s="693"/>
      <c r="E10" s="693"/>
      <c r="F10" s="693"/>
      <c r="G10" s="693"/>
      <c r="H10" s="693"/>
      <c r="I10" s="693"/>
      <c r="J10" s="435"/>
    </row>
    <row r="11" spans="1:10" ht="12.75" customHeight="1" x14ac:dyDescent="0.2">
      <c r="A11" s="435"/>
      <c r="B11" s="435"/>
      <c r="C11" s="435"/>
      <c r="D11" s="435"/>
      <c r="E11" s="435"/>
      <c r="J11" s="433"/>
    </row>
    <row r="12" spans="1:10" ht="12.75" customHeight="1" x14ac:dyDescent="0.2">
      <c r="A12" s="724" t="s">
        <v>555</v>
      </c>
      <c r="B12" s="724"/>
      <c r="C12" s="724"/>
      <c r="D12" s="724"/>
      <c r="E12" s="724"/>
      <c r="F12" s="724"/>
      <c r="G12" s="724"/>
      <c r="H12" s="724"/>
      <c r="I12" s="724"/>
      <c r="J12" s="452"/>
    </row>
    <row r="13" spans="1:10" ht="12.75" customHeight="1" x14ac:dyDescent="0.2">
      <c r="A13" s="435"/>
      <c r="B13" s="453"/>
      <c r="C13" s="453"/>
      <c r="D13" s="453"/>
      <c r="E13" s="453"/>
      <c r="J13" s="433"/>
    </row>
    <row r="14" spans="1:10" ht="100.5" customHeight="1" x14ac:dyDescent="0.2">
      <c r="A14" s="436" t="s">
        <v>9</v>
      </c>
      <c r="B14" s="716" t="s">
        <v>556</v>
      </c>
      <c r="C14" s="717"/>
      <c r="D14" s="716" t="s">
        <v>557</v>
      </c>
      <c r="E14" s="718"/>
      <c r="F14" s="718"/>
      <c r="G14" s="717"/>
      <c r="H14" s="436" t="s">
        <v>39</v>
      </c>
      <c r="I14" s="436" t="s">
        <v>558</v>
      </c>
    </row>
    <row r="15" spans="1:10" x14ac:dyDescent="0.2">
      <c r="A15" s="437" t="s">
        <v>4</v>
      </c>
      <c r="B15" s="705">
        <v>2</v>
      </c>
      <c r="C15" s="706"/>
      <c r="D15" s="705">
        <v>3</v>
      </c>
      <c r="E15" s="707"/>
      <c r="F15" s="707"/>
      <c r="G15" s="706"/>
      <c r="H15" s="438">
        <v>4</v>
      </c>
      <c r="I15" s="438">
        <v>5</v>
      </c>
    </row>
    <row r="16" spans="1:10" ht="409.5" customHeight="1" x14ac:dyDescent="0.2">
      <c r="A16" s="439" t="s">
        <v>4</v>
      </c>
      <c r="B16" s="708" t="s">
        <v>584</v>
      </c>
      <c r="C16" s="709"/>
      <c r="D16" s="710" t="s">
        <v>643</v>
      </c>
      <c r="E16" s="711"/>
      <c r="F16" s="711"/>
      <c r="G16" s="712"/>
      <c r="H16" s="440" t="s">
        <v>642</v>
      </c>
      <c r="I16" s="560">
        <f>ROUND(((116.0172505  * 3.58 / 100 * 1.37) * 1000) * 1000,2)</f>
        <v>5690182.0700000003</v>
      </c>
    </row>
    <row r="17" spans="1:9" ht="378" customHeight="1" x14ac:dyDescent="0.2">
      <c r="A17" s="473"/>
      <c r="B17" s="474"/>
      <c r="C17" s="475"/>
      <c r="D17" s="694" t="s">
        <v>644</v>
      </c>
      <c r="E17" s="696"/>
      <c r="F17" s="696"/>
      <c r="G17" s="695"/>
      <c r="H17" s="476"/>
      <c r="I17" s="477"/>
    </row>
    <row r="18" spans="1:9" ht="15.75" customHeight="1" x14ac:dyDescent="0.2">
      <c r="A18" s="441" t="s">
        <v>14</v>
      </c>
      <c r="B18" s="713" t="s">
        <v>45</v>
      </c>
      <c r="C18" s="714"/>
      <c r="D18" s="713"/>
      <c r="E18" s="715"/>
      <c r="F18" s="715"/>
      <c r="G18" s="714"/>
      <c r="H18" s="442"/>
      <c r="I18" s="443"/>
    </row>
    <row r="19" spans="1:9" ht="41.25" customHeight="1" x14ac:dyDescent="0.2">
      <c r="A19" s="444" t="s">
        <v>14</v>
      </c>
      <c r="B19" s="694" t="s">
        <v>566</v>
      </c>
      <c r="C19" s="695"/>
      <c r="D19" s="694" t="s">
        <v>567</v>
      </c>
      <c r="E19" s="696"/>
      <c r="F19" s="696"/>
      <c r="G19" s="695"/>
      <c r="H19" s="445"/>
      <c r="I19" s="446"/>
    </row>
    <row r="20" spans="1:9" ht="15.75" customHeight="1" x14ac:dyDescent="0.2">
      <c r="A20" s="444" t="s">
        <v>14</v>
      </c>
      <c r="B20" s="697" t="s">
        <v>577</v>
      </c>
      <c r="C20" s="698"/>
      <c r="D20" s="697"/>
      <c r="E20" s="699"/>
      <c r="F20" s="699"/>
      <c r="G20" s="698"/>
      <c r="H20" s="456"/>
      <c r="I20" s="457"/>
    </row>
    <row r="21" spans="1:9" ht="12.75" customHeight="1" x14ac:dyDescent="0.2">
      <c r="A21" s="447" t="s">
        <v>14</v>
      </c>
      <c r="B21" s="700" t="s">
        <v>578</v>
      </c>
      <c r="C21" s="701"/>
      <c r="D21" s="702">
        <v>1</v>
      </c>
      <c r="E21" s="703"/>
      <c r="F21" s="703"/>
      <c r="G21" s="704"/>
      <c r="H21" s="454"/>
      <c r="I21" s="455"/>
    </row>
    <row r="22" spans="1:9" ht="12.75" customHeight="1" x14ac:dyDescent="0.2">
      <c r="A22" s="447" t="s">
        <v>5</v>
      </c>
      <c r="B22" s="684" t="s">
        <v>76</v>
      </c>
      <c r="C22" s="685"/>
      <c r="D22" s="684"/>
      <c r="E22" s="686"/>
      <c r="F22" s="686"/>
      <c r="G22" s="685"/>
      <c r="H22" s="448"/>
      <c r="I22" s="561">
        <f>ROUND(($I$16),2)</f>
        <v>5690182.0700000003</v>
      </c>
    </row>
    <row r="23" spans="1:9" ht="149.25" customHeight="1" x14ac:dyDescent="0.2">
      <c r="A23" s="449" t="s">
        <v>6</v>
      </c>
      <c r="B23" s="687" t="s">
        <v>568</v>
      </c>
      <c r="C23" s="688"/>
      <c r="D23" s="687" t="s">
        <v>579</v>
      </c>
      <c r="E23" s="689"/>
      <c r="F23" s="689"/>
      <c r="G23" s="688"/>
      <c r="H23" s="471" t="s">
        <v>580</v>
      </c>
      <c r="I23" s="562">
        <f>ROUND(($I$22) * 1.4 * 1,2)</f>
        <v>7966254.9000000004</v>
      </c>
    </row>
    <row r="24" spans="1:9" ht="12.75" customHeight="1" x14ac:dyDescent="0.2">
      <c r="A24" s="449" t="s">
        <v>10</v>
      </c>
      <c r="B24" s="690" t="s">
        <v>80</v>
      </c>
      <c r="C24" s="691"/>
      <c r="D24" s="690"/>
      <c r="E24" s="692"/>
      <c r="F24" s="692"/>
      <c r="G24" s="691"/>
      <c r="H24" s="450"/>
      <c r="I24" s="563">
        <f>ROUND(($I$23),0)</f>
        <v>7966255</v>
      </c>
    </row>
    <row r="25" spans="1:9" ht="12.75" customHeight="1" x14ac:dyDescent="0.2">
      <c r="A25" s="472"/>
      <c r="B25" s="470"/>
      <c r="C25" s="470"/>
      <c r="D25" s="470"/>
      <c r="E25" s="470"/>
      <c r="F25" s="470"/>
      <c r="G25" s="470"/>
      <c r="H25" s="470" t="s">
        <v>581</v>
      </c>
      <c r="I25" s="564">
        <f>I24*0.4</f>
        <v>3186502</v>
      </c>
    </row>
    <row r="26" spans="1:9" ht="12.75" customHeight="1" x14ac:dyDescent="0.2">
      <c r="H26" s="470" t="s">
        <v>582</v>
      </c>
      <c r="I26" s="564">
        <f>I24*0.6</f>
        <v>4779753</v>
      </c>
    </row>
    <row r="27" spans="1:9" s="451" customFormat="1" ht="30" customHeight="1" x14ac:dyDescent="0.2">
      <c r="A27" s="693"/>
      <c r="B27" s="693"/>
      <c r="C27" s="693"/>
      <c r="D27" s="693"/>
      <c r="E27" s="693"/>
      <c r="F27" s="693"/>
      <c r="G27" s="693"/>
      <c r="H27" s="693"/>
      <c r="I27" s="693"/>
    </row>
    <row r="28" spans="1:9" ht="12.75" customHeight="1" x14ac:dyDescent="0.2">
      <c r="D28" s="434"/>
    </row>
    <row r="29" spans="1:9" x14ac:dyDescent="0.2">
      <c r="A29" s="681" t="s">
        <v>559</v>
      </c>
      <c r="B29" s="681"/>
      <c r="C29" s="681"/>
      <c r="D29" s="681"/>
      <c r="E29" s="681"/>
      <c r="F29" s="681"/>
      <c r="G29" s="681"/>
      <c r="H29" s="681"/>
      <c r="I29" s="681"/>
    </row>
    <row r="30" spans="1:9" x14ac:dyDescent="0.2">
      <c r="A30" s="681"/>
      <c r="B30" s="681"/>
      <c r="C30" s="681"/>
      <c r="D30" s="681"/>
      <c r="E30" s="681"/>
      <c r="F30" s="681"/>
      <c r="G30" s="681"/>
      <c r="H30" s="681"/>
      <c r="I30" s="681"/>
    </row>
    <row r="31" spans="1:9" x14ac:dyDescent="0.2">
      <c r="D31" s="682" t="s">
        <v>560</v>
      </c>
      <c r="E31" s="683"/>
      <c r="F31" s="683"/>
      <c r="G31" s="683"/>
      <c r="H31" s="683"/>
      <c r="I31" s="683"/>
    </row>
    <row r="33" spans="1:9" x14ac:dyDescent="0.2">
      <c r="A33" s="681" t="s">
        <v>561</v>
      </c>
      <c r="B33" s="681"/>
      <c r="C33" s="681"/>
      <c r="D33" s="681"/>
      <c r="E33" s="681"/>
      <c r="F33" s="681"/>
      <c r="G33" s="681"/>
      <c r="H33" s="681"/>
      <c r="I33" s="681"/>
    </row>
    <row r="34" spans="1:9" x14ac:dyDescent="0.2">
      <c r="A34" s="681"/>
      <c r="B34" s="681"/>
      <c r="C34" s="681"/>
      <c r="D34" s="681"/>
      <c r="E34" s="681"/>
      <c r="F34" s="681"/>
      <c r="G34" s="681"/>
      <c r="H34" s="681"/>
      <c r="I34" s="681"/>
    </row>
    <row r="35" spans="1:9" x14ac:dyDescent="0.2">
      <c r="D35" s="682" t="s">
        <v>560</v>
      </c>
      <c r="E35" s="683"/>
      <c r="F35" s="683"/>
      <c r="G35" s="683"/>
      <c r="H35" s="683"/>
      <c r="I35" s="683"/>
    </row>
    <row r="37" spans="1:9" x14ac:dyDescent="0.2">
      <c r="A37" s="681" t="s">
        <v>562</v>
      </c>
      <c r="B37" s="681"/>
      <c r="C37" s="681"/>
      <c r="D37" s="681"/>
      <c r="E37" s="681"/>
      <c r="F37" s="681"/>
      <c r="G37" s="433" t="s">
        <v>563</v>
      </c>
      <c r="H37" s="681"/>
      <c r="I37" s="681"/>
    </row>
    <row r="38" spans="1:9" x14ac:dyDescent="0.2">
      <c r="D38" s="682" t="s">
        <v>564</v>
      </c>
      <c r="E38" s="683"/>
      <c r="F38" s="683"/>
      <c r="H38" s="682" t="s">
        <v>560</v>
      </c>
      <c r="I38" s="683"/>
    </row>
    <row r="40" spans="1:9" x14ac:dyDescent="0.2">
      <c r="A40" s="681" t="s">
        <v>234</v>
      </c>
      <c r="B40" s="681"/>
      <c r="C40" s="681"/>
      <c r="D40" s="681"/>
      <c r="E40" s="681"/>
      <c r="F40" s="681"/>
      <c r="G40" s="681"/>
      <c r="H40" s="681"/>
      <c r="I40" s="681"/>
    </row>
    <row r="41" spans="1:9" x14ac:dyDescent="0.2">
      <c r="D41" s="682" t="s">
        <v>565</v>
      </c>
      <c r="E41" s="683"/>
      <c r="F41" s="683"/>
      <c r="G41" s="683"/>
      <c r="H41" s="683"/>
      <c r="I41" s="683"/>
    </row>
  </sheetData>
  <mergeCells count="48">
    <mergeCell ref="B14:C14"/>
    <mergeCell ref="D14:G14"/>
    <mergeCell ref="A1:C1"/>
    <mergeCell ref="D1:I1"/>
    <mergeCell ref="A3:I3"/>
    <mergeCell ref="A4:I4"/>
    <mergeCell ref="A6:B6"/>
    <mergeCell ref="C6:I6"/>
    <mergeCell ref="A8:C8"/>
    <mergeCell ref="D8:I8"/>
    <mergeCell ref="A10:C10"/>
    <mergeCell ref="D10:I10"/>
    <mergeCell ref="A12:I12"/>
    <mergeCell ref="B15:C15"/>
    <mergeCell ref="D15:G15"/>
    <mergeCell ref="B16:C16"/>
    <mergeCell ref="D16:G16"/>
    <mergeCell ref="B18:C18"/>
    <mergeCell ref="D18:G18"/>
    <mergeCell ref="D17:G17"/>
    <mergeCell ref="B19:C19"/>
    <mergeCell ref="D19:G19"/>
    <mergeCell ref="B20:C20"/>
    <mergeCell ref="D20:G20"/>
    <mergeCell ref="B21:C21"/>
    <mergeCell ref="D21:G21"/>
    <mergeCell ref="A33:C34"/>
    <mergeCell ref="D33:I34"/>
    <mergeCell ref="B22:C22"/>
    <mergeCell ref="D22:G22"/>
    <mergeCell ref="B23:C23"/>
    <mergeCell ref="D23:G23"/>
    <mergeCell ref="B24:C24"/>
    <mergeCell ref="D24:G24"/>
    <mergeCell ref="A27:C27"/>
    <mergeCell ref="D27:I27"/>
    <mergeCell ref="A29:C30"/>
    <mergeCell ref="D29:I30"/>
    <mergeCell ref="D31:I31"/>
    <mergeCell ref="A40:C40"/>
    <mergeCell ref="D40:I40"/>
    <mergeCell ref="D41:I41"/>
    <mergeCell ref="D35:I35"/>
    <mergeCell ref="A37:C37"/>
    <mergeCell ref="D37:F37"/>
    <mergeCell ref="H37:I37"/>
    <mergeCell ref="D38:F38"/>
    <mergeCell ref="H38:I38"/>
  </mergeCells>
  <pageMargins left="0.39370078740157477" right="0.39370078740157477" top="0.74803149606299213" bottom="0.74803149606299213" header="0.31496062992125984" footer="0.31496062992125984"/>
  <pageSetup paperSize="9" orientation="portrait" useFirstPageNumber="1" horizontalDpi="300" verticalDpi="300" r:id="rId1"/>
  <headerFooter alignWithMargins="0">
    <oddFooter>&amp;CСтраница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249977111117893"/>
  </sheetPr>
  <dimension ref="A1:H109"/>
  <sheetViews>
    <sheetView view="pageBreakPreview" zoomScaleNormal="100" zoomScaleSheetLayoutView="100" workbookViewId="0">
      <selection activeCell="D1" sqref="D1:D1048576"/>
    </sheetView>
  </sheetViews>
  <sheetFormatPr defaultColWidth="8.85546875" defaultRowHeight="15" x14ac:dyDescent="0.25"/>
  <cols>
    <col min="1" max="1" width="90.5703125" style="487" customWidth="1"/>
    <col min="2" max="6" width="12.7109375" style="487" customWidth="1"/>
    <col min="7" max="16384" width="8.85546875" style="487"/>
  </cols>
  <sheetData>
    <row r="1" spans="1:8" s="480" customFormat="1" ht="21.75" customHeight="1" x14ac:dyDescent="0.3">
      <c r="A1" s="478" t="s">
        <v>585</v>
      </c>
      <c r="B1" s="479"/>
      <c r="C1" s="479"/>
      <c r="D1" s="479"/>
      <c r="E1" s="479"/>
      <c r="F1" s="479"/>
      <c r="G1" s="479"/>
      <c r="H1" s="479"/>
    </row>
    <row r="2" spans="1:8" s="480" customFormat="1" ht="21.75" customHeight="1" x14ac:dyDescent="0.2">
      <c r="A2" s="481" t="s">
        <v>586</v>
      </c>
      <c r="B2" s="482"/>
      <c r="C2" s="482"/>
      <c r="D2" s="482"/>
      <c r="E2" s="482"/>
      <c r="F2" s="482"/>
      <c r="G2" s="482"/>
      <c r="H2" s="482"/>
    </row>
    <row r="3" spans="1:8" s="483" customFormat="1" ht="63.75" customHeight="1" thickBot="1" x14ac:dyDescent="0.25">
      <c r="A3" s="725" t="s">
        <v>587</v>
      </c>
      <c r="B3" s="725"/>
      <c r="C3" s="725"/>
      <c r="D3" s="725"/>
      <c r="E3" s="725"/>
      <c r="F3" s="725"/>
    </row>
    <row r="4" spans="1:8" ht="15" customHeight="1" x14ac:dyDescent="0.25">
      <c r="A4" s="484"/>
      <c r="B4" s="485">
        <v>2022</v>
      </c>
      <c r="C4" s="485">
        <v>2023</v>
      </c>
      <c r="D4" s="485">
        <v>2024</v>
      </c>
      <c r="E4" s="485">
        <v>2025</v>
      </c>
      <c r="F4" s="486">
        <v>2026</v>
      </c>
    </row>
    <row r="5" spans="1:8" ht="22.5" customHeight="1" thickBot="1" x14ac:dyDescent="0.3">
      <c r="A5" s="488"/>
      <c r="B5" s="489" t="s">
        <v>588</v>
      </c>
      <c r="C5" s="489" t="s">
        <v>589</v>
      </c>
      <c r="D5" s="726" t="s">
        <v>590</v>
      </c>
      <c r="E5" s="726"/>
      <c r="F5" s="727"/>
    </row>
    <row r="6" spans="1:8" ht="15.75" customHeight="1" x14ac:dyDescent="0.25">
      <c r="A6" s="490" t="s">
        <v>591</v>
      </c>
      <c r="B6" s="491"/>
      <c r="C6" s="491"/>
      <c r="D6" s="492"/>
      <c r="E6" s="492"/>
      <c r="F6" s="493"/>
    </row>
    <row r="7" spans="1:8" ht="20.100000000000001" customHeight="1" x14ac:dyDescent="0.25">
      <c r="A7" s="494" t="s">
        <v>592</v>
      </c>
      <c r="B7" s="495">
        <v>107.43</v>
      </c>
      <c r="C7" s="495">
        <v>102.58</v>
      </c>
      <c r="D7" s="496">
        <v>108.77</v>
      </c>
      <c r="E7" s="496">
        <v>102.91</v>
      </c>
      <c r="F7" s="497">
        <v>102.84</v>
      </c>
    </row>
    <row r="8" spans="1:8" ht="20.100000000000001" customHeight="1" x14ac:dyDescent="0.25">
      <c r="A8" s="498" t="s">
        <v>593</v>
      </c>
      <c r="B8" s="499">
        <v>111.38</v>
      </c>
      <c r="C8" s="499">
        <v>102.41</v>
      </c>
      <c r="D8" s="500">
        <v>108.55</v>
      </c>
      <c r="E8" s="500">
        <v>103.78</v>
      </c>
      <c r="F8" s="501">
        <v>103.28</v>
      </c>
    </row>
    <row r="9" spans="1:8" ht="20.100000000000001" customHeight="1" x14ac:dyDescent="0.25">
      <c r="A9" s="502" t="s">
        <v>594</v>
      </c>
      <c r="B9" s="495">
        <v>108.57</v>
      </c>
      <c r="C9" s="499">
        <v>102.68</v>
      </c>
      <c r="D9" s="500">
        <v>106.43</v>
      </c>
      <c r="E9" s="500">
        <v>104.37</v>
      </c>
      <c r="F9" s="501">
        <v>103.91</v>
      </c>
    </row>
    <row r="10" spans="1:8" ht="20.100000000000001" customHeight="1" x14ac:dyDescent="0.25">
      <c r="A10" s="503" t="s">
        <v>595</v>
      </c>
      <c r="B10" s="504"/>
      <c r="C10" s="504"/>
      <c r="D10" s="505"/>
      <c r="E10" s="505"/>
      <c r="F10" s="506"/>
    </row>
    <row r="11" spans="1:8" ht="20.100000000000001" customHeight="1" x14ac:dyDescent="0.25">
      <c r="A11" s="494" t="s">
        <v>592</v>
      </c>
      <c r="B11" s="495">
        <v>114.92</v>
      </c>
      <c r="C11" s="495">
        <v>98.89</v>
      </c>
      <c r="D11" s="496">
        <v>115.1</v>
      </c>
      <c r="E11" s="496">
        <v>99.97</v>
      </c>
      <c r="F11" s="497">
        <v>101.04</v>
      </c>
    </row>
    <row r="12" spans="1:8" s="508" customFormat="1" ht="20.100000000000001" customHeight="1" x14ac:dyDescent="0.25">
      <c r="A12" s="507" t="s">
        <v>593</v>
      </c>
      <c r="B12" s="499">
        <v>114.7</v>
      </c>
      <c r="C12" s="499">
        <v>100.17</v>
      </c>
      <c r="D12" s="500">
        <v>114.41</v>
      </c>
      <c r="E12" s="500">
        <v>100.52</v>
      </c>
      <c r="F12" s="501">
        <v>101.14</v>
      </c>
    </row>
    <row r="13" spans="1:8" ht="20.100000000000001" customHeight="1" x14ac:dyDescent="0.25">
      <c r="A13" s="503" t="s">
        <v>596</v>
      </c>
      <c r="B13" s="504"/>
      <c r="C13" s="504"/>
      <c r="D13" s="505"/>
      <c r="E13" s="505"/>
      <c r="F13" s="506"/>
    </row>
    <row r="14" spans="1:8" ht="20.100000000000001" customHeight="1" x14ac:dyDescent="0.25">
      <c r="A14" s="494" t="s">
        <v>592</v>
      </c>
      <c r="B14" s="495">
        <v>119.68</v>
      </c>
      <c r="C14" s="495">
        <v>97.56</v>
      </c>
      <c r="D14" s="496">
        <v>115.89</v>
      </c>
      <c r="E14" s="496">
        <v>99.56</v>
      </c>
      <c r="F14" s="497">
        <v>100.78</v>
      </c>
    </row>
    <row r="15" spans="1:8" s="508" customFormat="1" ht="20.100000000000001" customHeight="1" x14ac:dyDescent="0.25">
      <c r="A15" s="509" t="s">
        <v>593</v>
      </c>
      <c r="B15" s="499">
        <v>121.09100146023843</v>
      </c>
      <c r="C15" s="499">
        <v>98.93</v>
      </c>
      <c r="D15" s="500">
        <v>115.32</v>
      </c>
      <c r="E15" s="500">
        <v>100.08</v>
      </c>
      <c r="F15" s="501">
        <v>100.81</v>
      </c>
    </row>
    <row r="16" spans="1:8" ht="20.100000000000001" customHeight="1" x14ac:dyDescent="0.25">
      <c r="A16" s="503" t="s">
        <v>597</v>
      </c>
      <c r="B16" s="504"/>
      <c r="C16" s="504"/>
      <c r="D16" s="505"/>
      <c r="E16" s="505"/>
      <c r="F16" s="506"/>
    </row>
    <row r="17" spans="1:6" ht="20.100000000000001" customHeight="1" x14ac:dyDescent="0.25">
      <c r="A17" s="494" t="s">
        <v>592</v>
      </c>
      <c r="B17" s="495">
        <v>133.03</v>
      </c>
      <c r="C17" s="495">
        <v>86.1</v>
      </c>
      <c r="D17" s="496">
        <v>105.35521188014114</v>
      </c>
      <c r="E17" s="496">
        <v>102.51384967020644</v>
      </c>
      <c r="F17" s="497">
        <v>102.5826637755918</v>
      </c>
    </row>
    <row r="18" spans="1:6" ht="20.100000000000001" customHeight="1" x14ac:dyDescent="0.25">
      <c r="A18" s="498" t="s">
        <v>593</v>
      </c>
      <c r="B18" s="499">
        <v>143.66607403646677</v>
      </c>
      <c r="C18" s="499">
        <v>80.085675544560019</v>
      </c>
      <c r="D18" s="500">
        <v>105.74894176343852</v>
      </c>
      <c r="E18" s="500">
        <v>102.91285934372003</v>
      </c>
      <c r="F18" s="501">
        <v>103.00124632431165</v>
      </c>
    </row>
    <row r="19" spans="1:6" ht="20.100000000000001" customHeight="1" x14ac:dyDescent="0.25">
      <c r="A19" s="502" t="s">
        <v>598</v>
      </c>
      <c r="B19" s="499"/>
      <c r="C19" s="499"/>
      <c r="D19" s="500"/>
      <c r="E19" s="500"/>
      <c r="F19" s="501"/>
    </row>
    <row r="20" spans="1:6" ht="20.100000000000001" customHeight="1" x14ac:dyDescent="0.25">
      <c r="A20" s="498" t="s">
        <v>593</v>
      </c>
      <c r="B20" s="495">
        <v>143.33933260330588</v>
      </c>
      <c r="C20" s="510">
        <v>94.244012379402292</v>
      </c>
      <c r="D20" s="511">
        <v>105.00085630578849</v>
      </c>
      <c r="E20" s="511">
        <v>103.56000626718271</v>
      </c>
      <c r="F20" s="512">
        <v>103.41568394256913</v>
      </c>
    </row>
    <row r="21" spans="1:6" ht="20.100000000000001" customHeight="1" x14ac:dyDescent="0.25">
      <c r="A21" s="503" t="s">
        <v>599</v>
      </c>
      <c r="B21" s="504"/>
      <c r="C21" s="504"/>
      <c r="D21" s="505"/>
      <c r="E21" s="505"/>
      <c r="F21" s="506"/>
    </row>
    <row r="22" spans="1:6" ht="20.100000000000001" customHeight="1" x14ac:dyDescent="0.25">
      <c r="A22" s="494" t="s">
        <v>592</v>
      </c>
      <c r="B22" s="495">
        <v>118.16956276444624</v>
      </c>
      <c r="C22" s="495">
        <v>99.063675404625855</v>
      </c>
      <c r="D22" s="496">
        <v>117.27792278142455</v>
      </c>
      <c r="E22" s="496">
        <v>99.170122498310647</v>
      </c>
      <c r="F22" s="497">
        <v>100.53931249143344</v>
      </c>
    </row>
    <row r="23" spans="1:6" s="508" customFormat="1" ht="20.100000000000001" customHeight="1" x14ac:dyDescent="0.25">
      <c r="A23" s="507" t="s">
        <v>593</v>
      </c>
      <c r="B23" s="510">
        <v>117.92905880569411</v>
      </c>
      <c r="C23" s="510">
        <v>100.44811071319661</v>
      </c>
      <c r="D23" s="511">
        <v>115.92011977037093</v>
      </c>
      <c r="E23" s="511">
        <v>99.88837484477466</v>
      </c>
      <c r="F23" s="512">
        <v>100.6703196209285</v>
      </c>
    </row>
    <row r="24" spans="1:6" ht="20.100000000000001" customHeight="1" x14ac:dyDescent="0.25">
      <c r="A24" s="513" t="s">
        <v>600</v>
      </c>
      <c r="B24" s="514"/>
      <c r="C24" s="514"/>
      <c r="D24" s="515"/>
      <c r="E24" s="515"/>
      <c r="F24" s="516"/>
    </row>
    <row r="25" spans="1:6" ht="20.100000000000001" customHeight="1" x14ac:dyDescent="0.25">
      <c r="A25" s="494" t="s">
        <v>592</v>
      </c>
      <c r="B25" s="495">
        <v>85.630274054168638</v>
      </c>
      <c r="C25" s="495">
        <v>112.02777729735891</v>
      </c>
      <c r="D25" s="496">
        <v>107.21087249623581</v>
      </c>
      <c r="E25" s="496">
        <v>104.02446450865732</v>
      </c>
      <c r="F25" s="497">
        <v>103.64356265536163</v>
      </c>
    </row>
    <row r="26" spans="1:6" ht="20.100000000000001" customHeight="1" x14ac:dyDescent="0.25">
      <c r="A26" s="498" t="s">
        <v>593</v>
      </c>
      <c r="B26" s="510">
        <v>90.510230197886216</v>
      </c>
      <c r="C26" s="510">
        <v>110.98805865115952</v>
      </c>
      <c r="D26" s="511">
        <v>107.2792671982989</v>
      </c>
      <c r="E26" s="511">
        <v>104.28332731545883</v>
      </c>
      <c r="F26" s="512">
        <v>103.85719954902297</v>
      </c>
    </row>
    <row r="27" spans="1:6" ht="20.100000000000001" customHeight="1" x14ac:dyDescent="0.25">
      <c r="A27" s="517" t="s">
        <v>601</v>
      </c>
      <c r="B27" s="504"/>
      <c r="C27" s="504"/>
      <c r="D27" s="505"/>
      <c r="E27" s="505"/>
      <c r="F27" s="518"/>
    </row>
    <row r="28" spans="1:6" ht="20.100000000000001" customHeight="1" x14ac:dyDescent="0.25">
      <c r="A28" s="494" t="s">
        <v>592</v>
      </c>
      <c r="B28" s="495">
        <v>77.937384182431202</v>
      </c>
      <c r="C28" s="495">
        <v>111.1280550983634</v>
      </c>
      <c r="D28" s="496">
        <v>107.11175416642416</v>
      </c>
      <c r="E28" s="496">
        <v>104.64166566108702</v>
      </c>
      <c r="F28" s="497">
        <v>104.09611889175746</v>
      </c>
    </row>
    <row r="29" spans="1:6" ht="20.100000000000001" customHeight="1" thickBot="1" x14ac:dyDescent="0.3">
      <c r="A29" s="519" t="s">
        <v>593</v>
      </c>
      <c r="B29" s="520">
        <v>83.350909829583728</v>
      </c>
      <c r="C29" s="520">
        <v>110.42598924977156</v>
      </c>
      <c r="D29" s="521">
        <v>106.62026318522231</v>
      </c>
      <c r="E29" s="521">
        <v>104.70418687259533</v>
      </c>
      <c r="F29" s="522">
        <v>104.21631703886661</v>
      </c>
    </row>
    <row r="30" spans="1:6" ht="20.100000000000001" customHeight="1" x14ac:dyDescent="0.25">
      <c r="A30" s="523" t="s">
        <v>602</v>
      </c>
      <c r="B30" s="524"/>
      <c r="C30" s="524"/>
      <c r="D30" s="525"/>
      <c r="E30" s="525"/>
      <c r="F30" s="526"/>
    </row>
    <row r="31" spans="1:6" ht="20.100000000000001" customHeight="1" x14ac:dyDescent="0.25">
      <c r="A31" s="494" t="s">
        <v>592</v>
      </c>
      <c r="B31" s="495">
        <v>107.51521003731943</v>
      </c>
      <c r="C31" s="495">
        <v>114.0086855189406</v>
      </c>
      <c r="D31" s="496">
        <v>107.42910020546934</v>
      </c>
      <c r="E31" s="496">
        <v>102.66557969000698</v>
      </c>
      <c r="F31" s="497">
        <v>102.64717469204869</v>
      </c>
    </row>
    <row r="32" spans="1:6" ht="20.100000000000001" customHeight="1" x14ac:dyDescent="0.25">
      <c r="A32" s="527" t="s">
        <v>593</v>
      </c>
      <c r="B32" s="510">
        <v>126.03881244689273</v>
      </c>
      <c r="C32" s="510">
        <v>112.58539267815897</v>
      </c>
      <c r="D32" s="511">
        <v>107.74475732970745</v>
      </c>
      <c r="E32" s="511">
        <v>102.92050339612079</v>
      </c>
      <c r="F32" s="512">
        <v>102.79863383038207</v>
      </c>
    </row>
    <row r="33" spans="1:6" ht="20.100000000000001" customHeight="1" x14ac:dyDescent="0.25">
      <c r="A33" s="513" t="s">
        <v>603</v>
      </c>
      <c r="B33" s="528"/>
      <c r="C33" s="528"/>
      <c r="D33" s="529"/>
      <c r="E33" s="529"/>
      <c r="F33" s="516"/>
    </row>
    <row r="34" spans="1:6" ht="20.100000000000001" customHeight="1" x14ac:dyDescent="0.25">
      <c r="A34" s="494" t="s">
        <v>592</v>
      </c>
      <c r="B34" s="495">
        <v>105.28732447062481</v>
      </c>
      <c r="C34" s="495">
        <v>103.03928002341023</v>
      </c>
      <c r="D34" s="496">
        <v>106.61288146518166</v>
      </c>
      <c r="E34" s="496">
        <v>103.85718846785736</v>
      </c>
      <c r="F34" s="497">
        <v>103.56621992497192</v>
      </c>
    </row>
    <row r="35" spans="1:6" ht="20.100000000000001" customHeight="1" x14ac:dyDescent="0.25">
      <c r="A35" s="498" t="s">
        <v>593</v>
      </c>
      <c r="B35" s="510">
        <v>111.3394006786326</v>
      </c>
      <c r="C35" s="510">
        <v>101.81372424388661</v>
      </c>
      <c r="D35" s="511">
        <v>106.77816899645585</v>
      </c>
      <c r="E35" s="511">
        <v>104.28537303751109</v>
      </c>
      <c r="F35" s="512">
        <v>103.85928259961703</v>
      </c>
    </row>
    <row r="36" spans="1:6" ht="20.100000000000001" customHeight="1" x14ac:dyDescent="0.25">
      <c r="A36" s="517" t="s">
        <v>604</v>
      </c>
      <c r="B36" s="504"/>
      <c r="C36" s="504"/>
      <c r="D36" s="505"/>
      <c r="E36" s="505"/>
      <c r="F36" s="518"/>
    </row>
    <row r="37" spans="1:6" ht="20.100000000000001" customHeight="1" x14ac:dyDescent="0.25">
      <c r="A37" s="494" t="s">
        <v>592</v>
      </c>
      <c r="B37" s="495">
        <v>112.35645472849886</v>
      </c>
      <c r="C37" s="495">
        <v>102.62998915909454</v>
      </c>
      <c r="D37" s="496">
        <v>104.58894640003902</v>
      </c>
      <c r="E37" s="496">
        <v>102.90996017913518</v>
      </c>
      <c r="F37" s="497">
        <v>102.89086662934663</v>
      </c>
    </row>
    <row r="38" spans="1:6" ht="20.100000000000001" customHeight="1" x14ac:dyDescent="0.25">
      <c r="A38" s="498" t="s">
        <v>593</v>
      </c>
      <c r="B38" s="510">
        <v>113.27198437326686</v>
      </c>
      <c r="C38" s="510">
        <v>102.40384835543527</v>
      </c>
      <c r="D38" s="511">
        <v>105.06776295984554</v>
      </c>
      <c r="E38" s="511">
        <v>103.42608529441797</v>
      </c>
      <c r="F38" s="512">
        <v>103.35429207679834</v>
      </c>
    </row>
    <row r="39" spans="1:6" ht="51" customHeight="1" x14ac:dyDescent="0.25">
      <c r="A39" s="517" t="s">
        <v>605</v>
      </c>
      <c r="B39" s="504"/>
      <c r="C39" s="504"/>
      <c r="D39" s="505"/>
      <c r="E39" s="505"/>
      <c r="F39" s="518"/>
    </row>
    <row r="40" spans="1:6" ht="20.100000000000001" customHeight="1" x14ac:dyDescent="0.25">
      <c r="A40" s="494" t="s">
        <v>592</v>
      </c>
      <c r="B40" s="495">
        <v>118.96613867223265</v>
      </c>
      <c r="C40" s="495">
        <v>105.46460165290637</v>
      </c>
      <c r="D40" s="496">
        <v>105.5916350177271</v>
      </c>
      <c r="E40" s="496">
        <v>103.10894591066825</v>
      </c>
      <c r="F40" s="497">
        <v>103.41784206071816</v>
      </c>
    </row>
    <row r="41" spans="1:6" ht="20.100000000000001" customHeight="1" x14ac:dyDescent="0.25">
      <c r="A41" s="527" t="s">
        <v>593</v>
      </c>
      <c r="B41" s="510">
        <v>117.07612700272875</v>
      </c>
      <c r="C41" s="510">
        <v>104.92621136083704</v>
      </c>
      <c r="D41" s="511">
        <v>105.43840165650231</v>
      </c>
      <c r="E41" s="511">
        <v>103.30768497271092</v>
      </c>
      <c r="F41" s="512">
        <v>103.29068348573082</v>
      </c>
    </row>
    <row r="42" spans="1:6" ht="30" x14ac:dyDescent="0.25">
      <c r="A42" s="517" t="s">
        <v>606</v>
      </c>
      <c r="B42" s="504"/>
      <c r="C42" s="504"/>
      <c r="D42" s="505"/>
      <c r="E42" s="505"/>
      <c r="F42" s="518"/>
    </row>
    <row r="43" spans="1:6" ht="20.100000000000001" customHeight="1" x14ac:dyDescent="0.25">
      <c r="A43" s="494" t="s">
        <v>592</v>
      </c>
      <c r="B43" s="495">
        <v>95.204522351396989</v>
      </c>
      <c r="C43" s="495">
        <v>92.142596129312821</v>
      </c>
      <c r="D43" s="496">
        <v>106.53093019918509</v>
      </c>
      <c r="E43" s="496">
        <v>103.06633211962838</v>
      </c>
      <c r="F43" s="497">
        <v>103.56455899549364</v>
      </c>
    </row>
    <row r="44" spans="1:6" ht="20.100000000000001" customHeight="1" x14ac:dyDescent="0.25">
      <c r="A44" s="527" t="s">
        <v>593</v>
      </c>
      <c r="B44" s="510">
        <v>108.99062771727168</v>
      </c>
      <c r="C44" s="510">
        <v>84.094011504706302</v>
      </c>
      <c r="D44" s="511">
        <v>106.18665172587261</v>
      </c>
      <c r="E44" s="511">
        <v>103.64336271174699</v>
      </c>
      <c r="F44" s="512">
        <v>103.65945328105268</v>
      </c>
    </row>
    <row r="45" spans="1:6" ht="20.100000000000001" customHeight="1" x14ac:dyDescent="0.25">
      <c r="A45" s="530" t="s">
        <v>607</v>
      </c>
      <c r="B45" s="514"/>
      <c r="C45" s="514"/>
      <c r="D45" s="515"/>
      <c r="E45" s="515"/>
      <c r="F45" s="531"/>
    </row>
    <row r="46" spans="1:6" ht="20.100000000000001" customHeight="1" x14ac:dyDescent="0.25">
      <c r="A46" s="494" t="s">
        <v>592</v>
      </c>
      <c r="B46" s="495">
        <v>104.30572513255146</v>
      </c>
      <c r="C46" s="495">
        <v>93.630795143446861</v>
      </c>
      <c r="D46" s="496">
        <v>104.67079566469397</v>
      </c>
      <c r="E46" s="496">
        <v>103.2936486126619</v>
      </c>
      <c r="F46" s="497">
        <v>103.13098584905309</v>
      </c>
    </row>
    <row r="47" spans="1:6" ht="20.100000000000001" customHeight="1" x14ac:dyDescent="0.25">
      <c r="A47" s="498" t="s">
        <v>593</v>
      </c>
      <c r="B47" s="510">
        <v>111.12807981558845</v>
      </c>
      <c r="C47" s="510">
        <v>91.713873518476305</v>
      </c>
      <c r="D47" s="511">
        <v>104.9083809913169</v>
      </c>
      <c r="E47" s="511">
        <v>103.85872477801257</v>
      </c>
      <c r="F47" s="512">
        <v>103.34773037125127</v>
      </c>
    </row>
    <row r="48" spans="1:6" ht="20.100000000000001" customHeight="1" x14ac:dyDescent="0.25">
      <c r="A48" s="517" t="s">
        <v>608</v>
      </c>
      <c r="B48" s="504"/>
      <c r="C48" s="504"/>
      <c r="D48" s="505"/>
      <c r="E48" s="505"/>
      <c r="F48" s="518"/>
    </row>
    <row r="49" spans="1:6" ht="20.100000000000001" customHeight="1" x14ac:dyDescent="0.25">
      <c r="A49" s="494" t="s">
        <v>592</v>
      </c>
      <c r="B49" s="495">
        <v>109.78238481845885</v>
      </c>
      <c r="C49" s="495">
        <v>102.66768478625295</v>
      </c>
      <c r="D49" s="496">
        <v>108.34878919923653</v>
      </c>
      <c r="E49" s="496">
        <v>103.02624338788011</v>
      </c>
      <c r="F49" s="497">
        <v>102.90282921080365</v>
      </c>
    </row>
    <row r="50" spans="1:6" ht="20.100000000000001" customHeight="1" x14ac:dyDescent="0.25">
      <c r="A50" s="527" t="s">
        <v>593</v>
      </c>
      <c r="B50" s="510">
        <v>105.16367899068763</v>
      </c>
      <c r="C50" s="510">
        <v>99.937773868427442</v>
      </c>
      <c r="D50" s="511">
        <v>107.74790174193944</v>
      </c>
      <c r="E50" s="511">
        <v>103.2894513889659</v>
      </c>
      <c r="F50" s="512">
        <v>103.23585347204013</v>
      </c>
    </row>
    <row r="51" spans="1:6" ht="45" x14ac:dyDescent="0.25">
      <c r="A51" s="517" t="s">
        <v>609</v>
      </c>
      <c r="B51" s="504"/>
      <c r="C51" s="504"/>
      <c r="D51" s="505"/>
      <c r="E51" s="505"/>
      <c r="F51" s="518"/>
    </row>
    <row r="52" spans="1:6" ht="20.100000000000001" customHeight="1" x14ac:dyDescent="0.25">
      <c r="A52" s="494" t="s">
        <v>592</v>
      </c>
      <c r="B52" s="495">
        <v>107.77676056398229</v>
      </c>
      <c r="C52" s="495">
        <v>96.782330874878014</v>
      </c>
      <c r="D52" s="496">
        <v>106.5477871506445</v>
      </c>
      <c r="E52" s="496">
        <v>103.95923102521982</v>
      </c>
      <c r="F52" s="497">
        <v>103.92129382078225</v>
      </c>
    </row>
    <row r="53" spans="1:6" ht="20.100000000000001" customHeight="1" thickBot="1" x14ac:dyDescent="0.3">
      <c r="A53" s="519" t="s">
        <v>593</v>
      </c>
      <c r="B53" s="520">
        <v>118.34153728230837</v>
      </c>
      <c r="C53" s="520">
        <v>94.163718416745112</v>
      </c>
      <c r="D53" s="521">
        <v>107.52846215033345</v>
      </c>
      <c r="E53" s="521">
        <v>104.2253752100636</v>
      </c>
      <c r="F53" s="522">
        <v>103.99835018471968</v>
      </c>
    </row>
    <row r="54" spans="1:6" ht="17.25" customHeight="1" x14ac:dyDescent="0.25">
      <c r="A54" s="523" t="s">
        <v>610</v>
      </c>
      <c r="B54" s="524"/>
      <c r="C54" s="524"/>
      <c r="D54" s="525"/>
      <c r="E54" s="525"/>
      <c r="F54" s="526"/>
    </row>
    <row r="55" spans="1:6" ht="20.100000000000001" customHeight="1" x14ac:dyDescent="0.25">
      <c r="A55" s="494" t="s">
        <v>592</v>
      </c>
      <c r="B55" s="495">
        <v>119.62398971990331</v>
      </c>
      <c r="C55" s="495">
        <v>106.03873220147089</v>
      </c>
      <c r="D55" s="496">
        <v>105.81236757835582</v>
      </c>
      <c r="E55" s="496">
        <v>104.50929118882235</v>
      </c>
      <c r="F55" s="497">
        <v>104.49856802667752</v>
      </c>
    </row>
    <row r="56" spans="1:6" ht="20.100000000000001" customHeight="1" x14ac:dyDescent="0.25">
      <c r="A56" s="498" t="s">
        <v>593</v>
      </c>
      <c r="B56" s="510">
        <v>122.60869984558842</v>
      </c>
      <c r="C56" s="510">
        <v>106.15871817392591</v>
      </c>
      <c r="D56" s="511">
        <v>106.06039885735994</v>
      </c>
      <c r="E56" s="511">
        <v>104.53032482065687</v>
      </c>
      <c r="F56" s="512">
        <v>104.50102149050247</v>
      </c>
    </row>
    <row r="57" spans="1:6" ht="15.75" x14ac:dyDescent="0.25">
      <c r="A57" s="517" t="s">
        <v>611</v>
      </c>
      <c r="B57" s="504"/>
      <c r="C57" s="504"/>
      <c r="D57" s="505"/>
      <c r="E57" s="505"/>
      <c r="F57" s="518"/>
    </row>
    <row r="58" spans="1:6" ht="20.100000000000001" customHeight="1" x14ac:dyDescent="0.25">
      <c r="A58" s="494" t="s">
        <v>592</v>
      </c>
      <c r="B58" s="495">
        <v>94.954343310465077</v>
      </c>
      <c r="C58" s="495">
        <v>101.61559248534499</v>
      </c>
      <c r="D58" s="496">
        <v>108.6496308241325</v>
      </c>
      <c r="E58" s="496">
        <v>103.96828580429889</v>
      </c>
      <c r="F58" s="497">
        <v>104.29476104327675</v>
      </c>
    </row>
    <row r="59" spans="1:6" ht="20.100000000000001" customHeight="1" x14ac:dyDescent="0.25">
      <c r="A59" s="527" t="s">
        <v>593</v>
      </c>
      <c r="B59" s="510">
        <v>94.235841301504252</v>
      </c>
      <c r="C59" s="510">
        <v>98.361473168609322</v>
      </c>
      <c r="D59" s="511">
        <v>108.34895628084371</v>
      </c>
      <c r="E59" s="511">
        <v>103.43767779053125</v>
      </c>
      <c r="F59" s="512">
        <v>104.03846358371673</v>
      </c>
    </row>
    <row r="60" spans="1:6" ht="30" x14ac:dyDescent="0.25">
      <c r="A60" s="530" t="s">
        <v>612</v>
      </c>
      <c r="B60" s="514"/>
      <c r="C60" s="514"/>
      <c r="D60" s="515"/>
      <c r="E60" s="515"/>
      <c r="F60" s="531"/>
    </row>
    <row r="61" spans="1:6" ht="20.100000000000001" customHeight="1" x14ac:dyDescent="0.25">
      <c r="A61" s="494" t="s">
        <v>592</v>
      </c>
      <c r="B61" s="495">
        <v>104.56630562775426</v>
      </c>
      <c r="C61" s="495">
        <v>108.60130393295542</v>
      </c>
      <c r="D61" s="496">
        <v>107.28808086417365</v>
      </c>
      <c r="E61" s="496">
        <v>104.47052115883173</v>
      </c>
      <c r="F61" s="497">
        <v>103.49183153661465</v>
      </c>
    </row>
    <row r="62" spans="1:6" ht="20.100000000000001" customHeight="1" x14ac:dyDescent="0.25">
      <c r="A62" s="498" t="s">
        <v>593</v>
      </c>
      <c r="B62" s="510">
        <v>105.95773913615783</v>
      </c>
      <c r="C62" s="510">
        <v>108.88603117249677</v>
      </c>
      <c r="D62" s="511">
        <v>107.64731364937528</v>
      </c>
      <c r="E62" s="511">
        <v>104.55615356386569</v>
      </c>
      <c r="F62" s="512">
        <v>104.03780212042501</v>
      </c>
    </row>
    <row r="63" spans="1:6" ht="30" x14ac:dyDescent="0.25">
      <c r="A63" s="517" t="s">
        <v>613</v>
      </c>
      <c r="B63" s="504"/>
      <c r="C63" s="504"/>
      <c r="D63" s="505"/>
      <c r="E63" s="505"/>
      <c r="F63" s="518"/>
    </row>
    <row r="64" spans="1:6" ht="20.100000000000001" customHeight="1" x14ac:dyDescent="0.25">
      <c r="A64" s="494" t="s">
        <v>592</v>
      </c>
      <c r="B64" s="495">
        <v>99.336220974079822</v>
      </c>
      <c r="C64" s="495">
        <v>104.01941047918962</v>
      </c>
      <c r="D64" s="496">
        <v>106.18856781983285</v>
      </c>
      <c r="E64" s="496">
        <v>103.58377569569124</v>
      </c>
      <c r="F64" s="497">
        <v>104.3718548726025</v>
      </c>
    </row>
    <row r="65" spans="1:6" ht="20.100000000000001" customHeight="1" x14ac:dyDescent="0.25">
      <c r="A65" s="527" t="s">
        <v>593</v>
      </c>
      <c r="B65" s="510">
        <v>117.70031541305794</v>
      </c>
      <c r="C65" s="510">
        <v>103.5684572639112</v>
      </c>
      <c r="D65" s="511">
        <v>105.94196634536333</v>
      </c>
      <c r="E65" s="511">
        <v>103.28552091824008</v>
      </c>
      <c r="F65" s="512">
        <v>104.16867080959172</v>
      </c>
    </row>
    <row r="66" spans="1:6" ht="20.100000000000001" customHeight="1" x14ac:dyDescent="0.25">
      <c r="A66" s="530" t="s">
        <v>614</v>
      </c>
      <c r="B66" s="514"/>
      <c r="C66" s="514"/>
      <c r="D66" s="515"/>
      <c r="E66" s="515"/>
      <c r="F66" s="531"/>
    </row>
    <row r="67" spans="1:6" ht="20.100000000000001" customHeight="1" x14ac:dyDescent="0.25">
      <c r="A67" s="494" t="s">
        <v>592</v>
      </c>
      <c r="B67" s="495">
        <v>107.49456726101761</v>
      </c>
      <c r="C67" s="495">
        <v>108.2332424632263</v>
      </c>
      <c r="D67" s="496">
        <v>106.06517991047288</v>
      </c>
      <c r="E67" s="496">
        <v>105.52527240533915</v>
      </c>
      <c r="F67" s="497">
        <v>103.9363214701647</v>
      </c>
    </row>
    <row r="68" spans="1:6" ht="20.100000000000001" customHeight="1" x14ac:dyDescent="0.25">
      <c r="A68" s="498" t="s">
        <v>593</v>
      </c>
      <c r="B68" s="510">
        <v>117.06119915887481</v>
      </c>
      <c r="C68" s="510">
        <v>107.68589822333803</v>
      </c>
      <c r="D68" s="511">
        <v>106.12373470657187</v>
      </c>
      <c r="E68" s="511">
        <v>105.59643773388063</v>
      </c>
      <c r="F68" s="512">
        <v>104.05778020023423</v>
      </c>
    </row>
    <row r="69" spans="1:6" ht="20.100000000000001" customHeight="1" x14ac:dyDescent="0.25">
      <c r="A69" s="517" t="s">
        <v>615</v>
      </c>
      <c r="B69" s="504"/>
      <c r="C69" s="504"/>
      <c r="D69" s="505"/>
      <c r="E69" s="505"/>
      <c r="F69" s="518"/>
    </row>
    <row r="70" spans="1:6" ht="20.100000000000001" customHeight="1" x14ac:dyDescent="0.25">
      <c r="A70" s="494" t="s">
        <v>592</v>
      </c>
      <c r="B70" s="495">
        <v>103.33993231610175</v>
      </c>
      <c r="C70" s="495">
        <v>102.98033749685314</v>
      </c>
      <c r="D70" s="532">
        <v>105.7898339659309</v>
      </c>
      <c r="E70" s="533">
        <v>103.86503428929015</v>
      </c>
      <c r="F70" s="534">
        <v>103.87504163743557</v>
      </c>
    </row>
    <row r="71" spans="1:6" ht="31.5" x14ac:dyDescent="0.25">
      <c r="A71" s="503" t="s">
        <v>616</v>
      </c>
      <c r="B71" s="535"/>
      <c r="C71" s="535"/>
      <c r="D71" s="536"/>
      <c r="E71" s="536"/>
      <c r="F71" s="506"/>
    </row>
    <row r="72" spans="1:6" ht="20.100000000000001" customHeight="1" x14ac:dyDescent="0.25">
      <c r="A72" s="494" t="s">
        <v>592</v>
      </c>
      <c r="B72" s="495">
        <v>103.87588516665926</v>
      </c>
      <c r="C72" s="495">
        <v>111.40046985397993</v>
      </c>
      <c r="D72" s="496">
        <v>105.31372336033884</v>
      </c>
      <c r="E72" s="496">
        <v>104.73124541911194</v>
      </c>
      <c r="F72" s="497">
        <v>102.70185111832069</v>
      </c>
    </row>
    <row r="73" spans="1:6" ht="20.100000000000001" customHeight="1" x14ac:dyDescent="0.25">
      <c r="A73" s="537" t="s">
        <v>617</v>
      </c>
      <c r="B73" s="510">
        <v>105.09721800888416</v>
      </c>
      <c r="C73" s="510">
        <v>111.99809068539241</v>
      </c>
      <c r="D73" s="511">
        <v>105.57975790172816</v>
      </c>
      <c r="E73" s="511">
        <v>104.90288834255814</v>
      </c>
      <c r="F73" s="512">
        <v>102.99194479736997</v>
      </c>
    </row>
    <row r="74" spans="1:6" ht="31.5" x14ac:dyDescent="0.25">
      <c r="A74" s="503" t="s">
        <v>618</v>
      </c>
      <c r="B74" s="535"/>
      <c r="C74" s="535"/>
      <c r="D74" s="536"/>
      <c r="E74" s="536"/>
      <c r="F74" s="506"/>
    </row>
    <row r="75" spans="1:6" ht="20.100000000000001" customHeight="1" x14ac:dyDescent="0.25">
      <c r="A75" s="494" t="s">
        <v>592</v>
      </c>
      <c r="B75" s="495">
        <v>101.92261392629143</v>
      </c>
      <c r="C75" s="495">
        <v>108.44655988471754</v>
      </c>
      <c r="D75" s="496">
        <v>104.34493633124859</v>
      </c>
      <c r="E75" s="496">
        <v>106.04429299877727</v>
      </c>
      <c r="F75" s="497">
        <v>104.45912259540427</v>
      </c>
    </row>
    <row r="76" spans="1:6" ht="20.100000000000001" customHeight="1" thickBot="1" x14ac:dyDescent="0.3">
      <c r="A76" s="519" t="s">
        <v>593</v>
      </c>
      <c r="B76" s="520">
        <v>104.57844568584929</v>
      </c>
      <c r="C76" s="520">
        <v>108.30287193057637</v>
      </c>
      <c r="D76" s="521">
        <v>104.43732522468832</v>
      </c>
      <c r="E76" s="521">
        <v>106.01337600472824</v>
      </c>
      <c r="F76" s="522">
        <v>104.47687905732836</v>
      </c>
    </row>
    <row r="77" spans="1:6" ht="20.100000000000001" customHeight="1" x14ac:dyDescent="0.25">
      <c r="A77" s="490" t="s">
        <v>619</v>
      </c>
      <c r="B77" s="538"/>
      <c r="C77" s="538"/>
      <c r="D77" s="539"/>
      <c r="E77" s="539"/>
      <c r="F77" s="540"/>
    </row>
    <row r="78" spans="1:6" ht="20.100000000000001" customHeight="1" x14ac:dyDescent="0.25">
      <c r="A78" s="494" t="s">
        <v>592</v>
      </c>
      <c r="B78" s="495">
        <v>104.16805690401223</v>
      </c>
      <c r="C78" s="495">
        <v>100.68124081497555</v>
      </c>
      <c r="D78" s="496">
        <v>106.9492357895015</v>
      </c>
      <c r="E78" s="496">
        <v>104.18376491533385</v>
      </c>
      <c r="F78" s="497">
        <v>104.08830293423435</v>
      </c>
    </row>
    <row r="79" spans="1:6" ht="20.100000000000001" customHeight="1" x14ac:dyDescent="0.25">
      <c r="A79" s="503" t="s">
        <v>620</v>
      </c>
      <c r="B79" s="535"/>
      <c r="C79" s="535"/>
      <c r="D79" s="536"/>
      <c r="E79" s="536"/>
      <c r="F79" s="506"/>
    </row>
    <row r="80" spans="1:6" ht="20.100000000000001" customHeight="1" x14ac:dyDescent="0.25">
      <c r="A80" s="494" t="s">
        <v>592</v>
      </c>
      <c r="B80" s="541">
        <v>101.758839782257</v>
      </c>
      <c r="C80" s="495">
        <v>99.057795374115727</v>
      </c>
      <c r="D80" s="496">
        <v>108.57946308868974</v>
      </c>
      <c r="E80" s="496">
        <v>104.17056070026254</v>
      </c>
      <c r="F80" s="497">
        <v>103.98816229169516</v>
      </c>
    </row>
    <row r="81" spans="1:6" ht="20.100000000000001" customHeight="1" x14ac:dyDescent="0.25">
      <c r="A81" s="503" t="s">
        <v>621</v>
      </c>
      <c r="B81" s="535"/>
      <c r="C81" s="535"/>
      <c r="D81" s="536"/>
      <c r="E81" s="536"/>
      <c r="F81" s="506"/>
    </row>
    <row r="82" spans="1:6" ht="20.100000000000001" customHeight="1" x14ac:dyDescent="0.25">
      <c r="A82" s="494" t="s">
        <v>592</v>
      </c>
      <c r="B82" s="541">
        <v>107.87741962195001</v>
      </c>
      <c r="C82" s="495">
        <v>102.74744410334262</v>
      </c>
      <c r="D82" s="496">
        <v>104.87440104508011</v>
      </c>
      <c r="E82" s="496">
        <v>104.20057027997005</v>
      </c>
      <c r="F82" s="497">
        <v>104.21575466110238</v>
      </c>
    </row>
    <row r="83" spans="1:6" ht="20.100000000000001" customHeight="1" x14ac:dyDescent="0.25">
      <c r="A83" s="542" t="s">
        <v>622</v>
      </c>
      <c r="B83" s="510">
        <v>106.53</v>
      </c>
      <c r="C83" s="510">
        <v>102.2489439285353</v>
      </c>
      <c r="D83" s="511">
        <v>104.5599899148247</v>
      </c>
      <c r="E83" s="511">
        <v>104.44621747468976</v>
      </c>
      <c r="F83" s="512">
        <v>104.49295930070615</v>
      </c>
    </row>
    <row r="84" spans="1:6" ht="16.5" customHeight="1" x14ac:dyDescent="0.25">
      <c r="A84" s="503" t="s">
        <v>623</v>
      </c>
      <c r="B84" s="543"/>
      <c r="C84" s="543"/>
      <c r="D84" s="544"/>
      <c r="E84" s="544"/>
      <c r="F84" s="545"/>
    </row>
    <row r="85" spans="1:6" ht="20.100000000000001" customHeight="1" x14ac:dyDescent="0.25">
      <c r="A85" s="494" t="s">
        <v>624</v>
      </c>
      <c r="B85" s="541">
        <v>112.16225927509851</v>
      </c>
      <c r="C85" s="495">
        <v>118.75784831006632</v>
      </c>
      <c r="D85" s="496">
        <v>107.60155077044821</v>
      </c>
      <c r="E85" s="496">
        <v>105.30548897304217</v>
      </c>
      <c r="F85" s="497">
        <v>104.41745941241025</v>
      </c>
    </row>
    <row r="86" spans="1:6" ht="20.100000000000001" customHeight="1" x14ac:dyDescent="0.25">
      <c r="A86" s="546" t="s">
        <v>625</v>
      </c>
      <c r="B86" s="499">
        <v>114.7</v>
      </c>
      <c r="C86" s="499">
        <v>123.48397518496033</v>
      </c>
      <c r="D86" s="500">
        <v>108.38577557431337</v>
      </c>
      <c r="E86" s="500">
        <v>105.55203643174222</v>
      </c>
      <c r="F86" s="501">
        <v>104.34968084457263</v>
      </c>
    </row>
    <row r="87" spans="1:6" ht="20.100000000000001" customHeight="1" x14ac:dyDescent="0.25">
      <c r="A87" s="547" t="s">
        <v>626</v>
      </c>
      <c r="B87" s="510">
        <v>113.93</v>
      </c>
      <c r="C87" s="510">
        <v>108.97950795098421</v>
      </c>
      <c r="D87" s="511">
        <v>106.11993479244519</v>
      </c>
      <c r="E87" s="511">
        <v>105.12639777269345</v>
      </c>
      <c r="F87" s="512">
        <v>104.68497739859812</v>
      </c>
    </row>
    <row r="88" spans="1:6" ht="20.100000000000001" customHeight="1" x14ac:dyDescent="0.25">
      <c r="A88" s="513" t="s">
        <v>627</v>
      </c>
      <c r="B88" s="548"/>
      <c r="C88" s="548"/>
      <c r="D88" s="549"/>
      <c r="E88" s="549"/>
      <c r="F88" s="550"/>
    </row>
    <row r="89" spans="1:6" ht="20.100000000000001" customHeight="1" x14ac:dyDescent="0.25">
      <c r="A89" s="494" t="s">
        <v>592</v>
      </c>
      <c r="B89" s="495">
        <v>114.63142733059361</v>
      </c>
      <c r="C89" s="495">
        <v>106.96887482404291</v>
      </c>
      <c r="D89" s="496">
        <v>105.2726091890103</v>
      </c>
      <c r="E89" s="496">
        <v>104.76198431821334</v>
      </c>
      <c r="F89" s="497">
        <v>104.57995653006968</v>
      </c>
    </row>
    <row r="90" spans="1:6" ht="20.100000000000001" customHeight="1" x14ac:dyDescent="0.25">
      <c r="A90" s="527" t="s">
        <v>628</v>
      </c>
      <c r="B90" s="510">
        <v>115.07</v>
      </c>
      <c r="C90" s="510"/>
      <c r="D90" s="511"/>
      <c r="E90" s="511"/>
      <c r="F90" s="512"/>
    </row>
    <row r="91" spans="1:6" ht="20.100000000000001" customHeight="1" x14ac:dyDescent="0.25">
      <c r="A91" s="513" t="s">
        <v>629</v>
      </c>
      <c r="B91" s="548"/>
      <c r="C91" s="548"/>
      <c r="D91" s="549"/>
      <c r="E91" s="549"/>
      <c r="F91" s="550"/>
    </row>
    <row r="92" spans="1:6" ht="20.100000000000001" customHeight="1" x14ac:dyDescent="0.25">
      <c r="A92" s="494" t="s">
        <v>592</v>
      </c>
      <c r="B92" s="541">
        <v>110.69581311962079</v>
      </c>
      <c r="C92" s="495">
        <v>105.78128943793057</v>
      </c>
      <c r="D92" s="496">
        <v>104.96027697100602</v>
      </c>
      <c r="E92" s="496">
        <v>104.50408064377739</v>
      </c>
      <c r="F92" s="497">
        <v>104.14461777297407</v>
      </c>
    </row>
    <row r="93" spans="1:6" ht="20.100000000000001" customHeight="1" x14ac:dyDescent="0.25">
      <c r="A93" s="527" t="s">
        <v>593</v>
      </c>
      <c r="B93" s="510">
        <v>110.83</v>
      </c>
      <c r="C93" s="510">
        <v>105.93685926916837</v>
      </c>
      <c r="D93" s="511">
        <v>105.15913278796228</v>
      </c>
      <c r="E93" s="511">
        <v>104.61323522211123</v>
      </c>
      <c r="F93" s="512">
        <v>104.24122706652817</v>
      </c>
    </row>
    <row r="94" spans="1:6" ht="20.100000000000001" customHeight="1" x14ac:dyDescent="0.25">
      <c r="A94" s="503" t="s">
        <v>630</v>
      </c>
      <c r="B94" s="543"/>
      <c r="C94" s="543"/>
      <c r="D94" s="544"/>
      <c r="E94" s="544"/>
      <c r="F94" s="545"/>
    </row>
    <row r="95" spans="1:6" ht="20.100000000000001" customHeight="1" x14ac:dyDescent="0.25">
      <c r="A95" s="494" t="s">
        <v>631</v>
      </c>
      <c r="B95" s="495">
        <v>115.36594166382986</v>
      </c>
      <c r="C95" s="495">
        <v>104.54114793286647</v>
      </c>
      <c r="D95" s="496">
        <v>107.96520019883977</v>
      </c>
      <c r="E95" s="496">
        <v>104.18078119897186</v>
      </c>
      <c r="F95" s="497">
        <v>104.12625381321557</v>
      </c>
    </row>
    <row r="96" spans="1:6" ht="20.100000000000001" customHeight="1" x14ac:dyDescent="0.25">
      <c r="A96" s="498" t="s">
        <v>632</v>
      </c>
      <c r="B96" s="499">
        <v>115.07488312725178</v>
      </c>
      <c r="C96" s="499">
        <v>104.23280646705398</v>
      </c>
      <c r="D96" s="500">
        <v>107.71943069234713</v>
      </c>
      <c r="E96" s="500">
        <v>103.91187043539315</v>
      </c>
      <c r="F96" s="501">
        <v>103.91377229244958</v>
      </c>
    </row>
    <row r="97" spans="1:6" ht="20.100000000000001" customHeight="1" x14ac:dyDescent="0.25">
      <c r="A97" s="494" t="s">
        <v>633</v>
      </c>
      <c r="B97" s="495">
        <v>108.20854738222756</v>
      </c>
      <c r="C97" s="495">
        <v>111.02015960903</v>
      </c>
      <c r="D97" s="496">
        <v>105.71132028494048</v>
      </c>
      <c r="E97" s="496">
        <v>104.93717342324236</v>
      </c>
      <c r="F97" s="497">
        <v>104.55684275836509</v>
      </c>
    </row>
    <row r="98" spans="1:6" ht="20.100000000000001" customHeight="1" thickBot="1" x14ac:dyDescent="0.3">
      <c r="A98" s="519" t="s">
        <v>634</v>
      </c>
      <c r="B98" s="520">
        <v>110.06035241241143</v>
      </c>
      <c r="C98" s="520">
        <v>110.30341096791267</v>
      </c>
      <c r="D98" s="521">
        <v>105.6999998250503</v>
      </c>
      <c r="E98" s="521">
        <v>104.84617425872787</v>
      </c>
      <c r="F98" s="522">
        <v>104.26780048616257</v>
      </c>
    </row>
    <row r="99" spans="1:6" ht="15" customHeight="1" x14ac:dyDescent="0.25">
      <c r="A99" s="551" t="s">
        <v>635</v>
      </c>
      <c r="B99" s="500"/>
      <c r="C99" s="500"/>
      <c r="D99" s="500"/>
      <c r="E99" s="500"/>
      <c r="F99" s="500"/>
    </row>
    <row r="100" spans="1:6" ht="14.25" customHeight="1" x14ac:dyDescent="0.25">
      <c r="A100" s="551" t="s">
        <v>636</v>
      </c>
      <c r="B100" s="552"/>
      <c r="C100" s="552"/>
      <c r="D100" s="552"/>
      <c r="E100" s="552"/>
      <c r="F100" s="552"/>
    </row>
    <row r="101" spans="1:6" ht="27" customHeight="1" x14ac:dyDescent="0.25">
      <c r="A101" s="728" t="s">
        <v>637</v>
      </c>
      <c r="B101" s="729"/>
      <c r="C101" s="729"/>
      <c r="D101" s="729"/>
      <c r="E101" s="729"/>
      <c r="F101" s="729"/>
    </row>
    <row r="102" spans="1:6" ht="15.75" x14ac:dyDescent="0.25">
      <c r="A102" s="551" t="s">
        <v>638</v>
      </c>
      <c r="B102" s="553"/>
      <c r="C102" s="553"/>
      <c r="D102" s="553"/>
      <c r="E102" s="553"/>
      <c r="F102" s="553"/>
    </row>
    <row r="103" spans="1:6" ht="15.75" x14ac:dyDescent="0.25">
      <c r="A103" s="551" t="s">
        <v>639</v>
      </c>
      <c r="B103" s="553"/>
      <c r="C103" s="553"/>
      <c r="D103" s="553"/>
      <c r="E103" s="553"/>
      <c r="F103" s="553"/>
    </row>
    <row r="104" spans="1:6" ht="15.75" x14ac:dyDescent="0.25">
      <c r="A104" s="551" t="s">
        <v>640</v>
      </c>
      <c r="B104" s="554"/>
      <c r="C104" s="554"/>
      <c r="D104" s="554"/>
      <c r="E104" s="554"/>
      <c r="F104" s="554"/>
    </row>
    <row r="105" spans="1:6" ht="15" customHeight="1" x14ac:dyDescent="0.25">
      <c r="A105" s="551" t="s">
        <v>641</v>
      </c>
      <c r="B105" s="552"/>
      <c r="C105" s="552"/>
      <c r="D105" s="552"/>
      <c r="E105" s="552"/>
      <c r="F105" s="552"/>
    </row>
    <row r="106" spans="1:6" ht="18.75" x14ac:dyDescent="0.25">
      <c r="A106" s="555"/>
      <c r="B106" s="556"/>
      <c r="C106" s="556"/>
      <c r="D106" s="556"/>
      <c r="E106" s="556"/>
      <c r="F106" s="556"/>
    </row>
    <row r="107" spans="1:6" ht="18.75" x14ac:dyDescent="0.25">
      <c r="A107" s="557"/>
      <c r="B107" s="558"/>
      <c r="C107" s="558"/>
      <c r="D107" s="558"/>
      <c r="E107" s="558"/>
      <c r="F107" s="558"/>
    </row>
    <row r="108" spans="1:6" ht="18.75" x14ac:dyDescent="0.25">
      <c r="B108" s="556"/>
      <c r="C108" s="556"/>
      <c r="D108" s="556"/>
      <c r="E108" s="556"/>
      <c r="F108" s="556"/>
    </row>
    <row r="109" spans="1:6" ht="16.5" x14ac:dyDescent="0.25">
      <c r="C109" s="559"/>
      <c r="D109" s="559"/>
      <c r="E109" s="559"/>
      <c r="F109" s="559"/>
    </row>
  </sheetData>
  <mergeCells count="3">
    <mergeCell ref="A3:F3"/>
    <mergeCell ref="D5:F5"/>
    <mergeCell ref="A101:F101"/>
  </mergeCells>
  <printOptions horizontalCentered="1"/>
  <pageMargins left="0.19685039370078741" right="0.19685039370078741" top="0.39370078740157483" bottom="0.19685039370078741" header="0.31496062992125984" footer="0.31496062992125984"/>
  <pageSetup paperSize="9" scale="90" firstPageNumber="115" fitToHeight="3" orientation="landscape" r:id="rId1"/>
  <rowBreaks count="3" manualBreakCount="3">
    <brk id="29" max="5" man="1"/>
    <brk id="53" max="5" man="1"/>
    <brk id="76"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Сводная смета</vt:lpstr>
      <vt:lpstr>1.1 ИГДИ</vt:lpstr>
      <vt:lpstr>1.2 ИГДИ</vt:lpstr>
      <vt:lpstr>2. ИГИ</vt:lpstr>
      <vt:lpstr>3. ИЭИ</vt:lpstr>
      <vt:lpstr>4. ИГМИ</vt:lpstr>
      <vt:lpstr>5</vt:lpstr>
      <vt:lpstr>Индексы-дефляторы</vt:lpstr>
      <vt:lpstr>'2. ИГИ'!Заголовки_для_печати</vt:lpstr>
      <vt:lpstr>'3. ИЭИ'!Заголовки_для_печати</vt:lpstr>
      <vt:lpstr>'Индексы-дефляторы'!Заголовки_для_печати</vt:lpstr>
      <vt:lpstr>'Индексы-дефляторы'!Область_печати</vt:lpstr>
      <vt:lpstr>'Сводная смета'!Область_печати</vt:lpstr>
      <vt:lpstr>'3. ИЭИ'!таб11</vt:lpstr>
      <vt:lpstr>'3. ИЭИ'!таб86</vt:lpstr>
      <vt:lpstr>'3. ИЭИ'!таб99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Загудаева Наталья Викторовна</dc:creator>
  <cp:lastModifiedBy>e.makeyeva</cp:lastModifiedBy>
  <cp:lastPrinted>2024-06-20T07:39:46Z</cp:lastPrinted>
  <dcterms:created xsi:type="dcterms:W3CDTF">2009-11-09T11:09:42Z</dcterms:created>
  <dcterms:modified xsi:type="dcterms:W3CDTF">2024-06-20T08:45:26Z</dcterms:modified>
</cp:coreProperties>
</file>