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'Лист1'!$A$14:$G$346</definedName>
    <definedName hidden="1" localSheetId="0" name="Z_B9139B01_76AB_4BFE_8E1D_4D6A6015E0BD_.wvu.FilterData">'Лист1'!$A$6:$G$136</definedName>
    <definedName hidden="1" localSheetId="0" name="Z_C1FE8306_DC52_472F_8B5F_C345C429B986_.wvu.FilterData">'Лист1'!$A$6:$H$139</definedName>
    <definedName hidden="1" localSheetId="0" name="Z_AC5FBAB0_14C4_4B79_8AF6_71C9DC97CBE7_.wvu.FilterData">'Лист1'!$A$6:$H$136</definedName>
    <definedName hidden="1" localSheetId="0" name="Z_CAFDBE91_0974_4ACC_9440_4CBF545E2365_.wvu.FilterData">'Лист1'!$A$6:$H$139</definedName>
    <definedName hidden="1" localSheetId="0" name="Z_FCAED4A2_1827_4082_BFC3_5BB2FDFAB3F6_.wvu.FilterData">'Лист1'!$A$13:$G$145</definedName>
  </definedNames>
  <calcPr/>
  <customWorkbookViews>
    <customWorkbookView activeSheetId="0" maximized="1" windowHeight="0" windowWidth="0" guid="{B9139B01-76AB-4BFE-8E1D-4D6A6015E0BD}" name="Лобанов Иван Викторович - Личное представление"/>
    <customWorkbookView activeSheetId="0" maximized="1" windowHeight="0" windowWidth="0" guid="{AC5FBAB0-14C4-4B79-8AF6-71C9DC97CBE7}" name="Борисов Вячеслав Александрович - Личное представление"/>
    <customWorkbookView activeSheetId="0" maximized="1" windowHeight="0" windowWidth="0" guid="{C1FE8306-DC52-472F-8B5F-C345C429B986}" name="Драгунов Павел Юрьевич - Личное представление"/>
    <customWorkbookView activeSheetId="0" maximized="1" windowHeight="0" windowWidth="0" guid="{FCAED4A2-1827-4082-BFC3-5BB2FDFAB3F6}" name="Андрей - Личное представление"/>
    <customWorkbookView activeSheetId="0" maximized="1" windowHeight="0" windowWidth="0" guid="{CAFDBE91-0974-4ACC-9440-4CBF545E2365}" name="Терещенко Людмила Владимировна - Личное представление"/>
  </customWorkbookViews>
  <extLst>
    <ext uri="GoogleSheetsCustomDataVersion1">
      <go:sheetsCustomData xmlns:go="http://customooxmlschemas.google.com/" r:id="rId5" roundtripDataSignature="AMtx7mhyvBM/bSIqVl1BdXrv4lrQAgfzNA=="/>
    </ext>
  </extLst>
</workbook>
</file>

<file path=xl/sharedStrings.xml><?xml version="1.0" encoding="utf-8"?>
<sst xmlns="http://schemas.openxmlformats.org/spreadsheetml/2006/main" count="940" uniqueCount="294">
  <si>
    <t>От: ООО "СК Яуза"</t>
  </si>
  <si>
    <t>141021, Московская область, г. Мытищи, ул. Лётная д.40, офис 1/4</t>
  </si>
  <si>
    <t>Коммерческое предложение</t>
  </si>
  <si>
    <t>Выполнение работ по косметическому ремонту   цеха №8 ООО НПП "ОВИСТ"</t>
  </si>
  <si>
    <t>№ п/п</t>
  </si>
  <si>
    <t>Объект строительства</t>
  </si>
  <si>
    <t xml:space="preserve">Наименование </t>
  </si>
  <si>
    <t>Ед. изм.</t>
  </si>
  <si>
    <t>Количество</t>
  </si>
  <si>
    <t>Цена за ед. (с НДС)</t>
  </si>
  <si>
    <t>Сумма (с НДС)</t>
  </si>
  <si>
    <t>Демонтажные работы</t>
  </si>
  <si>
    <t>ОЗП</t>
  </si>
  <si>
    <t xml:space="preserve">Частичный демонтаж крестовых связей в АБК на двух этажах из уголков 90х6
в осях Б-В/24; Б-В/27; Б-В/32-33 (кроме связей в осях Б-В/28-29) (с погрузкой на автотранспорт с помощью автокрана и отвозкой к месту утилизации на 1 км)
</t>
  </si>
  <si>
    <t>т</t>
  </si>
  <si>
    <t>Выполнить проем в сэндвич панели 910х2090 в осях Б-В/27-28; Б-В/31-32</t>
  </si>
  <si>
    <t>шт</t>
  </si>
  <si>
    <t>Выполнить проем в жб панели 12100х2090 в осях Б-В/33</t>
  </si>
  <si>
    <t>Итого</t>
  </si>
  <si>
    <t>Металлоконструкции</t>
  </si>
  <si>
    <t>Монтаж фахверковых стоек
массой до 1,0 т, в том числе:</t>
  </si>
  <si>
    <t>МАТ</t>
  </si>
  <si>
    <t xml:space="preserve">Профили стальные гнутые замкнутые квадратные сталь марки С245 </t>
  </si>
  <si>
    <t>Уголки стальные горячекатаные сталь марки С245</t>
  </si>
  <si>
    <t>Листовая сталь марки С245</t>
  </si>
  <si>
    <t>Монтаж распорок, ригелей, в том числе:</t>
  </si>
  <si>
    <t>Окраска металлоконструкций</t>
  </si>
  <si>
    <t>Устройство грунтовки ГФ-021 
в 1 слой</t>
  </si>
  <si>
    <t>м2</t>
  </si>
  <si>
    <t xml:space="preserve"> Грунтовка ГФ-021 (0,167 кг/м2)</t>
  </si>
  <si>
    <t>кг</t>
  </si>
  <si>
    <t xml:space="preserve">Устройство огнезащитной краски по металлу </t>
  </si>
  <si>
    <t>Краска огнезащитная  (0,167 кг/м2)</t>
  </si>
  <si>
    <t>Крепление металлоконструкций</t>
  </si>
  <si>
    <t>Сверление отверстий для анкеров</t>
  </si>
  <si>
    <t>Установка анкеров</t>
  </si>
  <si>
    <t>Химический анкер, шпилька М16х190</t>
  </si>
  <si>
    <t>Распорный анкер типа Hilti HSA M12х115</t>
  </si>
  <si>
    <t>Распорный анкер типа Hilti HSA M10х83</t>
  </si>
  <si>
    <t>Анкерный дюбель М6х60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</si>
  <si>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</si>
  <si>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</si>
  <si>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</si>
  <si>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Монтаж стеновых сэндвич-панелей «Металл Профиль» МП ТСП-Z-100-1000-Г-Г-МВ</t>
  </si>
  <si>
    <t>Стеновые сэндвич-панели «Металл Профиль» МП ТСП-Z-100-1000-Г-Г-МВ</t>
  </si>
  <si>
    <t>Устройство фасонных элементов из оцинкованной стали с полимерным покрытием t=0,5 мм</t>
  </si>
  <si>
    <t>Оцинкованная сталь с полимерным покрытием t=0,5 мм</t>
  </si>
  <si>
    <t>Устройство фасонных элементов из оцинкованной стали t=2,0 мм</t>
  </si>
  <si>
    <t>Оцинкованная сталь с полимерным покрытием t=0,2 мм</t>
  </si>
  <si>
    <t>Устройство мин. ваты толщиной 20мм</t>
  </si>
  <si>
    <t>м3</t>
  </si>
  <si>
    <t>Минеральная вата</t>
  </si>
  <si>
    <t>Устройство силиконового герметика</t>
  </si>
  <si>
    <t>м.п.</t>
  </si>
  <si>
    <t>Герметик силиконовый (0,195 кг/м.п.)</t>
  </si>
  <si>
    <t>Устройство уплотнительной терморазделяющей полосы</t>
  </si>
  <si>
    <t>Герметик силиконовый (0,78 кг/м.п.)</t>
  </si>
  <si>
    <t>Шнур пенополиэтиленовый теплоизоляционный прокладочный</t>
  </si>
  <si>
    <t>Саморез 5.5х135мм с EPDM-прокладкой</t>
  </si>
  <si>
    <t>Саморез 5.5х32 с EPDM-прокладкой</t>
  </si>
  <si>
    <t>Пружинный анкер «Spike» 4.8х140мм с шайбой А14</t>
  </si>
  <si>
    <t>Анкерный дюбель 8х80</t>
  </si>
  <si>
    <t>Анкерный дюбель 6х60</t>
  </si>
  <si>
    <t>Анкерный дюбель 6х30</t>
  </si>
  <si>
    <t>Заклепка 3.2х8</t>
  </si>
  <si>
    <t>Устройство противопожарной перегородки «Knauf» С112 с двухслойной обшивкой с каждой стороны</t>
  </si>
  <si>
    <t>Гипсокартон огнестойкий</t>
  </si>
  <si>
    <t>Профиль направляющий</t>
  </si>
  <si>
    <t>м</t>
  </si>
  <si>
    <t>Профиль стоечный</t>
  </si>
  <si>
    <t>Материалы теплоизоляционные из минеральных волокон</t>
  </si>
  <si>
    <t>Ограждающие конструкции</t>
  </si>
  <si>
    <t>Зашить сущ. проемы в осях стеновы сэндвич-панелей  с минераловатным утеплителем толщиной 60 мм с комплектующими деталями</t>
  </si>
  <si>
    <t>Утеплитель минеральная вата толщ. 60 мм</t>
  </si>
  <si>
    <t xml:space="preserve">Установка потивопожарных окон </t>
  </si>
  <si>
    <t>Установка оконных блоков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</si>
  <si>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Оконные блоки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</si>
  <si>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Отделка стен помещений</t>
  </si>
  <si>
    <t>Штукатурка поверхностей (улучшенная) с подготовкой поверхности к щтукатурке</t>
  </si>
  <si>
    <t>Грунтовка 0,13 кг/м2</t>
  </si>
  <si>
    <t>л</t>
  </si>
  <si>
    <t>Штукатурка гипсовая (8,5 кг/м2 при толщине 10 мм)</t>
  </si>
  <si>
    <t xml:space="preserve">Обшивка колонны гипсокартоном ГКЛ толщиной 12,5 мм в 2 слоя </t>
  </si>
  <si>
    <t xml:space="preserve">Гипсокартон </t>
  </si>
  <si>
    <t xml:space="preserve">Обшивка колонны гипсокартоном ГКЛВ толщиной 12,5 мм в 2 слоя </t>
  </si>
  <si>
    <t>Гипсокартон влагостойкий</t>
  </si>
  <si>
    <t>Окраска стен водоэмульсионной краской(улучшенная) за 2 раза с подготовкой поверхности к окраске</t>
  </si>
  <si>
    <t>Краска водоэмульсионная (1,26 кг/м2)</t>
  </si>
  <si>
    <t>Облицовка стен керамической глазированной плиткой</t>
  </si>
  <si>
    <t>Смесь сухая для заделки швов (0,5 кг/м2)</t>
  </si>
  <si>
    <t>Плитки рядовые</t>
  </si>
  <si>
    <t>Клей для облицовочных работ (сухая смесь) (3,75 кг/м2)</t>
  </si>
  <si>
    <t xml:space="preserve">Оклейка стен обоями под покраску </t>
  </si>
  <si>
    <t>Обои под окраску (1,12 м2 расход)</t>
  </si>
  <si>
    <t>Клей для обоев (0,3 кг/м2)</t>
  </si>
  <si>
    <t>Окраска стен акриловой краской(улучшенная) за 2 раза с грунтовкой</t>
  </si>
  <si>
    <t>Краска акриловая (0,6 кг/м2)</t>
  </si>
  <si>
    <t xml:space="preserve"> Окраска стен силикатной краской за 2 раза с грунтовкой</t>
  </si>
  <si>
    <t>Краска силикатная (0,6 кг/м2)</t>
  </si>
  <si>
    <t>Отделка потолков помещений</t>
  </si>
  <si>
    <t>Устройство подвесного  потолка системы «Амстронг»</t>
  </si>
  <si>
    <t>Панели потолочные с комплектующими: «Армстронг» (Расход 1,03)</t>
  </si>
  <si>
    <t>Устройство подвесного потолка системы «Кнауф-акустика»</t>
  </si>
  <si>
    <t>Панели потолочные с комплектующими: «Кнауф Акустика» (Расход 1,03)</t>
  </si>
  <si>
    <t xml:space="preserve">Устройство реечного алюминиевого потолка </t>
  </si>
  <si>
    <t>Реечные потолки (Расход 1,03) (в комплекте)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</si>
  <si>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</si>
  <si>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</si>
  <si>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</si>
  <si>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</si>
  <si>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</si>
  <si>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100 мм</t>
  </si>
  <si>
    <t>Бетон В25 (М350)</t>
  </si>
  <si>
    <t>Устройство армирования пола сеткой  арм. Ø6 А500С ячейкой 150х150 мм</t>
  </si>
  <si>
    <t>арм. Ø6 А500С ячейкой 150х150 мм</t>
  </si>
  <si>
    <t xml:space="preserve">Устройство покрытия из керамогранитной плитки </t>
  </si>
  <si>
    <t>Плиты керамогранитные (расход 1,02)</t>
  </si>
  <si>
    <t>Клей для облицовочных работ (сухая смесь) (12 кг/м2)</t>
  </si>
  <si>
    <t>Смесь сухая для заделки швов (0,13 кг/м2)</t>
  </si>
  <si>
    <t xml:space="preserve">Устройство покрытия из напольной  керамогранитной плитки </t>
  </si>
  <si>
    <t>Устройство покрытия из коммерческого линолеума (33-34 кл)</t>
  </si>
  <si>
    <t>Линолеум коммерческий 33-34 кл (Расход 1,02)</t>
  </si>
  <si>
    <t>Состав клеящий (расход 0,5 кг/м2)</t>
  </si>
  <si>
    <t>Устройство гидроизоляции из1 слоя Техноэласт «ЭПП-4,0»</t>
  </si>
  <si>
    <t>Техноэласт «ЭПП-4,0» (расход 1,02 )</t>
  </si>
  <si>
    <t>Устройство наливного пола М 150 толщиной 20 мм</t>
  </si>
  <si>
    <t>Пол наливной (расход 29,4 кг/м2)</t>
  </si>
  <si>
    <t xml:space="preserve">Устройство покрытия площадки у выхода  облицовка керамогранитной плиткой с шероховатой поверхностью </t>
  </si>
  <si>
    <t>Плиты керамогранитные с шероховатой поверхностью (расход 1,02)</t>
  </si>
  <si>
    <t>ИТОГО АРХИТЕКТУРНО-СТРОИТЕЛЬНЫЕ РЕШЕНИЯ</t>
  </si>
  <si>
    <t>Бытовая канализация К1</t>
  </si>
  <si>
    <t>Прокладка внутренних трубопроводов канализации из полипропиленовых труб диаметром: 50 мм</t>
  </si>
  <si>
    <t>Труба ТК 50-РР-В</t>
  </si>
  <si>
    <t>Прокладка внутренних трубопроводов канализации из полипропиленовых труб диаметром: 110 мм</t>
  </si>
  <si>
    <t>Установка канализационной ревизии Р 110К-РР-В</t>
  </si>
  <si>
    <t>Канализационная ревизия Р 110К-РР-В</t>
  </si>
  <si>
    <t>Установка фасонных частей</t>
  </si>
  <si>
    <t>Отвод д. 110 мм</t>
  </si>
  <si>
    <t>Отвод д. 50 мм</t>
  </si>
  <si>
    <t>Отвод  45 гр., д. 110</t>
  </si>
  <si>
    <t>Отвод  45 гр., д. 50</t>
  </si>
  <si>
    <t>Тройник 88 гр. 110*110</t>
  </si>
  <si>
    <t>Тройник 88 гр. 110*50</t>
  </si>
  <si>
    <t>Тройник 88 гр. 50*50</t>
  </si>
  <si>
    <t>Тройник 45 гр. 110*110</t>
  </si>
  <si>
    <t>Тройник 45 гр. 110*50</t>
  </si>
  <si>
    <t>Крестовина 45 гр. 110*110</t>
  </si>
  <si>
    <t>Монтаж раковины, крана и сифона</t>
  </si>
  <si>
    <t xml:space="preserve">Умывальник фарфоровый с краном и сифоном </t>
  </si>
  <si>
    <t>Монтаж унитаза</t>
  </si>
  <si>
    <t>Унитаз со смывным бачком</t>
  </si>
  <si>
    <t>Манжет гофрированный для подключения унитаза DN110</t>
  </si>
  <si>
    <t>Гибкая подводка ВР-ВР в металлической оплетке для воды 1/2** L=0,5 м</t>
  </si>
  <si>
    <t>Монтаж душевого поддона</t>
  </si>
  <si>
    <t>Поддон душевой 800*800 в комплекте с сифоном</t>
  </si>
  <si>
    <t>Монтаж лючка с прочисткой из ПП и крышкой для скрытой проводки канализационных магистралей DN110</t>
  </si>
  <si>
    <t>Лючок NL 98 HL Hutterer&amp;Lechner</t>
  </si>
  <si>
    <t>Монтаж муфты противопожарной ОГРАКС ПМ-110</t>
  </si>
  <si>
    <t>Муфта противопожарная ОГРАКС ПМ-110</t>
  </si>
  <si>
    <t>Монтаж муфты противопожарной ОГРАКС ПМ-50</t>
  </si>
  <si>
    <t>Муфта противопожарная ОГРАКС ПМ-50</t>
  </si>
  <si>
    <t>Монтаж трапа Ду 50/100 с вертикальным отводом и сухим сифоном</t>
  </si>
  <si>
    <t>Трап  Ду 50/100 с вертикальным отводом и сухим сифоном NL310NPr  Hutterer&amp;Lechner</t>
  </si>
  <si>
    <t xml:space="preserve">Монтаж трапа Ду 50  (без перехода) с горизонтальным отводом и сухим сифоном </t>
  </si>
  <si>
    <t>Трап  Ду 50 с горизонтальным отводом и сухим сифоном NL310NPr  Hutterer&amp;Lechner</t>
  </si>
  <si>
    <t>Монтаж водоотводных лотков</t>
  </si>
  <si>
    <t>компл.</t>
  </si>
  <si>
    <t>Два лотка LT160/1200 мм (Н45-51) из нержав. Стали AISI 304, уклон 5 мм на 1 метр, с одной торцевой крышкой с каждой стороны, с юстировочными опорами,с закладными, с врезкой в централтный трап  TR G с горизонтальным выпуском д. 110 (280*280мм), в комплекте трапа решетка ячеистая (237х237), высота 25 мм, толшина 2 мм, мусоросборник  и гидрозатвор</t>
  </si>
  <si>
    <t>цена под заказ</t>
  </si>
  <si>
    <t>Монтаж гильзы</t>
  </si>
  <si>
    <t>Гильза труба стальная д. 325х5,</t>
  </si>
  <si>
    <t>Монтаж вентиляционных клапанов</t>
  </si>
  <si>
    <t>Вентиляционный клапан DN110 для невентилируемых канализайионных стояков NL900NECO Hutterer&amp;Lechner</t>
  </si>
  <si>
    <t>Вентиляционный клапан DN50 для невентилируемых канализайионных стояков NL904 Hutterer&amp;Lechner</t>
  </si>
  <si>
    <t>Наружная хозяйственно-бытовая канализация К1</t>
  </si>
  <si>
    <t>Разработка грунта вручную под трубопроводы и колодцы</t>
  </si>
  <si>
    <t>Устройство основания под трубопровод</t>
  </si>
  <si>
    <t>Песок крупнозернистый фр. 1-2 мм</t>
  </si>
  <si>
    <t>Монтаж трубы раструбной двухслойной гофрированной НПВХ канализационной Дн160 мм</t>
  </si>
  <si>
    <t>Трубы раструбные двухслойные гофрированные НПВХ канализационные Дн160 мм</t>
  </si>
  <si>
    <t>Опорно-направляющее кольцо тип РА/РЕ 6-75 системы DSI для трубы д. 160</t>
  </si>
  <si>
    <t>Тройник НПВХ Т 160/160</t>
  </si>
  <si>
    <t>Отвод НПВХ О 45 гр. 160</t>
  </si>
  <si>
    <t>Протаскивание трубы через футляр</t>
  </si>
  <si>
    <t>Футляр из трубы стальной электросварной д. 325х6</t>
  </si>
  <si>
    <t>и</t>
  </si>
  <si>
    <t>Щебень</t>
  </si>
  <si>
    <t>Монтаж основания канализационного колодца</t>
  </si>
  <si>
    <t>Монтаж канализационного колодца</t>
  </si>
  <si>
    <t>Канализационное кольцо д. 1000</t>
  </si>
  <si>
    <t>Люк чугунный канализационный тяжелый</t>
  </si>
  <si>
    <t>Муфта защитная (для прохода ч/з ж//б кольца) для НПВХ труб 160 мм</t>
  </si>
  <si>
    <t>ОЗП, МАТ</t>
  </si>
  <si>
    <t>Восстановление асфальтового/бетонного покрытия</t>
  </si>
  <si>
    <t>Восстановление бордюрного камня</t>
  </si>
  <si>
    <t>Хозяйственно-питьевой водопровод В1</t>
  </si>
  <si>
    <t>Прокладка водогазопроводных труб</t>
  </si>
  <si>
    <t>Трубы стальные водогазопроводные оцинкованные обыкновенные 65х4,0</t>
  </si>
  <si>
    <t>Трубы стальные водогазопроводные оцинкованные обыкновенные 50х3,5</t>
  </si>
  <si>
    <t>Трубы стальные водогазопроводные оцинкованные обыкновенные 40х3,5</t>
  </si>
  <si>
    <t>Трубы стальные водогазопроводные оцинкованные обыкновенные 32х3,2</t>
  </si>
  <si>
    <t>Трубы стальные водогазопроводные оцинкованные обыкновенные 25х3,2</t>
  </si>
  <si>
    <t>Трубы стальные водогазопроводные оцинкованные обыкновенные 20х2,8</t>
  </si>
  <si>
    <t>Трубы стальные водогазопроводные оцинкованные обыкновенные 15х2,8</t>
  </si>
  <si>
    <t>Металлический хомут высокой нагрузки с резиновым профилем и гайкой 2 1/2* (74-80) для трубы д. 65  IKA 12065</t>
  </si>
  <si>
    <t>Металлический хомут высокой нагрузки с резиновым профилем и гайкой 2* (59-66) для трубы д. 50  IKA 12050</t>
  </si>
  <si>
    <t>Металлический хомут высокой нагрузки с резиновым профилем и гайкой 1 1/2* (48-53) для трубы д. 40  IKA 12040</t>
  </si>
  <si>
    <t>Металлический хомут высокой нагрузки с резиновым профилем и гайкой 1 1/4* (39-46) для трубы д. 32  IKA 12032</t>
  </si>
  <si>
    <t>Металлический хомут высокой нагрузки с резиновым профилем и гайкой 1* (32-38) для трубы д. 25  IKA 12025</t>
  </si>
  <si>
    <t>Монтаж шпилек резьбовых</t>
  </si>
  <si>
    <t>Шпилька резьбовая М10-1000 (L=1000)</t>
  </si>
  <si>
    <t>Шпилька резьбовая М8-1000 (L=1000)</t>
  </si>
  <si>
    <t>Прокладка полипропиленовых  труб</t>
  </si>
  <si>
    <t>Труба PP-R,PN20  д.32х5,4 Valtec</t>
  </si>
  <si>
    <t>Труба PP-R,PN20  д.25х4,2 Valtec</t>
  </si>
  <si>
    <t>Труба PP-R,PN20  д.20х3,4 Valtec</t>
  </si>
  <si>
    <t>Установки задвижек</t>
  </si>
  <si>
    <t>Задвижка с обрезиненным клином серии KR, Ду 65 мм, Ру16 в комплекте с фланцами, прокладками, крепежом</t>
  </si>
  <si>
    <t>Установка кранов шаровых</t>
  </si>
  <si>
    <t xml:space="preserve">Кран шаровой латунный наружная резьба , DN 32 мм VALTEC </t>
  </si>
  <si>
    <t xml:space="preserve">Кран шаровой латунный наружная резьба , DN 25 мм VALTEC </t>
  </si>
  <si>
    <t xml:space="preserve">Кран шаровой латунный наружная резьба , DN 20 мм VALTEC </t>
  </si>
  <si>
    <t xml:space="preserve">Кран шаровой латунный наружная резьба , DN 15 мм VALTEC </t>
  </si>
  <si>
    <t xml:space="preserve">Кран шаровой угловой наружная резьба , DN 15 мм VALTEC </t>
  </si>
  <si>
    <t>Установка смесителя для ванны</t>
  </si>
  <si>
    <t>Смеситель для ванны, лейка на гибком шланге</t>
  </si>
  <si>
    <t>Установка смесителя для душа настенного</t>
  </si>
  <si>
    <t>Смеситель для душа, лейка на металлической штанге</t>
  </si>
  <si>
    <t>Гибкая подводка ВР-ВР в металлической оплетке для воды 1/2** L=0,8 м</t>
  </si>
  <si>
    <t>Монтаж фитингов</t>
  </si>
  <si>
    <t>Фитинг полипропиленовый с накидной гайкой 25х3/4* VALTEC</t>
  </si>
  <si>
    <t>Фитинг полипропиленовый с накидной гайкой 20х1/2* VALTEC</t>
  </si>
  <si>
    <t>Фитинг полипропиленовый с накидной гайкой 32х1* VALTEC</t>
  </si>
  <si>
    <t>Теплоизоляция из вспененного полиэтилена</t>
  </si>
  <si>
    <t>Теплоизоляция из вспененного полиэтилена b=9 мм, Д внутр.=76 мм Energoflex</t>
  </si>
  <si>
    <t>Теплоизоляция из вспененного полиэтилена b=9 мм, Д внутр.=60 мм Energoflex</t>
  </si>
  <si>
    <t>Теплоизоляция из вспененного полиэтилена b=9 мм, Д внутр.=48 мм Energoflex</t>
  </si>
  <si>
    <t>Теплоизоляция из вспененного полиэтилена b=9 мм, Д внутр.=42 мм Energoflex</t>
  </si>
  <si>
    <t>Теплоизоляция из вспененного полиэтилена b=9 мм, Д внутр.=35 мм Energoflex</t>
  </si>
  <si>
    <t>Теплоизоляция из вспененного полиэтилена b=9 мм, Д внутр.=28 мм Energoflex</t>
  </si>
  <si>
    <t>Установка автоматического воздухоотводчика Ду15 мм</t>
  </si>
  <si>
    <t xml:space="preserve"> Автоматический воздухоотводчик Ду15 мм</t>
  </si>
  <si>
    <t>Горячее водоснабжение (Т3 Т4)</t>
  </si>
  <si>
    <t>Задвижка с обрезиненным клином серии KR, Ду 50 мм, Ру16 в комплекте с фланцами, прокладками, крепежом</t>
  </si>
  <si>
    <t xml:space="preserve">Кран шаровой латунный наружная резьба , DN 40 мм VALTEC </t>
  </si>
  <si>
    <t>Установка фильтра магнитного муфтового</t>
  </si>
  <si>
    <t>Фильтр магнитный муфтовый  ФММ 32</t>
  </si>
  <si>
    <t>Установка балансировочного клапана</t>
  </si>
  <si>
    <t>Балансировочный клапан dn32 pn 16 для горячего водоснабжения марка alwa-kombi -4 в комплекте с терморегулирующим приводом VA 2400B002для диапазона температур 2…130 С.</t>
  </si>
  <si>
    <t>Теплоизоляция из вспененного полиэтилена b13 мм, Д внутр.=60 мм Energoflex</t>
  </si>
  <si>
    <t>Теплоизоляция из вспененного полиэтилена b=13 мм, Д внутр.=48 мм Energoflex</t>
  </si>
  <si>
    <t>Теплоизоляция из вспененного полиэтилена b=13 мм, Д внутр.=42 мм Energoflex</t>
  </si>
  <si>
    <t>Теплоизоляция из вспененного полиэтилена b13 мм, Д внутр.=35 мм Energoflex</t>
  </si>
  <si>
    <t>Теплоизоляция из вспененного полиэтилена b=13 мм, Д внутр.=28 мм Energoflex</t>
  </si>
  <si>
    <t>Монтаж осевых сильфонных компенсаторов</t>
  </si>
  <si>
    <t>Осевой сильфонный компенсатор "Энергия-Аква" Ду50 мм с многослойным сильфоном и декоративно-защитным кожухом</t>
  </si>
  <si>
    <t>Осевой сильфонный компенсатор "Энергия-Аква" Ду32 мм с многослойным сильфоном и декоративно-защитным кожухом</t>
  </si>
  <si>
    <t>Противопожарный водопровод</t>
  </si>
  <si>
    <t>Прокладка труб электросварных д. 108</t>
  </si>
  <si>
    <t>Труба стальная электросварная д. 108х4 прямошовная</t>
  </si>
  <si>
    <t>Металлический хомут высокой нагрузки с резиновым профилем и гайкой 4(108-116) для трубы д. 108</t>
  </si>
  <si>
    <t>Прокладка труб электросварных д. 57</t>
  </si>
  <si>
    <t>Труба стальная электросварная д. 57х3 прямошовная</t>
  </si>
  <si>
    <t>Металлический хомут высокой нагрузки с резиновым профилем и гайкой  2(59-66) для трубы д. 57</t>
  </si>
  <si>
    <t>Задвижка с обрезиненным клином серии KR, Ду 100 мм, Ру16 в комплекте с фланцами, прокладками, крепежом</t>
  </si>
  <si>
    <t>Монтаж пожарного шкафа</t>
  </si>
  <si>
    <t>Шкаф пожарный металлический навесной закрытый красный для ПК и огнетушителя</t>
  </si>
  <si>
    <t>Установка чугунного клапана</t>
  </si>
  <si>
    <t>Клапан чугунный угловой 125 гр. С муфтой и контргайкой Ру 1, Мпа, Ду 50 мм РПТК 50</t>
  </si>
  <si>
    <t>Головка цапковая Ру 1,2 Мпа, Ду 50 мм</t>
  </si>
  <si>
    <t>Ствол пожарный ручной (д.16) ГС-50</t>
  </si>
  <si>
    <t>Рукав пожарный напорный "Универсал" для пожарного крана Ру 1,2 Мпа, L=20 м, Ду 50 мм</t>
  </si>
  <si>
    <t>Огнетушитель углекислотный вместимостью баллона 2,9 л, масса заряда до 2 кг</t>
  </si>
  <si>
    <t>Монтаж конструкции из уголка 50*50*5</t>
  </si>
  <si>
    <t>Уголок 50*50*5</t>
  </si>
  <si>
    <t>Покраска труб стальных</t>
  </si>
  <si>
    <t>Краска масляная</t>
  </si>
  <si>
    <t>Стоимость выполняемых работ</t>
  </si>
  <si>
    <t>Организация работы, транспортные без подъема и подвоза групногабаритных материалов, закупка материалов</t>
  </si>
  <si>
    <t>%</t>
  </si>
  <si>
    <t>Инженерно-технический работник</t>
  </si>
  <si>
    <t>Ежедневная уборка помещений, перенос материалов и оборудования на площадке, организация мест складирования, подсобные работы, разгрузка материалов</t>
  </si>
  <si>
    <t>кол-во по факту</t>
  </si>
  <si>
    <t>Расходные материалы (туры, стремянки, шурупы, клипсы, шпатели, мешки, перчатки, кисточки, валики, кюветы)</t>
  </si>
  <si>
    <t>Вывоз строительного мусора (аренда контейнера)</t>
  </si>
  <si>
    <t>Погрузка, уборка и вынос мусора</t>
  </si>
  <si>
    <t xml:space="preserve">Подготовка помещения к строительным работам </t>
  </si>
  <si>
    <t>помещ.</t>
  </si>
  <si>
    <t>по факту</t>
  </si>
  <si>
    <t>Транпортные, заготовительские, складские расходы, зароботная плата ИТР, оплата праздничных и выходных дней в данном коммерческом предложении не учтены, так как расчет был произведен согласно ТЗ заказчика.</t>
  </si>
  <si>
    <t>Генеральный директор ООО «СК Яуза»</t>
  </si>
  <si>
    <t>Косарев Ю.С.</t>
  </si>
  <si>
    <t xml:space="preserve">(должность) </t>
  </si>
  <si>
    <t>(подпись)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</si>
</sst>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₽&quot;"/>
    <numFmt numFmtId="165" formatCode="0.0"/>
  </numFmts>
  <fonts count="16">
    <font>
      <sz val="11.0"/>
      <color theme="1"/>
      <name val="Calibri"/>
      <scheme val="minor"/>
    </font>
    <font>
      <sz val="11.0"/>
      <color theme="1"/>
      <name val="Times New Roman"/>
    </font>
    <font>
      <b/>
      <sz val="18.0"/>
      <color theme="1"/>
      <name val="Times New Roman"/>
    </font>
    <font>
      <b/>
      <sz val="14.0"/>
      <color theme="1"/>
      <name val="Times New Roman"/>
    </font>
    <font>
      <b/>
      <sz val="36.0"/>
      <color theme="1"/>
      <name val="Times New Roman"/>
    </font>
    <font>
      <sz val="14.0"/>
      <color theme="1"/>
      <name val="Times New Roman"/>
    </font>
    <font/>
    <font>
      <b/>
      <sz val="20.0"/>
      <color theme="1"/>
      <name val="Times New Roman"/>
    </font>
    <font>
      <sz val="12.0"/>
      <color rgb="FF000000"/>
      <name val="Times New Roman"/>
    </font>
    <font>
      <sz val="14.0"/>
      <color rgb="FFFF0000"/>
      <name val="Times New Roman"/>
    </font>
    <font>
      <b/>
      <sz val="14.0"/>
      <color rgb="FFFF0000"/>
      <name val="Times New Roman"/>
    </font>
    <font>
      <b/>
      <sz val="12.0"/>
      <color rgb="FF000000"/>
      <name val="Times New Roman"/>
    </font>
    <font>
      <b/>
      <sz val="18.0"/>
      <color rgb="FF000000"/>
      <name val="Times New Roman"/>
    </font>
    <font>
      <sz val="14.0"/>
      <color rgb="FF000000"/>
      <name val="Times New Roman"/>
    </font>
    <font>
      <sz val="18.0"/>
      <color rgb="FF000000"/>
      <name val="Times New Roman"/>
    </font>
    <font>
      <sz val="20.0"/>
      <color rgb="FFFF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" xfId="0" applyFont="1" applyNumberFormat="1"/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0" fillId="0" fontId="4" numFmtId="0" xfId="0" applyAlignment="1" applyFont="1">
      <alignment horizontal="center" shrinkToFit="0" vertical="center" wrapText="1"/>
    </xf>
    <xf borderId="0" fillId="0" fontId="5" numFmtId="0" xfId="0" applyFont="1"/>
    <xf borderId="0" fillId="0" fontId="5" numFmtId="4" xfId="0" applyFont="1" applyNumberFormat="1"/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3" numFmtId="4" xfId="0" applyAlignment="1" applyBorder="1" applyFont="1" applyNumberFormat="1">
      <alignment horizontal="center" shrinkToFit="0" vertical="center" wrapText="1"/>
    </xf>
    <xf borderId="2" fillId="0" fontId="6" numFmtId="0" xfId="0" applyBorder="1" applyFont="1"/>
    <xf borderId="3" fillId="0" fontId="5" numFmtId="0" xfId="0" applyAlignment="1" applyBorder="1" applyFont="1">
      <alignment horizontal="center" vertical="center"/>
    </xf>
    <xf borderId="3" fillId="0" fontId="5" numFmtId="1" xfId="0" applyAlignment="1" applyBorder="1" applyFont="1" applyNumberFormat="1">
      <alignment horizontal="center" vertical="center"/>
    </xf>
    <xf borderId="4" fillId="0" fontId="2" numFmtId="0" xfId="0" applyAlignment="1" applyBorder="1" applyFont="1">
      <alignment horizontal="center" vertical="center"/>
    </xf>
    <xf borderId="5" fillId="0" fontId="6" numFmtId="0" xfId="0" applyBorder="1" applyFont="1"/>
    <xf borderId="6" fillId="0" fontId="6" numFmtId="0" xfId="0" applyBorder="1" applyFont="1"/>
    <xf borderId="3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3" fillId="0" fontId="5" numFmtId="164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/>
    </xf>
    <xf borderId="3" fillId="0" fontId="3" numFmtId="49" xfId="0" applyAlignment="1" applyBorder="1" applyFont="1" applyNumberFormat="1">
      <alignment horizontal="left" shrinkToFit="0" wrapText="1"/>
    </xf>
    <xf borderId="3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/>
    </xf>
    <xf borderId="3" fillId="0" fontId="5" numFmtId="4" xfId="0" applyAlignment="1" applyBorder="1" applyFont="1" applyNumberFormat="1">
      <alignment horizontal="center" shrinkToFit="0" wrapText="1"/>
    </xf>
    <xf borderId="4" fillId="0" fontId="5" numFmtId="0" xfId="0" applyAlignment="1" applyBorder="1" applyFont="1">
      <alignment horizontal="right" shrinkToFit="0" vertical="center" wrapText="1"/>
    </xf>
    <xf borderId="3" fillId="0" fontId="3" numFmtId="164" xfId="0" applyAlignment="1" applyBorder="1" applyFont="1" applyNumberFormat="1">
      <alignment horizontal="center" vertical="center"/>
    </xf>
    <xf borderId="4" fillId="0" fontId="7" numFmtId="0" xfId="0" applyAlignment="1" applyBorder="1" applyFont="1">
      <alignment horizontal="center" vertical="center"/>
    </xf>
    <xf borderId="3" fillId="0" fontId="5" numFmtId="164" xfId="0" applyAlignment="1" applyBorder="1" applyFont="1" applyNumberFormat="1">
      <alignment horizontal="center" shrinkToFit="0" wrapText="1"/>
    </xf>
    <xf borderId="3" fillId="0" fontId="5" numFmtId="49" xfId="0" applyAlignment="1" applyBorder="1" applyFont="1" applyNumberFormat="1">
      <alignment horizontal="left" shrinkToFit="0" wrapText="1"/>
    </xf>
    <xf borderId="4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/>
    </xf>
    <xf borderId="5" fillId="0" fontId="3" numFmtId="49" xfId="0" applyAlignment="1" applyBorder="1" applyFont="1" applyNumberFormat="1">
      <alignment horizontal="left" shrinkToFit="0" wrapText="1"/>
    </xf>
    <xf borderId="5" fillId="0" fontId="5" numFmtId="0" xfId="0" applyAlignment="1" applyBorder="1" applyFont="1">
      <alignment horizontal="center" shrinkToFit="0" wrapText="1"/>
    </xf>
    <xf borderId="5" fillId="0" fontId="5" numFmtId="4" xfId="0" applyAlignment="1" applyBorder="1" applyFont="1" applyNumberFormat="1">
      <alignment horizontal="center" shrinkToFit="0" wrapText="1"/>
    </xf>
    <xf borderId="3" fillId="0" fontId="3" numFmtId="164" xfId="0" applyAlignment="1" applyBorder="1" applyFont="1" applyNumberFormat="1">
      <alignment horizontal="center" shrinkToFit="0" wrapText="1"/>
    </xf>
    <xf borderId="3" fillId="0" fontId="5" numFmtId="1" xfId="0" applyAlignment="1" applyBorder="1" applyFont="1" applyNumberFormat="1">
      <alignment horizontal="center"/>
    </xf>
    <xf borderId="5" fillId="0" fontId="5" numFmtId="1" xfId="0" applyAlignment="1" applyBorder="1" applyFont="1" applyNumberFormat="1">
      <alignment horizontal="center"/>
    </xf>
    <xf borderId="3" fillId="0" fontId="3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/>
    </xf>
    <xf borderId="3" fillId="0" fontId="5" numFmtId="165" xfId="0" applyAlignment="1" applyBorder="1" applyFont="1" applyNumberFormat="1">
      <alignment horizontal="center"/>
    </xf>
    <xf borderId="3" fillId="0" fontId="5" numFmtId="2" xfId="0" applyAlignment="1" applyBorder="1" applyFont="1" applyNumberFormat="1">
      <alignment horizontal="center"/>
    </xf>
    <xf borderId="3" fillId="0" fontId="3" numFmtId="0" xfId="0" applyAlignment="1" applyBorder="1" applyFont="1">
      <alignment horizontal="center" shrinkToFit="0" wrapText="1"/>
    </xf>
    <xf borderId="0" fillId="0" fontId="9" numFmtId="0" xfId="0" applyFont="1"/>
    <xf borderId="3" fillId="0" fontId="3" numFmtId="0" xfId="0" applyAlignment="1" applyBorder="1" applyFont="1">
      <alignment horizontal="left" shrinkToFit="0" wrapText="1"/>
    </xf>
    <xf borderId="0" fillId="0" fontId="5" numFmtId="0" xfId="0" applyAlignment="1" applyFont="1">
      <alignment vertical="center"/>
    </xf>
    <xf borderId="4" fillId="0" fontId="5" numFmtId="0" xfId="0" applyAlignment="1" applyBorder="1" applyFont="1">
      <alignment horizontal="right" vertical="center"/>
    </xf>
    <xf borderId="4" fillId="0" fontId="3" numFmtId="0" xfId="0" applyAlignment="1" applyBorder="1" applyFont="1">
      <alignment horizontal="right" shrinkToFit="0" vertical="center" wrapText="1"/>
    </xf>
    <xf borderId="3" fillId="2" fontId="3" numFmtId="4" xfId="0" applyAlignment="1" applyBorder="1" applyFill="1" applyFont="1" applyNumberFormat="1">
      <alignment horizontal="center" shrinkToFit="0" wrapText="1"/>
    </xf>
    <xf borderId="4" fillId="2" fontId="2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right" shrinkToFit="0" vertical="center" wrapText="1"/>
    </xf>
    <xf borderId="4" fillId="2" fontId="3" numFmtId="0" xfId="0" applyAlignment="1" applyBorder="1" applyFont="1">
      <alignment horizontal="right" shrinkToFit="0" vertical="center" wrapText="1"/>
    </xf>
    <xf borderId="3" fillId="0" fontId="3" numFmtId="4" xfId="0" applyAlignment="1" applyBorder="1" applyFont="1" applyNumberFormat="1">
      <alignment horizontal="center" shrinkToFit="0" wrapText="1"/>
    </xf>
    <xf borderId="4" fillId="2" fontId="5" numFmtId="0" xfId="0" applyAlignment="1" applyBorder="1" applyFont="1">
      <alignment horizontal="center" shrinkToFit="0" vertical="center" wrapText="1"/>
    </xf>
    <xf borderId="3" fillId="0" fontId="10" numFmtId="4" xfId="0" applyAlignment="1" applyBorder="1" applyFont="1" applyNumberFormat="1">
      <alignment horizontal="center" shrinkToFit="0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" xfId="0" applyAlignment="1" applyBorder="1" applyFont="1" applyNumberFormat="1">
      <alignment horizontal="center" shrinkToFit="0" vertical="center" wrapText="1"/>
    </xf>
    <xf borderId="3" fillId="0" fontId="3" numFmtId="164" xfId="0" applyAlignment="1" applyBorder="1" applyFont="1" applyNumberFormat="1">
      <alignment horizontal="center" shrinkToFit="0" vertical="center" wrapText="1"/>
    </xf>
    <xf borderId="7" fillId="2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5" numFmtId="4" xfId="0" applyAlignment="1" applyFont="1" applyNumberFormat="1">
      <alignment horizontal="center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11" numFmtId="0" xfId="0" applyAlignment="1" applyFont="1">
      <alignment horizontal="center" shrinkToFit="0" vertical="center" wrapText="1"/>
    </xf>
    <xf borderId="8" fillId="0" fontId="12" numFmtId="0" xfId="0" applyAlignment="1" applyBorder="1" applyFont="1">
      <alignment shrinkToFit="0" vertical="center" wrapText="1"/>
    </xf>
    <xf borderId="0" fillId="0" fontId="2" numFmtId="0" xfId="0" applyAlignment="1" applyFont="1">
      <alignment horizontal="center" vertical="center"/>
    </xf>
    <xf borderId="0" fillId="0" fontId="13" numFmtId="0" xfId="0" applyAlignment="1" applyFont="1">
      <alignment horizontal="center" shrinkToFit="0" vertical="center" wrapText="1"/>
    </xf>
    <xf borderId="0" fillId="0" fontId="2" numFmtId="0" xfId="0" applyFont="1"/>
    <xf borderId="0" fillId="0" fontId="14" numFmtId="0" xfId="0" applyAlignment="1" applyFont="1">
      <alignment shrinkToFit="0" vertical="center" wrapText="1"/>
    </xf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590550</xdr:colOff>
      <xdr:row>0</xdr:row>
      <xdr:rowOff>0</xdr:rowOff>
    </xdr:from>
    <xdr:ext cx="2066925" cy="2057400"/>
    <xdr:grpSp>
      <xdr:nvGrpSpPr>
        <xdr:cNvPr id="2" name="Shape 2"/>
        <xdr:cNvGrpSpPr/>
      </xdr:nvGrpSpPr>
      <xdr:grpSpPr>
        <a:xfrm>
          <a:off x="4312538" y="2751300"/>
          <a:ext cx="2066925" cy="2057400"/>
          <a:chOff x="4312538" y="2751300"/>
          <a:chExt cx="2066925" cy="2057400"/>
        </a:xfrm>
      </xdr:grpSpPr>
      <xdr:grpSp>
        <xdr:nvGrpSpPr>
          <xdr:cNvPr id="3" name="Shape 3" title="Рисунок"/>
          <xdr:cNvGrpSpPr/>
        </xdr:nvGrpSpPr>
        <xdr:grpSpPr>
          <a:xfrm>
            <a:off x="4312538" y="2751300"/>
            <a:ext cx="2066925" cy="2057400"/>
            <a:chOff x="4312538" y="2751300"/>
            <a:chExt cx="2066925" cy="2057400"/>
          </a:xfrm>
        </xdr:grpSpPr>
        <xdr:sp>
          <xdr:nvSpPr>
            <xdr:cNvPr id="4" name="Shape 4"/>
            <xdr:cNvSpPr/>
          </xdr:nvSpPr>
          <xdr:spPr>
            <a:xfrm>
              <a:off x="4312538" y="2751300"/>
              <a:ext cx="2066925" cy="20574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 title="Рисунок"/>
            <xdr:cNvGrpSpPr/>
          </xdr:nvGrpSpPr>
          <xdr:grpSpPr>
            <a:xfrm>
              <a:off x="4312538" y="2751300"/>
              <a:ext cx="2066925" cy="2057400"/>
              <a:chOff x="152400" y="152400"/>
              <a:chExt cx="3524250" cy="3514725"/>
            </a:xfrm>
          </xdr:grpSpPr>
          <xdr:sp>
            <xdr:nvSpPr>
              <xdr:cNvPr id="6" name="Shape 6"/>
              <xdr:cNvSpPr/>
            </xdr:nvSpPr>
            <xdr:spPr>
              <a:xfrm>
                <a:off x="152400" y="152400"/>
                <a:ext cx="3524250" cy="35147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7" name="Shape 7"/>
              <xdr:cNvPicPr preferRelativeResize="0"/>
            </xdr:nvPicPr>
            <xdr:blipFill rotWithShape="1">
              <a:blip r:embed="rId1">
                <a:alphaModFix/>
              </a:blip>
              <a:srcRect b="0" l="0" r="0" t="0"/>
              <a:stretch/>
            </xdr:blipFill>
            <xdr:spPr>
              <a:xfrm>
                <a:off x="152400" y="152400"/>
                <a:ext cx="3524250" cy="3514725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28.29"/>
    <col customWidth="1" min="3" max="3" width="50.57"/>
    <col customWidth="1" min="4" max="4" width="23.0"/>
    <col customWidth="1" min="5" max="5" width="19.57"/>
    <col customWidth="1" min="6" max="6" width="17.71"/>
    <col customWidth="1" min="7" max="7" width="25.71"/>
    <col customWidth="1" min="8" max="8" width="9.14"/>
    <col customWidth="1" min="9" max="26" width="8.71"/>
  </cols>
  <sheetData>
    <row r="1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0</v>
      </c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5" t="s">
        <v>1</v>
      </c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65.25" customHeight="1">
      <c r="A9" s="6" t="s">
        <v>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31.5" customHeight="1">
      <c r="A10" s="4" t="s">
        <v>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7"/>
      <c r="C11" s="7"/>
      <c r="D11" s="7"/>
      <c r="E11" s="7"/>
      <c r="F11" s="8"/>
      <c r="G11" s="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9" t="s">
        <v>4</v>
      </c>
      <c r="B12" s="9" t="s">
        <v>5</v>
      </c>
      <c r="C12" s="10" t="s">
        <v>6</v>
      </c>
      <c r="D12" s="9" t="s">
        <v>7</v>
      </c>
      <c r="E12" s="9" t="s">
        <v>8</v>
      </c>
      <c r="F12" s="11" t="s">
        <v>9</v>
      </c>
      <c r="G12" s="11" t="s">
        <v>10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12"/>
      <c r="B13" s="12"/>
      <c r="C13" s="12"/>
      <c r="D13" s="12"/>
      <c r="E13" s="12"/>
      <c r="F13" s="12"/>
      <c r="G13" s="1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13">
        <v>1.0</v>
      </c>
      <c r="B14" s="13">
        <v>2.0</v>
      </c>
      <c r="C14" s="13">
        <v>6.0</v>
      </c>
      <c r="D14" s="13">
        <v>13.0</v>
      </c>
      <c r="E14" s="13">
        <v>7.0</v>
      </c>
      <c r="F14" s="14">
        <v>8.0</v>
      </c>
      <c r="G14" s="14">
        <v>9.0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15" t="s">
        <v>11</v>
      </c>
      <c r="B15" s="16"/>
      <c r="C15" s="16"/>
      <c r="D15" s="16"/>
      <c r="E15" s="16"/>
      <c r="F15" s="16"/>
      <c r="G15" s="1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13">
        <v>1.0</v>
      </c>
      <c r="B16" s="18" t="s">
        <v>12</v>
      </c>
      <c r="C16" s="19" t="s">
        <v>13</v>
      </c>
      <c r="D16" s="13" t="s">
        <v>14</v>
      </c>
      <c r="E16" s="13">
        <v>0.44</v>
      </c>
      <c r="F16" s="14">
        <v>35088.94</v>
      </c>
      <c r="G16" s="20">
        <f t="shared" ref="G16:G18" si="1">F16*E16</f>
        <v>15439.1336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13">
        <f t="shared" ref="A17:A18" si="2">A16+1</f>
        <v>2</v>
      </c>
      <c r="B17" s="21" t="s">
        <v>12</v>
      </c>
      <c r="C17" s="22" t="s">
        <v>15</v>
      </c>
      <c r="D17" s="23" t="s">
        <v>16</v>
      </c>
      <c r="E17" s="24">
        <v>2.0</v>
      </c>
      <c r="F17" s="25">
        <v>5000.0</v>
      </c>
      <c r="G17" s="20">
        <f t="shared" si="1"/>
        <v>10000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13">
        <f t="shared" si="2"/>
        <v>3</v>
      </c>
      <c r="B18" s="21" t="s">
        <v>12</v>
      </c>
      <c r="C18" s="22" t="s">
        <v>17</v>
      </c>
      <c r="D18" s="23" t="s">
        <v>16</v>
      </c>
      <c r="E18" s="24">
        <v>1.0</v>
      </c>
      <c r="F18" s="25">
        <v>15000.0</v>
      </c>
      <c r="G18" s="20">
        <f t="shared" si="1"/>
        <v>15000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26" t="s">
        <v>18</v>
      </c>
      <c r="B19" s="16"/>
      <c r="C19" s="16"/>
      <c r="D19" s="16"/>
      <c r="E19" s="16"/>
      <c r="F19" s="17"/>
      <c r="G19" s="27">
        <f>SUM(G16:G18)</f>
        <v>40439.1336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13"/>
      <c r="B20" s="28" t="s">
        <v>19</v>
      </c>
      <c r="C20" s="16"/>
      <c r="D20" s="16"/>
      <c r="E20" s="16"/>
      <c r="F20" s="16"/>
      <c r="G20" s="1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36.75" customHeight="1">
      <c r="A21" s="13">
        <f>A18+1</f>
        <v>4</v>
      </c>
      <c r="B21" s="21" t="s">
        <v>12</v>
      </c>
      <c r="C21" s="22" t="s">
        <v>20</v>
      </c>
      <c r="D21" s="23" t="s">
        <v>14</v>
      </c>
      <c r="E21" s="24">
        <v>14.26</v>
      </c>
      <c r="F21" s="25">
        <v>60000.0</v>
      </c>
      <c r="G21" s="29">
        <f t="shared" ref="G21:G26" si="3">F21*E21</f>
        <v>855600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13">
        <f t="shared" ref="A22:A26" si="4">A21+1</f>
        <v>5</v>
      </c>
      <c r="B22" s="24" t="s">
        <v>21</v>
      </c>
      <c r="C22" s="30" t="s">
        <v>22</v>
      </c>
      <c r="D22" s="23" t="s">
        <v>14</v>
      </c>
      <c r="E22" s="24">
        <v>9.25</v>
      </c>
      <c r="F22" s="25">
        <v>85000.0</v>
      </c>
      <c r="G22" s="29">
        <f t="shared" si="3"/>
        <v>786250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13">
        <f t="shared" si="4"/>
        <v>6</v>
      </c>
      <c r="B23" s="24" t="s">
        <v>21</v>
      </c>
      <c r="C23" s="30" t="s">
        <v>23</v>
      </c>
      <c r="D23" s="23" t="s">
        <v>14</v>
      </c>
      <c r="E23" s="24">
        <v>3.0</v>
      </c>
      <c r="F23" s="25">
        <v>85000.0</v>
      </c>
      <c r="G23" s="29">
        <f t="shared" si="3"/>
        <v>255000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13">
        <f t="shared" si="4"/>
        <v>7</v>
      </c>
      <c r="B24" s="24" t="s">
        <v>21</v>
      </c>
      <c r="C24" s="30" t="s">
        <v>24</v>
      </c>
      <c r="D24" s="23" t="s">
        <v>14</v>
      </c>
      <c r="E24" s="24">
        <v>2.01</v>
      </c>
      <c r="F24" s="25">
        <v>150000.0</v>
      </c>
      <c r="G24" s="29">
        <f t="shared" si="3"/>
        <v>301500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13">
        <f t="shared" si="4"/>
        <v>8</v>
      </c>
      <c r="B25" s="21" t="s">
        <v>12</v>
      </c>
      <c r="C25" s="22" t="s">
        <v>25</v>
      </c>
      <c r="D25" s="23" t="s">
        <v>14</v>
      </c>
      <c r="E25" s="24">
        <v>0.88</v>
      </c>
      <c r="F25" s="25">
        <v>86622.86</v>
      </c>
      <c r="G25" s="29">
        <f t="shared" si="3"/>
        <v>76228.1168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13">
        <f t="shared" si="4"/>
        <v>9</v>
      </c>
      <c r="B26" s="24" t="s">
        <v>21</v>
      </c>
      <c r="C26" s="30" t="s">
        <v>22</v>
      </c>
      <c r="D26" s="23" t="s">
        <v>14</v>
      </c>
      <c r="E26" s="24">
        <v>0.88</v>
      </c>
      <c r="F26" s="25">
        <v>85000.0</v>
      </c>
      <c r="G26" s="29">
        <f t="shared" si="3"/>
        <v>74800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31"/>
      <c r="B27" s="32"/>
      <c r="C27" s="33"/>
      <c r="D27" s="34"/>
      <c r="E27" s="32"/>
      <c r="F27" s="35" t="s">
        <v>18</v>
      </c>
      <c r="G27" s="36">
        <f>SUM(G21:G26)</f>
        <v>2349378.117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15" t="s">
        <v>26</v>
      </c>
      <c r="B28" s="16"/>
      <c r="C28" s="16"/>
      <c r="D28" s="16"/>
      <c r="E28" s="16"/>
      <c r="F28" s="16"/>
      <c r="G28" s="1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9.0" customHeight="1">
      <c r="A29" s="13">
        <f>A26+1</f>
        <v>10</v>
      </c>
      <c r="B29" s="21" t="s">
        <v>12</v>
      </c>
      <c r="C29" s="22" t="s">
        <v>27</v>
      </c>
      <c r="D29" s="23" t="s">
        <v>28</v>
      </c>
      <c r="E29" s="24">
        <v>439.29</v>
      </c>
      <c r="F29" s="25">
        <v>250.0</v>
      </c>
      <c r="G29" s="29">
        <f t="shared" ref="G29:G32" si="5">F29*E29</f>
        <v>109822.5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13">
        <f t="shared" ref="A30:A32" si="6">A29+1</f>
        <v>11</v>
      </c>
      <c r="B30" s="24" t="s">
        <v>21</v>
      </c>
      <c r="C30" s="30" t="s">
        <v>29</v>
      </c>
      <c r="D30" s="23" t="s">
        <v>30</v>
      </c>
      <c r="E30" s="37">
        <f>E29*0.167</f>
        <v>73.36143</v>
      </c>
      <c r="F30" s="25">
        <v>200.0</v>
      </c>
      <c r="G30" s="29">
        <f t="shared" si="5"/>
        <v>14672.286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13">
        <f t="shared" si="6"/>
        <v>12</v>
      </c>
      <c r="B31" s="21" t="s">
        <v>12</v>
      </c>
      <c r="C31" s="22" t="s">
        <v>31</v>
      </c>
      <c r="D31" s="23" t="s">
        <v>28</v>
      </c>
      <c r="E31" s="24">
        <v>439.29</v>
      </c>
      <c r="F31" s="25">
        <v>1786.06</v>
      </c>
      <c r="G31" s="29">
        <f t="shared" si="5"/>
        <v>784598.2974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13">
        <f t="shared" si="6"/>
        <v>13</v>
      </c>
      <c r="B32" s="24" t="s">
        <v>21</v>
      </c>
      <c r="C32" s="30" t="s">
        <v>32</v>
      </c>
      <c r="D32" s="23" t="s">
        <v>30</v>
      </c>
      <c r="E32" s="37">
        <v>73.361</v>
      </c>
      <c r="F32" s="25">
        <v>800.0</v>
      </c>
      <c r="G32" s="29">
        <f t="shared" si="5"/>
        <v>58688.8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31"/>
      <c r="B33" s="32"/>
      <c r="C33" s="33"/>
      <c r="D33" s="34"/>
      <c r="E33" s="38"/>
      <c r="F33" s="35" t="s">
        <v>18</v>
      </c>
      <c r="G33" s="36">
        <f>SUM(G29:G32)</f>
        <v>967781.8834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15" t="s">
        <v>33</v>
      </c>
      <c r="B34" s="16"/>
      <c r="C34" s="16"/>
      <c r="D34" s="16"/>
      <c r="E34" s="16"/>
      <c r="F34" s="16"/>
      <c r="G34" s="1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13">
        <f>A32+1</f>
        <v>14</v>
      </c>
      <c r="B35" s="21" t="s">
        <v>12</v>
      </c>
      <c r="C35" s="22" t="s">
        <v>34</v>
      </c>
      <c r="D35" s="23" t="s">
        <v>16</v>
      </c>
      <c r="E35" s="24">
        <f t="shared" ref="E35:E36" si="7">71+420+260</f>
        <v>751</v>
      </c>
      <c r="F35" s="25">
        <v>350.0</v>
      </c>
      <c r="G35" s="29">
        <f t="shared" ref="G35:G40" si="8">F35*E35</f>
        <v>262850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13">
        <f t="shared" ref="A36:A40" si="9">A35+1</f>
        <v>15</v>
      </c>
      <c r="B36" s="21" t="s">
        <v>12</v>
      </c>
      <c r="C36" s="22" t="s">
        <v>35</v>
      </c>
      <c r="D36" s="23" t="s">
        <v>16</v>
      </c>
      <c r="E36" s="24">
        <f t="shared" si="7"/>
        <v>751</v>
      </c>
      <c r="F36" s="25">
        <v>550.0</v>
      </c>
      <c r="G36" s="29">
        <f t="shared" si="8"/>
        <v>413050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22.5" customHeight="1">
      <c r="A37" s="13">
        <f t="shared" si="9"/>
        <v>16</v>
      </c>
      <c r="B37" s="24" t="s">
        <v>21</v>
      </c>
      <c r="C37" s="30" t="s">
        <v>36</v>
      </c>
      <c r="D37" s="23" t="s">
        <v>16</v>
      </c>
      <c r="E37" s="24">
        <v>71.0</v>
      </c>
      <c r="F37" s="25">
        <f>110+1300</f>
        <v>1410</v>
      </c>
      <c r="G37" s="29">
        <f t="shared" si="8"/>
        <v>100110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25.5" customHeight="1">
      <c r="A38" s="13">
        <f t="shared" si="9"/>
        <v>17</v>
      </c>
      <c r="B38" s="24" t="s">
        <v>21</v>
      </c>
      <c r="C38" s="30" t="s">
        <v>37</v>
      </c>
      <c r="D38" s="23" t="s">
        <v>16</v>
      </c>
      <c r="E38" s="24">
        <v>420.0</v>
      </c>
      <c r="F38" s="25">
        <v>310.0</v>
      </c>
      <c r="G38" s="29">
        <f t="shared" si="8"/>
        <v>130200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21.75" customHeight="1">
      <c r="A39" s="13">
        <f t="shared" si="9"/>
        <v>18</v>
      </c>
      <c r="B39" s="24" t="s">
        <v>21</v>
      </c>
      <c r="C39" s="30" t="s">
        <v>38</v>
      </c>
      <c r="D39" s="23" t="s">
        <v>16</v>
      </c>
      <c r="E39" s="24">
        <v>260.0</v>
      </c>
      <c r="F39" s="25">
        <v>230.0</v>
      </c>
      <c r="G39" s="29">
        <f t="shared" si="8"/>
        <v>59800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13">
        <f t="shared" si="9"/>
        <v>19</v>
      </c>
      <c r="B40" s="24" t="s">
        <v>21</v>
      </c>
      <c r="C40" s="30" t="s">
        <v>39</v>
      </c>
      <c r="D40" s="23" t="s">
        <v>16</v>
      </c>
      <c r="E40" s="24">
        <v>140.0</v>
      </c>
      <c r="F40" s="25">
        <v>105.0</v>
      </c>
      <c r="G40" s="29">
        <f t="shared" si="8"/>
        <v>14700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31"/>
      <c r="B41" s="32"/>
      <c r="C41" s="33"/>
      <c r="D41" s="34"/>
      <c r="E41" s="32"/>
      <c r="F41" s="35" t="s">
        <v>18</v>
      </c>
      <c r="G41" s="36">
        <f>SUM(G35:G40)</f>
        <v>980710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15" t="s">
        <v>40</v>
      </c>
      <c r="B42" s="16"/>
      <c r="C42" s="16"/>
      <c r="D42" s="16"/>
      <c r="E42" s="16"/>
      <c r="F42" s="16"/>
      <c r="G42" s="1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13">
        <f>A40+1</f>
        <v>20</v>
      </c>
      <c r="B43" s="21" t="s">
        <v>12</v>
      </c>
      <c r="C43" s="22" t="s">
        <v>41</v>
      </c>
      <c r="D43" s="23" t="s">
        <v>14</v>
      </c>
      <c r="E43" s="24">
        <v>0.3</v>
      </c>
      <c r="F43" s="25">
        <v>35088.94</v>
      </c>
      <c r="G43" s="29">
        <f>F43*E43</f>
        <v>10526.682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31"/>
      <c r="B44" s="32"/>
      <c r="C44" s="33"/>
      <c r="D44" s="34"/>
      <c r="E44" s="32"/>
      <c r="F44" s="35" t="s">
        <v>18</v>
      </c>
      <c r="G44" s="36">
        <f>G43</f>
        <v>10526.682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15" t="s">
        <v>42</v>
      </c>
      <c r="B45" s="16"/>
      <c r="C45" s="16"/>
      <c r="D45" s="16"/>
      <c r="E45" s="16"/>
      <c r="F45" s="16"/>
      <c r="G45" s="1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13">
        <f>A43+1</f>
        <v>21</v>
      </c>
      <c r="B46" s="21" t="s">
        <v>12</v>
      </c>
      <c r="C46" s="39" t="s">
        <v>43</v>
      </c>
      <c r="D46" s="23" t="s">
        <v>28</v>
      </c>
      <c r="E46" s="24">
        <v>2296.2</v>
      </c>
      <c r="F46" s="25">
        <v>2400.0</v>
      </c>
      <c r="G46" s="29">
        <f t="shared" ref="G46:G70" si="10">F46*E46</f>
        <v>5510880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13">
        <f t="shared" ref="A47:A70" si="11">A46+1</f>
        <v>22</v>
      </c>
      <c r="B47" s="24" t="s">
        <v>21</v>
      </c>
      <c r="C47" s="40" t="s">
        <v>44</v>
      </c>
      <c r="D47" s="23" t="s">
        <v>28</v>
      </c>
      <c r="E47" s="24">
        <f>2296.2*1.05</f>
        <v>2411.01</v>
      </c>
      <c r="F47" s="25">
        <v>4900.0</v>
      </c>
      <c r="G47" s="29">
        <f t="shared" si="10"/>
        <v>11813949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13">
        <f t="shared" si="11"/>
        <v>23</v>
      </c>
      <c r="B48" s="21" t="s">
        <v>12</v>
      </c>
      <c r="C48" s="22" t="s">
        <v>45</v>
      </c>
      <c r="D48" s="23" t="s">
        <v>28</v>
      </c>
      <c r="E48" s="24">
        <v>422.6</v>
      </c>
      <c r="F48" s="25">
        <v>1334.76</v>
      </c>
      <c r="G48" s="29">
        <f t="shared" si="10"/>
        <v>564069.576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13">
        <f t="shared" si="11"/>
        <v>24</v>
      </c>
      <c r="B49" s="24" t="s">
        <v>21</v>
      </c>
      <c r="C49" s="30" t="s">
        <v>46</v>
      </c>
      <c r="D49" s="23" t="s">
        <v>28</v>
      </c>
      <c r="E49" s="24">
        <f>422.6*1.05</f>
        <v>443.73</v>
      </c>
      <c r="F49" s="25">
        <v>720.0</v>
      </c>
      <c r="G49" s="29">
        <f t="shared" si="10"/>
        <v>319485.6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13">
        <f t="shared" si="11"/>
        <v>25</v>
      </c>
      <c r="B50" s="21" t="s">
        <v>12</v>
      </c>
      <c r="C50" s="22" t="s">
        <v>47</v>
      </c>
      <c r="D50" s="23" t="s">
        <v>28</v>
      </c>
      <c r="E50" s="24">
        <v>35.16</v>
      </c>
      <c r="F50" s="25">
        <v>1334.76</v>
      </c>
      <c r="G50" s="29">
        <f t="shared" si="10"/>
        <v>46930.1616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13">
        <f t="shared" si="11"/>
        <v>26</v>
      </c>
      <c r="B51" s="24" t="s">
        <v>21</v>
      </c>
      <c r="C51" s="30" t="s">
        <v>48</v>
      </c>
      <c r="D51" s="23" t="s">
        <v>28</v>
      </c>
      <c r="E51" s="24">
        <f>35.16*1.05</f>
        <v>36.918</v>
      </c>
      <c r="F51" s="25">
        <v>555.0</v>
      </c>
      <c r="G51" s="29">
        <f t="shared" si="10"/>
        <v>20489.49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24.75" customHeight="1">
      <c r="A52" s="13">
        <f t="shared" si="11"/>
        <v>27</v>
      </c>
      <c r="B52" s="21" t="s">
        <v>12</v>
      </c>
      <c r="C52" s="22" t="s">
        <v>49</v>
      </c>
      <c r="D52" s="23" t="s">
        <v>50</v>
      </c>
      <c r="E52" s="24">
        <v>7.85</v>
      </c>
      <c r="F52" s="25">
        <v>1941.0</v>
      </c>
      <c r="G52" s="29">
        <f t="shared" si="10"/>
        <v>15236.85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30.0" customHeight="1">
      <c r="A53" s="13">
        <f t="shared" si="11"/>
        <v>28</v>
      </c>
      <c r="B53" s="24" t="s">
        <v>21</v>
      </c>
      <c r="C53" s="30" t="s">
        <v>51</v>
      </c>
      <c r="D53" s="23" t="s">
        <v>50</v>
      </c>
      <c r="E53" s="24">
        <v>7.85</v>
      </c>
      <c r="F53" s="25">
        <v>14000.0</v>
      </c>
      <c r="G53" s="29">
        <f t="shared" si="10"/>
        <v>109900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13">
        <f t="shared" si="11"/>
        <v>29</v>
      </c>
      <c r="B54" s="21" t="s">
        <v>12</v>
      </c>
      <c r="C54" s="22" t="s">
        <v>52</v>
      </c>
      <c r="D54" s="23" t="s">
        <v>53</v>
      </c>
      <c r="E54" s="24">
        <v>2469.5</v>
      </c>
      <c r="F54" s="25">
        <v>120.0</v>
      </c>
      <c r="G54" s="29">
        <f t="shared" si="10"/>
        <v>296340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13">
        <f t="shared" si="11"/>
        <v>30</v>
      </c>
      <c r="B55" s="24" t="s">
        <v>21</v>
      </c>
      <c r="C55" s="30" t="s">
        <v>54</v>
      </c>
      <c r="D55" s="23" t="s">
        <v>30</v>
      </c>
      <c r="E55" s="24">
        <v>482.0</v>
      </c>
      <c r="F55" s="25">
        <v>2071.0</v>
      </c>
      <c r="G55" s="29">
        <f t="shared" si="10"/>
        <v>998222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13">
        <f t="shared" si="11"/>
        <v>31</v>
      </c>
      <c r="B56" s="21" t="s">
        <v>12</v>
      </c>
      <c r="C56" s="22" t="s">
        <v>55</v>
      </c>
      <c r="D56" s="23" t="s">
        <v>53</v>
      </c>
      <c r="E56" s="24">
        <v>1086.3</v>
      </c>
      <c r="F56" s="25">
        <v>170.0</v>
      </c>
      <c r="G56" s="29">
        <f t="shared" si="10"/>
        <v>184671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13">
        <f t="shared" si="11"/>
        <v>32</v>
      </c>
      <c r="B57" s="24" t="s">
        <v>21</v>
      </c>
      <c r="C57" s="30" t="s">
        <v>56</v>
      </c>
      <c r="D57" s="23" t="s">
        <v>30</v>
      </c>
      <c r="E57" s="37">
        <v>847.314</v>
      </c>
      <c r="F57" s="25">
        <v>2071.0</v>
      </c>
      <c r="G57" s="29">
        <f t="shared" si="10"/>
        <v>1754787.294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38.25" customHeight="1">
      <c r="A58" s="13">
        <f t="shared" si="11"/>
        <v>33</v>
      </c>
      <c r="B58" s="24" t="s">
        <v>21</v>
      </c>
      <c r="C58" s="30" t="s">
        <v>57</v>
      </c>
      <c r="D58" s="23" t="s">
        <v>53</v>
      </c>
      <c r="E58" s="37">
        <v>1105.8534</v>
      </c>
      <c r="F58" s="25">
        <v>25.0</v>
      </c>
      <c r="G58" s="29">
        <f t="shared" si="10"/>
        <v>27646.335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13">
        <f t="shared" si="11"/>
        <v>34</v>
      </c>
      <c r="B59" s="24" t="s">
        <v>21</v>
      </c>
      <c r="C59" s="30" t="s">
        <v>58</v>
      </c>
      <c r="D59" s="23" t="s">
        <v>16</v>
      </c>
      <c r="E59" s="24">
        <v>3150.0</v>
      </c>
      <c r="F59" s="25">
        <v>25.0</v>
      </c>
      <c r="G59" s="29">
        <f t="shared" si="10"/>
        <v>78750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13">
        <f t="shared" si="11"/>
        <v>35</v>
      </c>
      <c r="B60" s="24" t="s">
        <v>21</v>
      </c>
      <c r="C60" s="30" t="s">
        <v>59</v>
      </c>
      <c r="D60" s="23" t="s">
        <v>16</v>
      </c>
      <c r="E60" s="24">
        <v>220.0</v>
      </c>
      <c r="F60" s="25">
        <v>9.0</v>
      </c>
      <c r="G60" s="29">
        <f t="shared" si="10"/>
        <v>1980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13">
        <f t="shared" si="11"/>
        <v>36</v>
      </c>
      <c r="B61" s="24" t="s">
        <v>21</v>
      </c>
      <c r="C61" s="30" t="s">
        <v>60</v>
      </c>
      <c r="D61" s="23" t="s">
        <v>16</v>
      </c>
      <c r="E61" s="24">
        <v>100.0</v>
      </c>
      <c r="F61" s="25">
        <v>130.0</v>
      </c>
      <c r="G61" s="29">
        <f t="shared" si="10"/>
        <v>13000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13">
        <f t="shared" si="11"/>
        <v>37</v>
      </c>
      <c r="B62" s="24" t="s">
        <v>21</v>
      </c>
      <c r="C62" s="30" t="s">
        <v>61</v>
      </c>
      <c r="D62" s="23" t="s">
        <v>16</v>
      </c>
      <c r="E62" s="24">
        <v>290.0</v>
      </c>
      <c r="F62" s="25">
        <v>21.0</v>
      </c>
      <c r="G62" s="29">
        <f t="shared" si="10"/>
        <v>6090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13">
        <f t="shared" si="11"/>
        <v>38</v>
      </c>
      <c r="B63" s="24" t="s">
        <v>21</v>
      </c>
      <c r="C63" s="30" t="s">
        <v>62</v>
      </c>
      <c r="D63" s="23" t="s">
        <v>16</v>
      </c>
      <c r="E63" s="24">
        <v>700.0</v>
      </c>
      <c r="F63" s="25">
        <v>16.0</v>
      </c>
      <c r="G63" s="29">
        <f t="shared" si="10"/>
        <v>11200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13">
        <f t="shared" si="11"/>
        <v>39</v>
      </c>
      <c r="B64" s="24" t="s">
        <v>21</v>
      </c>
      <c r="C64" s="30" t="s">
        <v>63</v>
      </c>
      <c r="D64" s="23" t="s">
        <v>16</v>
      </c>
      <c r="E64" s="24">
        <v>1320.0</v>
      </c>
      <c r="F64" s="25">
        <v>12.0</v>
      </c>
      <c r="G64" s="29">
        <f t="shared" si="10"/>
        <v>15840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13">
        <f t="shared" si="11"/>
        <v>40</v>
      </c>
      <c r="B65" s="24" t="s">
        <v>21</v>
      </c>
      <c r="C65" s="30" t="s">
        <v>64</v>
      </c>
      <c r="D65" s="23" t="s">
        <v>16</v>
      </c>
      <c r="E65" s="24">
        <v>5200.0</v>
      </c>
      <c r="F65" s="25">
        <v>1.26</v>
      </c>
      <c r="G65" s="29">
        <f t="shared" si="10"/>
        <v>6552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13">
        <f t="shared" si="11"/>
        <v>41</v>
      </c>
      <c r="B66" s="21" t="s">
        <v>12</v>
      </c>
      <c r="C66" s="22" t="s">
        <v>65</v>
      </c>
      <c r="D66" s="23" t="s">
        <v>28</v>
      </c>
      <c r="E66" s="24">
        <v>20.2</v>
      </c>
      <c r="F66" s="25">
        <v>1463.21</v>
      </c>
      <c r="G66" s="29">
        <f t="shared" si="10"/>
        <v>29556.842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13">
        <f t="shared" si="11"/>
        <v>42</v>
      </c>
      <c r="B67" s="24" t="s">
        <v>21</v>
      </c>
      <c r="C67" s="30" t="s">
        <v>66</v>
      </c>
      <c r="D67" s="23" t="s">
        <v>28</v>
      </c>
      <c r="E67" s="24">
        <v>84.621</v>
      </c>
      <c r="F67" s="25">
        <v>250.0</v>
      </c>
      <c r="G67" s="29">
        <f t="shared" si="10"/>
        <v>21155.25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13">
        <f t="shared" si="11"/>
        <v>43</v>
      </c>
      <c r="B68" s="24" t="s">
        <v>21</v>
      </c>
      <c r="C68" s="30" t="s">
        <v>67</v>
      </c>
      <c r="D68" s="23" t="s">
        <v>68</v>
      </c>
      <c r="E68" s="24">
        <v>76.0</v>
      </c>
      <c r="F68" s="25">
        <v>250.0</v>
      </c>
      <c r="G68" s="29">
        <f t="shared" si="10"/>
        <v>19000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13">
        <f t="shared" si="11"/>
        <v>44</v>
      </c>
      <c r="B69" s="24" t="s">
        <v>21</v>
      </c>
      <c r="C69" s="30" t="s">
        <v>69</v>
      </c>
      <c r="D69" s="23" t="s">
        <v>68</v>
      </c>
      <c r="E69" s="24">
        <v>204.0</v>
      </c>
      <c r="F69" s="25">
        <v>350.0</v>
      </c>
      <c r="G69" s="29">
        <f t="shared" si="10"/>
        <v>71400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13">
        <f t="shared" si="11"/>
        <v>45</v>
      </c>
      <c r="B70" s="24" t="s">
        <v>21</v>
      </c>
      <c r="C70" s="30" t="s">
        <v>70</v>
      </c>
      <c r="D70" s="23" t="s">
        <v>50</v>
      </c>
      <c r="E70" s="24">
        <f>20.2*0.1</f>
        <v>2.02</v>
      </c>
      <c r="F70" s="25">
        <v>14000.0</v>
      </c>
      <c r="G70" s="29">
        <f t="shared" si="10"/>
        <v>28280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31"/>
      <c r="B71" s="32"/>
      <c r="C71" s="33"/>
      <c r="D71" s="34"/>
      <c r="E71" s="32"/>
      <c r="F71" s="35" t="s">
        <v>18</v>
      </c>
      <c r="G71" s="36">
        <f>SUM(G46:G70)</f>
        <v>21965411.4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41" t="s">
        <v>71</v>
      </c>
      <c r="B72" s="16"/>
      <c r="C72" s="16"/>
      <c r="D72" s="16"/>
      <c r="E72" s="16"/>
      <c r="F72" s="16"/>
      <c r="G72" s="1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13">
        <f>A70+1</f>
        <v>46</v>
      </c>
      <c r="B73" s="21" t="s">
        <v>12</v>
      </c>
      <c r="C73" s="22" t="s">
        <v>72</v>
      </c>
      <c r="D73" s="23" t="s">
        <v>28</v>
      </c>
      <c r="E73" s="24">
        <v>291.4</v>
      </c>
      <c r="F73" s="25">
        <v>2000.0</v>
      </c>
      <c r="G73" s="29">
        <f t="shared" ref="G73:G75" si="12">F73*E73</f>
        <v>582800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13">
        <f t="shared" ref="A74:A75" si="13">A73+1</f>
        <v>47</v>
      </c>
      <c r="B74" s="24" t="s">
        <v>21</v>
      </c>
      <c r="C74" s="40" t="s">
        <v>44</v>
      </c>
      <c r="D74" s="23" t="s">
        <v>28</v>
      </c>
      <c r="E74" s="24">
        <f>291.4*1.05</f>
        <v>305.97</v>
      </c>
      <c r="F74" s="25">
        <v>4900.0</v>
      </c>
      <c r="G74" s="29">
        <f t="shared" si="12"/>
        <v>1499253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13">
        <f t="shared" si="13"/>
        <v>48</v>
      </c>
      <c r="B75" s="24" t="s">
        <v>21</v>
      </c>
      <c r="C75" s="30" t="s">
        <v>73</v>
      </c>
      <c r="D75" s="23" t="s">
        <v>50</v>
      </c>
      <c r="E75" s="24">
        <f>291.4*0.06</f>
        <v>17.484</v>
      </c>
      <c r="F75" s="25">
        <v>14000.0</v>
      </c>
      <c r="G75" s="29">
        <f t="shared" si="12"/>
        <v>244776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26" t="s">
        <v>18</v>
      </c>
      <c r="B76" s="16"/>
      <c r="C76" s="16"/>
      <c r="D76" s="16"/>
      <c r="E76" s="16"/>
      <c r="F76" s="17"/>
      <c r="G76" s="36">
        <f>SUM(G73:G75)</f>
        <v>2326829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41" t="s">
        <v>74</v>
      </c>
      <c r="B77" s="16"/>
      <c r="C77" s="16"/>
      <c r="D77" s="16"/>
      <c r="E77" s="16"/>
      <c r="F77" s="16"/>
      <c r="G77" s="1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1.75" customHeight="1">
      <c r="A78" s="13">
        <f>A75+1</f>
        <v>49</v>
      </c>
      <c r="B78" s="21" t="s">
        <v>12</v>
      </c>
      <c r="C78" s="22" t="s">
        <v>75</v>
      </c>
      <c r="D78" s="23" t="s">
        <v>16</v>
      </c>
      <c r="E78" s="24">
        <v>11.0</v>
      </c>
      <c r="F78" s="25">
        <v>14607.1</v>
      </c>
      <c r="G78" s="29">
        <f t="shared" ref="G78:G79" si="14">F78*E78</f>
        <v>160678.1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13">
        <f>A78+1</f>
        <v>50</v>
      </c>
      <c r="B79" s="24" t="s">
        <v>21</v>
      </c>
      <c r="C79" s="30" t="s">
        <v>76</v>
      </c>
      <c r="D79" s="23" t="s">
        <v>16</v>
      </c>
      <c r="E79" s="24">
        <v>11.0</v>
      </c>
      <c r="F79" s="25">
        <v>65500.0</v>
      </c>
      <c r="G79" s="29">
        <f t="shared" si="14"/>
        <v>720500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26" t="s">
        <v>18</v>
      </c>
      <c r="B80" s="16"/>
      <c r="C80" s="16"/>
      <c r="D80" s="16"/>
      <c r="E80" s="16"/>
      <c r="F80" s="17"/>
      <c r="G80" s="36">
        <f>SUM(G78:G79)</f>
        <v>881178.1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41" t="s">
        <v>77</v>
      </c>
      <c r="B81" s="16"/>
      <c r="C81" s="16"/>
      <c r="D81" s="16"/>
      <c r="E81" s="16"/>
      <c r="F81" s="16"/>
      <c r="G81" s="1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13">
        <f>A79+1</f>
        <v>51</v>
      </c>
      <c r="B82" s="21" t="s">
        <v>12</v>
      </c>
      <c r="C82" s="22" t="s">
        <v>78</v>
      </c>
      <c r="D82" s="23" t="s">
        <v>28</v>
      </c>
      <c r="E82" s="24">
        <v>154.97</v>
      </c>
      <c r="F82" s="25">
        <v>750.0</v>
      </c>
      <c r="G82" s="29">
        <f t="shared" ref="G82:G108" si="15">F82*E82</f>
        <v>116227.5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13">
        <f t="shared" ref="A83:A108" si="16">A82+1</f>
        <v>52</v>
      </c>
      <c r="B83" s="24" t="s">
        <v>21</v>
      </c>
      <c r="C83" s="30" t="s">
        <v>79</v>
      </c>
      <c r="D83" s="23" t="s">
        <v>80</v>
      </c>
      <c r="E83" s="37">
        <f>154.97*0.13</f>
        <v>20.1461</v>
      </c>
      <c r="F83" s="25">
        <v>110.0</v>
      </c>
      <c r="G83" s="29">
        <f t="shared" si="15"/>
        <v>2216.071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13">
        <f t="shared" si="16"/>
        <v>53</v>
      </c>
      <c r="B84" s="24" t="s">
        <v>21</v>
      </c>
      <c r="C84" s="30" t="s">
        <v>81</v>
      </c>
      <c r="D84" s="23" t="s">
        <v>30</v>
      </c>
      <c r="E84" s="37">
        <f>154.97*8.5</f>
        <v>1317.245</v>
      </c>
      <c r="F84" s="25">
        <v>40.0</v>
      </c>
      <c r="G84" s="29">
        <f t="shared" si="15"/>
        <v>52689.8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13">
        <f t="shared" si="16"/>
        <v>54</v>
      </c>
      <c r="B85" s="21" t="s">
        <v>12</v>
      </c>
      <c r="C85" s="22" t="s">
        <v>82</v>
      </c>
      <c r="D85" s="23" t="s">
        <v>28</v>
      </c>
      <c r="E85" s="24">
        <v>115.26</v>
      </c>
      <c r="F85" s="25">
        <v>1000.0</v>
      </c>
      <c r="G85" s="29">
        <f t="shared" si="15"/>
        <v>115260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13">
        <f t="shared" si="16"/>
        <v>55</v>
      </c>
      <c r="B86" s="24" t="s">
        <v>21</v>
      </c>
      <c r="C86" s="30" t="s">
        <v>83</v>
      </c>
      <c r="D86" s="23" t="s">
        <v>28</v>
      </c>
      <c r="E86" s="37">
        <f>121.023*2</f>
        <v>242.046</v>
      </c>
      <c r="F86" s="25">
        <v>210.0</v>
      </c>
      <c r="G86" s="29">
        <f t="shared" si="15"/>
        <v>50829.66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13">
        <f t="shared" si="16"/>
        <v>56</v>
      </c>
      <c r="B87" s="24" t="s">
        <v>21</v>
      </c>
      <c r="C87" s="30" t="s">
        <v>67</v>
      </c>
      <c r="D87" s="23" t="s">
        <v>68</v>
      </c>
      <c r="E87" s="24">
        <v>95.0</v>
      </c>
      <c r="F87" s="25">
        <v>250.0</v>
      </c>
      <c r="G87" s="29">
        <f t="shared" si="15"/>
        <v>23750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13">
        <f t="shared" si="16"/>
        <v>57</v>
      </c>
      <c r="B88" s="24" t="s">
        <v>21</v>
      </c>
      <c r="C88" s="30" t="s">
        <v>69</v>
      </c>
      <c r="D88" s="23" t="s">
        <v>68</v>
      </c>
      <c r="E88" s="24">
        <v>198.0</v>
      </c>
      <c r="F88" s="25">
        <v>350.0</v>
      </c>
      <c r="G88" s="29">
        <f t="shared" si="15"/>
        <v>69300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13">
        <f t="shared" si="16"/>
        <v>58</v>
      </c>
      <c r="B89" s="21" t="s">
        <v>12</v>
      </c>
      <c r="C89" s="22" t="s">
        <v>84</v>
      </c>
      <c r="D89" s="23" t="s">
        <v>28</v>
      </c>
      <c r="E89" s="24">
        <v>84.16</v>
      </c>
      <c r="F89" s="25">
        <v>1000.0</v>
      </c>
      <c r="G89" s="29">
        <f t="shared" si="15"/>
        <v>84160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13">
        <f t="shared" si="16"/>
        <v>59</v>
      </c>
      <c r="B90" s="24" t="s">
        <v>21</v>
      </c>
      <c r="C90" s="30" t="s">
        <v>85</v>
      </c>
      <c r="D90" s="23" t="s">
        <v>28</v>
      </c>
      <c r="E90" s="37">
        <f>88.368*2</f>
        <v>176.736</v>
      </c>
      <c r="F90" s="25">
        <v>230.0</v>
      </c>
      <c r="G90" s="29">
        <f t="shared" si="15"/>
        <v>40649.28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13">
        <f t="shared" si="16"/>
        <v>60</v>
      </c>
      <c r="B91" s="24" t="s">
        <v>21</v>
      </c>
      <c r="C91" s="30" t="s">
        <v>67</v>
      </c>
      <c r="D91" s="23" t="s">
        <v>68</v>
      </c>
      <c r="E91" s="24">
        <v>69.0</v>
      </c>
      <c r="F91" s="25">
        <v>250.0</v>
      </c>
      <c r="G91" s="29">
        <f t="shared" si="15"/>
        <v>17250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13">
        <f t="shared" si="16"/>
        <v>61</v>
      </c>
      <c r="B92" s="24" t="s">
        <v>21</v>
      </c>
      <c r="C92" s="30" t="s">
        <v>69</v>
      </c>
      <c r="D92" s="23" t="s">
        <v>68</v>
      </c>
      <c r="E92" s="24">
        <v>145.0</v>
      </c>
      <c r="F92" s="25">
        <v>350.0</v>
      </c>
      <c r="G92" s="29">
        <f t="shared" si="15"/>
        <v>50750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13">
        <f t="shared" si="16"/>
        <v>62</v>
      </c>
      <c r="B93" s="21" t="s">
        <v>12</v>
      </c>
      <c r="C93" s="22" t="s">
        <v>86</v>
      </c>
      <c r="D93" s="23" t="s">
        <v>28</v>
      </c>
      <c r="E93" s="24">
        <v>717.03</v>
      </c>
      <c r="F93" s="25">
        <v>830.0</v>
      </c>
      <c r="G93" s="29">
        <f t="shared" si="15"/>
        <v>595134.9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27.75" customHeight="1">
      <c r="A94" s="13">
        <f t="shared" si="16"/>
        <v>63</v>
      </c>
      <c r="B94" s="24" t="s">
        <v>21</v>
      </c>
      <c r="C94" s="30" t="s">
        <v>87</v>
      </c>
      <c r="D94" s="23" t="s">
        <v>30</v>
      </c>
      <c r="E94" s="37">
        <f>717.03*1.26</f>
        <v>903.4578</v>
      </c>
      <c r="F94" s="25">
        <v>125.0</v>
      </c>
      <c r="G94" s="29">
        <f t="shared" si="15"/>
        <v>112932.225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13">
        <f t="shared" si="16"/>
        <v>64</v>
      </c>
      <c r="B95" s="24" t="s">
        <v>21</v>
      </c>
      <c r="C95" s="30" t="s">
        <v>79</v>
      </c>
      <c r="D95" s="23" t="s">
        <v>30</v>
      </c>
      <c r="E95" s="37">
        <f>717.03*0.13</f>
        <v>93.2139</v>
      </c>
      <c r="F95" s="25">
        <v>110.0</v>
      </c>
      <c r="G95" s="29">
        <f t="shared" si="15"/>
        <v>10253.529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13">
        <f t="shared" si="16"/>
        <v>65</v>
      </c>
      <c r="B96" s="21" t="s">
        <v>12</v>
      </c>
      <c r="C96" s="22" t="s">
        <v>88</v>
      </c>
      <c r="D96" s="23" t="s">
        <v>28</v>
      </c>
      <c r="E96" s="42">
        <v>420.55</v>
      </c>
      <c r="F96" s="25">
        <v>1500.0</v>
      </c>
      <c r="G96" s="29">
        <f t="shared" si="15"/>
        <v>630825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13">
        <f t="shared" si="16"/>
        <v>66</v>
      </c>
      <c r="B97" s="24" t="s">
        <v>21</v>
      </c>
      <c r="C97" s="30" t="s">
        <v>89</v>
      </c>
      <c r="D97" s="23" t="s">
        <v>30</v>
      </c>
      <c r="E97" s="24">
        <v>210.0</v>
      </c>
      <c r="F97" s="25">
        <v>211.0</v>
      </c>
      <c r="G97" s="29">
        <f t="shared" si="15"/>
        <v>44310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13">
        <f t="shared" si="16"/>
        <v>67</v>
      </c>
      <c r="B98" s="24" t="s">
        <v>21</v>
      </c>
      <c r="C98" s="30" t="s">
        <v>90</v>
      </c>
      <c r="D98" s="23" t="s">
        <v>28</v>
      </c>
      <c r="E98" s="24">
        <v>420.55</v>
      </c>
      <c r="F98" s="25">
        <v>1000.0</v>
      </c>
      <c r="G98" s="29">
        <f t="shared" si="15"/>
        <v>420550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13">
        <f t="shared" si="16"/>
        <v>68</v>
      </c>
      <c r="B99" s="24" t="s">
        <v>21</v>
      </c>
      <c r="C99" s="30" t="s">
        <v>91</v>
      </c>
      <c r="D99" s="23" t="s">
        <v>30</v>
      </c>
      <c r="E99" s="24">
        <v>1578.0</v>
      </c>
      <c r="F99" s="25">
        <v>30.0</v>
      </c>
      <c r="G99" s="29">
        <f t="shared" si="15"/>
        <v>47340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13">
        <f t="shared" si="16"/>
        <v>69</v>
      </c>
      <c r="B100" s="21" t="s">
        <v>12</v>
      </c>
      <c r="C100" s="22" t="s">
        <v>92</v>
      </c>
      <c r="D100" s="23" t="s">
        <v>28</v>
      </c>
      <c r="E100" s="24">
        <v>297.14</v>
      </c>
      <c r="F100" s="25">
        <v>550.0</v>
      </c>
      <c r="G100" s="29">
        <f t="shared" si="15"/>
        <v>163427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13">
        <f t="shared" si="16"/>
        <v>70</v>
      </c>
      <c r="B101" s="24" t="s">
        <v>21</v>
      </c>
      <c r="C101" s="30" t="s">
        <v>93</v>
      </c>
      <c r="D101" s="23" t="s">
        <v>28</v>
      </c>
      <c r="E101" s="24">
        <f>297.14*1.12</f>
        <v>332.7968</v>
      </c>
      <c r="F101" s="25">
        <f>600*1.1</f>
        <v>660</v>
      </c>
      <c r="G101" s="29">
        <f t="shared" si="15"/>
        <v>219645.888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13">
        <f t="shared" si="16"/>
        <v>71</v>
      </c>
      <c r="B102" s="24" t="s">
        <v>21</v>
      </c>
      <c r="C102" s="30" t="s">
        <v>94</v>
      </c>
      <c r="D102" s="23" t="s">
        <v>30</v>
      </c>
      <c r="E102" s="24">
        <f>297.14*0.3</f>
        <v>89.142</v>
      </c>
      <c r="F102" s="25">
        <v>1350.0</v>
      </c>
      <c r="G102" s="29">
        <f t="shared" si="15"/>
        <v>120341.7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13">
        <f t="shared" si="16"/>
        <v>72</v>
      </c>
      <c r="B103" s="21" t="s">
        <v>12</v>
      </c>
      <c r="C103" s="22" t="s">
        <v>95</v>
      </c>
      <c r="D103" s="23" t="s">
        <v>28</v>
      </c>
      <c r="E103" s="24">
        <v>297.14</v>
      </c>
      <c r="F103" s="25">
        <v>460.0</v>
      </c>
      <c r="G103" s="29">
        <f t="shared" si="15"/>
        <v>136684.4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13">
        <f t="shared" si="16"/>
        <v>73</v>
      </c>
      <c r="B104" s="24" t="s">
        <v>21</v>
      </c>
      <c r="C104" s="30" t="s">
        <v>96</v>
      </c>
      <c r="D104" s="23" t="s">
        <v>30</v>
      </c>
      <c r="E104" s="43">
        <f>297.14*0.6</f>
        <v>178.284</v>
      </c>
      <c r="F104" s="25">
        <v>375.0</v>
      </c>
      <c r="G104" s="29">
        <f t="shared" si="15"/>
        <v>66856.5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13">
        <f t="shared" si="16"/>
        <v>74</v>
      </c>
      <c r="B105" s="24" t="s">
        <v>21</v>
      </c>
      <c r="C105" s="30" t="s">
        <v>79</v>
      </c>
      <c r="D105" s="23" t="s">
        <v>30</v>
      </c>
      <c r="E105" s="37">
        <f>297.14*0.13</f>
        <v>38.6282</v>
      </c>
      <c r="F105" s="25">
        <v>110.0</v>
      </c>
      <c r="G105" s="29">
        <f t="shared" si="15"/>
        <v>4249.102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13">
        <f t="shared" si="16"/>
        <v>75</v>
      </c>
      <c r="B106" s="21" t="s">
        <v>12</v>
      </c>
      <c r="C106" s="22" t="s">
        <v>97</v>
      </c>
      <c r="D106" s="23" t="s">
        <v>28</v>
      </c>
      <c r="E106" s="24">
        <v>211.32</v>
      </c>
      <c r="F106" s="25">
        <v>460.0</v>
      </c>
      <c r="G106" s="29">
        <f t="shared" si="15"/>
        <v>97207.2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13">
        <f t="shared" si="16"/>
        <v>76</v>
      </c>
      <c r="B107" s="24" t="s">
        <v>21</v>
      </c>
      <c r="C107" s="30" t="s">
        <v>98</v>
      </c>
      <c r="D107" s="23" t="s">
        <v>30</v>
      </c>
      <c r="E107" s="43">
        <f>297.14*0.6</f>
        <v>178.284</v>
      </c>
      <c r="F107" s="25">
        <v>850.0</v>
      </c>
      <c r="G107" s="29">
        <f t="shared" si="15"/>
        <v>151541.4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13">
        <f t="shared" si="16"/>
        <v>77</v>
      </c>
      <c r="B108" s="24" t="s">
        <v>21</v>
      </c>
      <c r="C108" s="30" t="s">
        <v>79</v>
      </c>
      <c r="D108" s="23" t="s">
        <v>30</v>
      </c>
      <c r="E108" s="37">
        <f>211.32*0.13</f>
        <v>27.4716</v>
      </c>
      <c r="F108" s="25">
        <v>110.0</v>
      </c>
      <c r="G108" s="29">
        <f t="shared" si="15"/>
        <v>3021.876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26" t="s">
        <v>18</v>
      </c>
      <c r="B109" s="16"/>
      <c r="C109" s="16"/>
      <c r="D109" s="16"/>
      <c r="E109" s="16"/>
      <c r="F109" s="17"/>
      <c r="G109" s="36">
        <f>SUM(G82:G108)</f>
        <v>3447403.031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41" t="s">
        <v>99</v>
      </c>
      <c r="B110" s="16"/>
      <c r="C110" s="16"/>
      <c r="D110" s="16"/>
      <c r="E110" s="16"/>
      <c r="F110" s="16"/>
      <c r="G110" s="1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37.5" customHeight="1">
      <c r="A111" s="13">
        <f>A108+1</f>
        <v>78</v>
      </c>
      <c r="B111" s="21" t="s">
        <v>12</v>
      </c>
      <c r="C111" s="22" t="s">
        <v>100</v>
      </c>
      <c r="D111" s="23" t="s">
        <v>28</v>
      </c>
      <c r="E111" s="44">
        <v>301.39</v>
      </c>
      <c r="F111" s="25">
        <v>1200.0</v>
      </c>
      <c r="G111" s="29">
        <f t="shared" ref="G111:G121" si="17">F111*E111</f>
        <v>361668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13">
        <f t="shared" ref="A112:A121" si="18">A111+1</f>
        <v>79</v>
      </c>
      <c r="B112" s="24" t="s">
        <v>21</v>
      </c>
      <c r="C112" s="30" t="s">
        <v>101</v>
      </c>
      <c r="D112" s="23" t="s">
        <v>28</v>
      </c>
      <c r="E112" s="44">
        <f>301.39*1.03</f>
        <v>310.4317</v>
      </c>
      <c r="F112" s="25">
        <v>1600.0</v>
      </c>
      <c r="G112" s="29">
        <f t="shared" si="17"/>
        <v>496690.72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13">
        <f t="shared" si="18"/>
        <v>80</v>
      </c>
      <c r="B113" s="21" t="s">
        <v>12</v>
      </c>
      <c r="C113" s="22" t="s">
        <v>102</v>
      </c>
      <c r="D113" s="23" t="s">
        <v>28</v>
      </c>
      <c r="E113" s="44">
        <v>168.78</v>
      </c>
      <c r="F113" s="25">
        <v>1200.0</v>
      </c>
      <c r="G113" s="29">
        <f t="shared" si="17"/>
        <v>202536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13">
        <f t="shared" si="18"/>
        <v>81</v>
      </c>
      <c r="B114" s="24" t="s">
        <v>21</v>
      </c>
      <c r="C114" s="30" t="s">
        <v>103</v>
      </c>
      <c r="D114" s="23" t="s">
        <v>28</v>
      </c>
      <c r="E114" s="44">
        <f>168.78*1.03</f>
        <v>173.8434</v>
      </c>
      <c r="F114" s="25">
        <v>1850.0</v>
      </c>
      <c r="G114" s="29">
        <f t="shared" si="17"/>
        <v>321610.29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13">
        <f t="shared" si="18"/>
        <v>82</v>
      </c>
      <c r="B115" s="21" t="s">
        <v>12</v>
      </c>
      <c r="C115" s="22" t="s">
        <v>104</v>
      </c>
      <c r="D115" s="23" t="s">
        <v>28</v>
      </c>
      <c r="E115" s="44">
        <v>111.84</v>
      </c>
      <c r="F115" s="25">
        <v>1200.0</v>
      </c>
      <c r="G115" s="29">
        <f t="shared" si="17"/>
        <v>134208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13">
        <f t="shared" si="18"/>
        <v>83</v>
      </c>
      <c r="B116" s="24" t="s">
        <v>21</v>
      </c>
      <c r="C116" s="30" t="s">
        <v>105</v>
      </c>
      <c r="D116" s="23" t="s">
        <v>28</v>
      </c>
      <c r="E116" s="44">
        <f>111.84*1.03</f>
        <v>115.1952</v>
      </c>
      <c r="F116" s="25">
        <v>3630.0</v>
      </c>
      <c r="G116" s="29">
        <f t="shared" si="17"/>
        <v>418158.576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46.5" customHeight="1">
      <c r="A117" s="13">
        <f t="shared" si="18"/>
        <v>84</v>
      </c>
      <c r="B117" s="21" t="s">
        <v>12</v>
      </c>
      <c r="C117" s="22" t="s">
        <v>106</v>
      </c>
      <c r="D117" s="45" t="s">
        <v>28</v>
      </c>
      <c r="E117" s="44">
        <v>206.75</v>
      </c>
      <c r="F117" s="25">
        <v>110.0</v>
      </c>
      <c r="G117" s="29">
        <f t="shared" si="17"/>
        <v>22742.5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13">
        <f t="shared" si="18"/>
        <v>85</v>
      </c>
      <c r="B118" s="21" t="s">
        <v>12</v>
      </c>
      <c r="C118" s="22" t="s">
        <v>107</v>
      </c>
      <c r="D118" s="45" t="s">
        <v>28</v>
      </c>
      <c r="E118" s="44">
        <v>69.4</v>
      </c>
      <c r="F118" s="25">
        <v>370.0</v>
      </c>
      <c r="G118" s="29">
        <f t="shared" si="17"/>
        <v>25678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13">
        <f t="shared" si="18"/>
        <v>86</v>
      </c>
      <c r="B119" s="24" t="s">
        <v>21</v>
      </c>
      <c r="C119" s="30" t="s">
        <v>98</v>
      </c>
      <c r="D119" s="23" t="s">
        <v>30</v>
      </c>
      <c r="E119" s="43">
        <f>69.4*0.6</f>
        <v>41.64</v>
      </c>
      <c r="F119" s="25">
        <v>850.0</v>
      </c>
      <c r="G119" s="29">
        <f t="shared" si="17"/>
        <v>35394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13">
        <f t="shared" si="18"/>
        <v>87</v>
      </c>
      <c r="B120" s="21" t="s">
        <v>12</v>
      </c>
      <c r="C120" s="22" t="s">
        <v>108</v>
      </c>
      <c r="D120" s="45" t="s">
        <v>28</v>
      </c>
      <c r="E120" s="44">
        <v>997.75</v>
      </c>
      <c r="F120" s="25">
        <v>90.0</v>
      </c>
      <c r="G120" s="29">
        <f t="shared" si="17"/>
        <v>89797.5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13">
        <f t="shared" si="18"/>
        <v>88</v>
      </c>
      <c r="B121" s="24" t="s">
        <v>21</v>
      </c>
      <c r="C121" s="30" t="s">
        <v>79</v>
      </c>
      <c r="D121" s="23" t="s">
        <v>30</v>
      </c>
      <c r="E121" s="37">
        <f>997.75*0.13</f>
        <v>129.7075</v>
      </c>
      <c r="F121" s="25">
        <v>110.0</v>
      </c>
      <c r="G121" s="29">
        <f t="shared" si="17"/>
        <v>14267.825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26" t="s">
        <v>18</v>
      </c>
      <c r="B122" s="16"/>
      <c r="C122" s="16"/>
      <c r="D122" s="16"/>
      <c r="E122" s="16"/>
      <c r="F122" s="17"/>
      <c r="G122" s="36">
        <f>SUM(G111:G121)</f>
        <v>2122751.411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41" t="s">
        <v>109</v>
      </c>
      <c r="B123" s="16"/>
      <c r="C123" s="16"/>
      <c r="D123" s="16"/>
      <c r="E123" s="16"/>
      <c r="F123" s="16"/>
      <c r="G123" s="1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13">
        <f>A121+1</f>
        <v>89</v>
      </c>
      <c r="B124" s="21" t="s">
        <v>12</v>
      </c>
      <c r="C124" s="22" t="s">
        <v>110</v>
      </c>
      <c r="D124" s="45" t="s">
        <v>28</v>
      </c>
      <c r="E124" s="44">
        <v>352.5</v>
      </c>
      <c r="F124" s="25">
        <v>110.0</v>
      </c>
      <c r="G124" s="29">
        <f t="shared" ref="G124:G150" si="19">F124*E124</f>
        <v>38775</v>
      </c>
      <c r="H124" s="4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13">
        <f t="shared" ref="A125:A150" si="20">A124+1</f>
        <v>90</v>
      </c>
      <c r="B125" s="21" t="s">
        <v>12</v>
      </c>
      <c r="C125" s="47" t="s">
        <v>111</v>
      </c>
      <c r="D125" s="45" t="s">
        <v>50</v>
      </c>
      <c r="E125" s="24">
        <v>7.05</v>
      </c>
      <c r="F125" s="25">
        <v>5500.0</v>
      </c>
      <c r="G125" s="29">
        <f t="shared" si="19"/>
        <v>38775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13">
        <f t="shared" si="20"/>
        <v>91</v>
      </c>
      <c r="B126" s="24" t="s">
        <v>21</v>
      </c>
      <c r="C126" s="30" t="s">
        <v>112</v>
      </c>
      <c r="D126" s="23" t="s">
        <v>50</v>
      </c>
      <c r="E126" s="44">
        <v>7.191</v>
      </c>
      <c r="F126" s="25">
        <v>7850.0</v>
      </c>
      <c r="G126" s="29">
        <f t="shared" si="19"/>
        <v>56449.35</v>
      </c>
      <c r="H126" s="4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13">
        <f t="shared" si="20"/>
        <v>92</v>
      </c>
      <c r="B127" s="21" t="s">
        <v>12</v>
      </c>
      <c r="C127" s="47" t="s">
        <v>113</v>
      </c>
      <c r="D127" s="45" t="s">
        <v>14</v>
      </c>
      <c r="E127" s="24">
        <v>0.2</v>
      </c>
      <c r="F127" s="25">
        <v>25000.0</v>
      </c>
      <c r="G127" s="29">
        <f t="shared" si="19"/>
        <v>5000</v>
      </c>
      <c r="H127" s="4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13">
        <f t="shared" si="20"/>
        <v>93</v>
      </c>
      <c r="B128" s="24" t="s">
        <v>21</v>
      </c>
      <c r="C128" s="30" t="s">
        <v>114</v>
      </c>
      <c r="D128" s="23" t="s">
        <v>14</v>
      </c>
      <c r="E128" s="44">
        <v>0.2</v>
      </c>
      <c r="F128" s="25">
        <v>70000.0</v>
      </c>
      <c r="G128" s="29">
        <f t="shared" si="19"/>
        <v>14000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13">
        <f t="shared" si="20"/>
        <v>94</v>
      </c>
      <c r="B129" s="21" t="s">
        <v>12</v>
      </c>
      <c r="C129" s="47" t="s">
        <v>115</v>
      </c>
      <c r="D129" s="45" t="s">
        <v>28</v>
      </c>
      <c r="E129" s="24">
        <v>175.75</v>
      </c>
      <c r="F129" s="25">
        <v>1600.0</v>
      </c>
      <c r="G129" s="29">
        <f t="shared" si="19"/>
        <v>281200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13">
        <f t="shared" si="20"/>
        <v>95</v>
      </c>
      <c r="B130" s="24" t="s">
        <v>21</v>
      </c>
      <c r="C130" s="30" t="s">
        <v>116</v>
      </c>
      <c r="D130" s="23" t="s">
        <v>28</v>
      </c>
      <c r="E130" s="44">
        <f>175.75*1.025</f>
        <v>180.14375</v>
      </c>
      <c r="F130" s="25">
        <v>1500.0</v>
      </c>
      <c r="G130" s="29">
        <f t="shared" si="19"/>
        <v>270215.625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41.25" customHeight="1">
      <c r="A131" s="13">
        <f t="shared" si="20"/>
        <v>96</v>
      </c>
      <c r="B131" s="24" t="s">
        <v>21</v>
      </c>
      <c r="C131" s="30" t="s">
        <v>117</v>
      </c>
      <c r="D131" s="23" t="s">
        <v>30</v>
      </c>
      <c r="E131" s="24">
        <f>175.75*12</f>
        <v>2109</v>
      </c>
      <c r="F131" s="25">
        <v>30.0</v>
      </c>
      <c r="G131" s="29">
        <f t="shared" si="19"/>
        <v>63270</v>
      </c>
      <c r="H131" s="48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21.75" customHeight="1">
      <c r="A132" s="13">
        <f t="shared" si="20"/>
        <v>97</v>
      </c>
      <c r="B132" s="24" t="s">
        <v>21</v>
      </c>
      <c r="C132" s="30" t="s">
        <v>118</v>
      </c>
      <c r="D132" s="23" t="s">
        <v>30</v>
      </c>
      <c r="E132" s="24">
        <f>0.13*175.75</f>
        <v>22.8475</v>
      </c>
      <c r="F132" s="25">
        <v>211.0</v>
      </c>
      <c r="G132" s="29">
        <f t="shared" si="19"/>
        <v>4820.8225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23.25" customHeight="1">
      <c r="A133" s="13">
        <f t="shared" si="20"/>
        <v>98</v>
      </c>
      <c r="B133" s="24" t="s">
        <v>21</v>
      </c>
      <c r="C133" s="30" t="s">
        <v>79</v>
      </c>
      <c r="D133" s="23" t="s">
        <v>30</v>
      </c>
      <c r="E133" s="37">
        <f>175.75*0.13</f>
        <v>22.8475</v>
      </c>
      <c r="F133" s="25">
        <v>110.0</v>
      </c>
      <c r="G133" s="29">
        <f t="shared" si="19"/>
        <v>2513.225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13">
        <f t="shared" si="20"/>
        <v>99</v>
      </c>
      <c r="B134" s="21" t="s">
        <v>12</v>
      </c>
      <c r="C134" s="47" t="s">
        <v>119</v>
      </c>
      <c r="D134" s="45" t="s">
        <v>28</v>
      </c>
      <c r="E134" s="24">
        <v>321.2</v>
      </c>
      <c r="F134" s="25">
        <v>1600.0</v>
      </c>
      <c r="G134" s="29">
        <f t="shared" si="19"/>
        <v>513920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13">
        <f t="shared" si="20"/>
        <v>100</v>
      </c>
      <c r="B135" s="24" t="s">
        <v>21</v>
      </c>
      <c r="C135" s="30" t="s">
        <v>116</v>
      </c>
      <c r="D135" s="23" t="s">
        <v>28</v>
      </c>
      <c r="E135" s="44">
        <f>321.2*1.025</f>
        <v>329.23</v>
      </c>
      <c r="F135" s="25">
        <v>1500.0</v>
      </c>
      <c r="G135" s="29">
        <f t="shared" si="19"/>
        <v>493845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13">
        <f t="shared" si="20"/>
        <v>101</v>
      </c>
      <c r="B136" s="24" t="s">
        <v>21</v>
      </c>
      <c r="C136" s="30" t="s">
        <v>117</v>
      </c>
      <c r="D136" s="23" t="s">
        <v>30</v>
      </c>
      <c r="E136" s="24">
        <f>321.2*12</f>
        <v>3854.4</v>
      </c>
      <c r="F136" s="25">
        <v>30.0</v>
      </c>
      <c r="G136" s="29">
        <f t="shared" si="19"/>
        <v>115632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24.0" customHeight="1">
      <c r="A137" s="13">
        <f t="shared" si="20"/>
        <v>102</v>
      </c>
      <c r="B137" s="24" t="s">
        <v>21</v>
      </c>
      <c r="C137" s="30" t="s">
        <v>118</v>
      </c>
      <c r="D137" s="23" t="s">
        <v>30</v>
      </c>
      <c r="E137" s="24">
        <f>0.13*321.2</f>
        <v>41.756</v>
      </c>
      <c r="F137" s="25">
        <v>211.0</v>
      </c>
      <c r="G137" s="29">
        <f t="shared" si="19"/>
        <v>8810.516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13">
        <f t="shared" si="20"/>
        <v>103</v>
      </c>
      <c r="B138" s="24" t="s">
        <v>21</v>
      </c>
      <c r="C138" s="30" t="s">
        <v>79</v>
      </c>
      <c r="D138" s="23" t="s">
        <v>30</v>
      </c>
      <c r="E138" s="37">
        <f>321.2*0.13</f>
        <v>41.756</v>
      </c>
      <c r="F138" s="25">
        <v>110.0</v>
      </c>
      <c r="G138" s="29">
        <f t="shared" si="19"/>
        <v>4593.16</v>
      </c>
      <c r="H138" s="4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13">
        <f t="shared" si="20"/>
        <v>104</v>
      </c>
      <c r="B139" s="21" t="s">
        <v>12</v>
      </c>
      <c r="C139" s="47" t="s">
        <v>120</v>
      </c>
      <c r="D139" s="45" t="s">
        <v>28</v>
      </c>
      <c r="E139" s="24">
        <v>121.81</v>
      </c>
      <c r="F139" s="25">
        <v>1600.0</v>
      </c>
      <c r="G139" s="29">
        <f t="shared" si="19"/>
        <v>194896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13">
        <f t="shared" si="20"/>
        <v>105</v>
      </c>
      <c r="B140" s="24" t="s">
        <v>21</v>
      </c>
      <c r="C140" s="30" t="s">
        <v>121</v>
      </c>
      <c r="D140" s="23" t="s">
        <v>28</v>
      </c>
      <c r="E140" s="37">
        <f>121.81*1.02</f>
        <v>124.2462</v>
      </c>
      <c r="F140" s="25">
        <v>3600.0</v>
      </c>
      <c r="G140" s="29">
        <f t="shared" si="19"/>
        <v>447286.32</v>
      </c>
      <c r="H140" s="4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13">
        <f t="shared" si="20"/>
        <v>106</v>
      </c>
      <c r="B141" s="24" t="s">
        <v>21</v>
      </c>
      <c r="C141" s="30" t="s">
        <v>122</v>
      </c>
      <c r="D141" s="23" t="s">
        <v>30</v>
      </c>
      <c r="E141" s="37">
        <f>121.81*0.5</f>
        <v>60.905</v>
      </c>
      <c r="F141" s="25">
        <v>30.0</v>
      </c>
      <c r="G141" s="29">
        <f t="shared" si="19"/>
        <v>1827.15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13">
        <f t="shared" si="20"/>
        <v>107</v>
      </c>
      <c r="B142" s="21" t="s">
        <v>12</v>
      </c>
      <c r="C142" s="47" t="s">
        <v>123</v>
      </c>
      <c r="D142" s="45" t="s">
        <v>28</v>
      </c>
      <c r="E142" s="24">
        <v>141.34</v>
      </c>
      <c r="F142" s="25">
        <v>350.0</v>
      </c>
      <c r="G142" s="29">
        <f t="shared" si="19"/>
        <v>49469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13">
        <f t="shared" si="20"/>
        <v>108</v>
      </c>
      <c r="B143" s="24" t="s">
        <v>21</v>
      </c>
      <c r="C143" s="30" t="s">
        <v>124</v>
      </c>
      <c r="D143" s="23" t="s">
        <v>28</v>
      </c>
      <c r="E143" s="37">
        <f>141.34*1.02</f>
        <v>144.1668</v>
      </c>
      <c r="F143" s="25">
        <v>450.0</v>
      </c>
      <c r="G143" s="29">
        <f t="shared" si="19"/>
        <v>64875.06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13">
        <f t="shared" si="20"/>
        <v>109</v>
      </c>
      <c r="B144" s="21" t="s">
        <v>12</v>
      </c>
      <c r="C144" s="47" t="s">
        <v>125</v>
      </c>
      <c r="D144" s="45" t="s">
        <v>28</v>
      </c>
      <c r="E144" s="24">
        <v>611.76</v>
      </c>
      <c r="F144" s="25">
        <v>950.0</v>
      </c>
      <c r="G144" s="29">
        <f t="shared" si="19"/>
        <v>581172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13">
        <f t="shared" si="20"/>
        <v>110</v>
      </c>
      <c r="B145" s="24" t="s">
        <v>21</v>
      </c>
      <c r="C145" s="30" t="s">
        <v>126</v>
      </c>
      <c r="D145" s="23" t="s">
        <v>28</v>
      </c>
      <c r="E145" s="37">
        <f>611.76*29.4</f>
        <v>17985.744</v>
      </c>
      <c r="F145" s="25">
        <v>25.0</v>
      </c>
      <c r="G145" s="29">
        <f t="shared" si="19"/>
        <v>449643.6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13">
        <f t="shared" si="20"/>
        <v>111</v>
      </c>
      <c r="B146" s="21" t="s">
        <v>12</v>
      </c>
      <c r="C146" s="47" t="s">
        <v>127</v>
      </c>
      <c r="D146" s="45" t="s">
        <v>28</v>
      </c>
      <c r="E146" s="24">
        <v>2.0</v>
      </c>
      <c r="F146" s="25">
        <v>1600.0</v>
      </c>
      <c r="G146" s="29">
        <f t="shared" si="19"/>
        <v>3200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13">
        <f t="shared" si="20"/>
        <v>112</v>
      </c>
      <c r="B147" s="24" t="s">
        <v>21</v>
      </c>
      <c r="C147" s="30" t="s">
        <v>128</v>
      </c>
      <c r="D147" s="23" t="s">
        <v>28</v>
      </c>
      <c r="E147" s="44">
        <f>2*1.025</f>
        <v>2.05</v>
      </c>
      <c r="F147" s="25">
        <f>1950</f>
        <v>1950</v>
      </c>
      <c r="G147" s="29">
        <f t="shared" si="19"/>
        <v>3997.5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13">
        <f t="shared" si="20"/>
        <v>113</v>
      </c>
      <c r="B148" s="24" t="s">
        <v>21</v>
      </c>
      <c r="C148" s="30" t="s">
        <v>117</v>
      </c>
      <c r="D148" s="23" t="s">
        <v>30</v>
      </c>
      <c r="E148" s="24">
        <f>2*12</f>
        <v>24</v>
      </c>
      <c r="F148" s="25">
        <v>30.0</v>
      </c>
      <c r="G148" s="29">
        <f t="shared" si="19"/>
        <v>720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13">
        <f t="shared" si="20"/>
        <v>114</v>
      </c>
      <c r="B149" s="24" t="s">
        <v>21</v>
      </c>
      <c r="C149" s="30" t="s">
        <v>118</v>
      </c>
      <c r="D149" s="23" t="s">
        <v>30</v>
      </c>
      <c r="E149" s="24">
        <f>0.13*2</f>
        <v>0.26</v>
      </c>
      <c r="F149" s="25">
        <v>211.0</v>
      </c>
      <c r="G149" s="29">
        <f t="shared" si="19"/>
        <v>54.86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13">
        <f t="shared" si="20"/>
        <v>115</v>
      </c>
      <c r="B150" s="24" t="s">
        <v>21</v>
      </c>
      <c r="C150" s="30" t="s">
        <v>79</v>
      </c>
      <c r="D150" s="23" t="s">
        <v>30</v>
      </c>
      <c r="E150" s="37">
        <f>2*0.13</f>
        <v>0.26</v>
      </c>
      <c r="F150" s="25">
        <v>110.0</v>
      </c>
      <c r="G150" s="29">
        <f t="shared" si="19"/>
        <v>28.6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49" t="s">
        <v>18</v>
      </c>
      <c r="B151" s="16"/>
      <c r="C151" s="16"/>
      <c r="D151" s="16"/>
      <c r="E151" s="16"/>
      <c r="F151" s="17"/>
      <c r="G151" s="36">
        <f>SUM(G124:G150)</f>
        <v>3708989.789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50" t="s">
        <v>129</v>
      </c>
      <c r="B152" s="16"/>
      <c r="C152" s="16"/>
      <c r="D152" s="16"/>
      <c r="E152" s="16"/>
      <c r="F152" s="17"/>
      <c r="G152" s="51">
        <f>G151+G122+G109+G80+G76+G71+G44+G41+G33+G27+G19</f>
        <v>38801398.54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52" t="s">
        <v>130</v>
      </c>
      <c r="B153" s="16"/>
      <c r="C153" s="16"/>
      <c r="D153" s="16"/>
      <c r="E153" s="16"/>
      <c r="F153" s="16"/>
      <c r="G153" s="1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53">
        <f>A150+1</f>
        <v>116</v>
      </c>
      <c r="B154" s="21" t="s">
        <v>12</v>
      </c>
      <c r="C154" s="47" t="s">
        <v>131</v>
      </c>
      <c r="D154" s="45" t="s">
        <v>68</v>
      </c>
      <c r="E154" s="24">
        <v>30.0</v>
      </c>
      <c r="F154" s="25">
        <v>700.0</v>
      </c>
      <c r="G154" s="29">
        <f t="shared" ref="G154:G195" si="21">F154*E154</f>
        <v>21000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53">
        <f t="shared" ref="A155:A195" si="22">A154+1</f>
        <v>117</v>
      </c>
      <c r="B155" s="24" t="s">
        <v>21</v>
      </c>
      <c r="C155" s="30" t="s">
        <v>132</v>
      </c>
      <c r="D155" s="23" t="s">
        <v>68</v>
      </c>
      <c r="E155" s="37">
        <v>30.0</v>
      </c>
      <c r="F155" s="25">
        <v>400.0</v>
      </c>
      <c r="G155" s="29">
        <f t="shared" si="21"/>
        <v>12000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53">
        <f t="shared" si="22"/>
        <v>118</v>
      </c>
      <c r="B156" s="21" t="s">
        <v>12</v>
      </c>
      <c r="C156" s="47" t="s">
        <v>133</v>
      </c>
      <c r="D156" s="45" t="s">
        <v>68</v>
      </c>
      <c r="E156" s="24">
        <v>95.0</v>
      </c>
      <c r="F156" s="25">
        <v>700.0</v>
      </c>
      <c r="G156" s="29">
        <f t="shared" si="21"/>
        <v>66500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53">
        <f t="shared" si="22"/>
        <v>119</v>
      </c>
      <c r="B157" s="24" t="s">
        <v>21</v>
      </c>
      <c r="C157" s="30" t="s">
        <v>79</v>
      </c>
      <c r="D157" s="23" t="s">
        <v>30</v>
      </c>
      <c r="E157" s="37">
        <v>95.0</v>
      </c>
      <c r="F157" s="25">
        <v>425.0</v>
      </c>
      <c r="G157" s="29">
        <f t="shared" si="21"/>
        <v>40375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53">
        <f t="shared" si="22"/>
        <v>120</v>
      </c>
      <c r="B158" s="21" t="s">
        <v>12</v>
      </c>
      <c r="C158" s="47" t="s">
        <v>134</v>
      </c>
      <c r="D158" s="45" t="s">
        <v>16</v>
      </c>
      <c r="E158" s="24">
        <v>3.0</v>
      </c>
      <c r="F158" s="25">
        <v>1500.0</v>
      </c>
      <c r="G158" s="29">
        <f t="shared" si="21"/>
        <v>4500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53">
        <f t="shared" si="22"/>
        <v>121</v>
      </c>
      <c r="B159" s="24" t="s">
        <v>21</v>
      </c>
      <c r="C159" s="30" t="s">
        <v>135</v>
      </c>
      <c r="D159" s="23" t="s">
        <v>16</v>
      </c>
      <c r="E159" s="37">
        <v>3.0</v>
      </c>
      <c r="F159" s="25">
        <v>1700.0</v>
      </c>
      <c r="G159" s="29">
        <f t="shared" si="21"/>
        <v>5100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53">
        <f t="shared" si="22"/>
        <v>122</v>
      </c>
      <c r="B160" s="21" t="s">
        <v>12</v>
      </c>
      <c r="C160" s="47" t="s">
        <v>136</v>
      </c>
      <c r="D160" s="45" t="s">
        <v>16</v>
      </c>
      <c r="E160" s="24">
        <v>113.0</v>
      </c>
      <c r="F160" s="25">
        <v>150.0</v>
      </c>
      <c r="G160" s="29">
        <f t="shared" si="21"/>
        <v>16950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53">
        <f t="shared" si="22"/>
        <v>123</v>
      </c>
      <c r="B161" s="24" t="s">
        <v>21</v>
      </c>
      <c r="C161" s="30" t="s">
        <v>137</v>
      </c>
      <c r="D161" s="23" t="s">
        <v>16</v>
      </c>
      <c r="E161" s="37">
        <v>4.0</v>
      </c>
      <c r="F161" s="25">
        <v>320.0</v>
      </c>
      <c r="G161" s="29">
        <f t="shared" si="21"/>
        <v>1280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53">
        <f t="shared" si="22"/>
        <v>124</v>
      </c>
      <c r="B162" s="24" t="s">
        <v>21</v>
      </c>
      <c r="C162" s="30" t="s">
        <v>138</v>
      </c>
      <c r="D162" s="23" t="s">
        <v>16</v>
      </c>
      <c r="E162" s="37">
        <v>21.0</v>
      </c>
      <c r="F162" s="25">
        <v>250.0</v>
      </c>
      <c r="G162" s="29">
        <f t="shared" si="21"/>
        <v>5250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53">
        <f t="shared" si="22"/>
        <v>125</v>
      </c>
      <c r="B163" s="24" t="s">
        <v>21</v>
      </c>
      <c r="C163" s="30" t="s">
        <v>139</v>
      </c>
      <c r="D163" s="23" t="s">
        <v>16</v>
      </c>
      <c r="E163" s="37">
        <v>19.0</v>
      </c>
      <c r="F163" s="25">
        <v>120.0</v>
      </c>
      <c r="G163" s="29">
        <f t="shared" si="21"/>
        <v>2280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53">
        <f t="shared" si="22"/>
        <v>126</v>
      </c>
      <c r="B164" s="24" t="s">
        <v>21</v>
      </c>
      <c r="C164" s="30" t="s">
        <v>140</v>
      </c>
      <c r="D164" s="23" t="s">
        <v>16</v>
      </c>
      <c r="E164" s="37">
        <v>14.0</v>
      </c>
      <c r="F164" s="25">
        <v>85.0</v>
      </c>
      <c r="G164" s="29">
        <f t="shared" si="21"/>
        <v>1190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53">
        <f t="shared" si="22"/>
        <v>127</v>
      </c>
      <c r="B165" s="24" t="s">
        <v>21</v>
      </c>
      <c r="C165" s="30" t="s">
        <v>141</v>
      </c>
      <c r="D165" s="23" t="s">
        <v>16</v>
      </c>
      <c r="E165" s="37">
        <v>13.0</v>
      </c>
      <c r="F165" s="25">
        <v>190.0</v>
      </c>
      <c r="G165" s="29">
        <f t="shared" si="21"/>
        <v>2470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53">
        <f t="shared" si="22"/>
        <v>128</v>
      </c>
      <c r="B166" s="24" t="s">
        <v>21</v>
      </c>
      <c r="C166" s="30" t="s">
        <v>142</v>
      </c>
      <c r="D166" s="23" t="s">
        <v>16</v>
      </c>
      <c r="E166" s="37">
        <v>1.0</v>
      </c>
      <c r="F166" s="25">
        <v>190.0</v>
      </c>
      <c r="G166" s="29">
        <f t="shared" si="21"/>
        <v>190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53">
        <f t="shared" si="22"/>
        <v>129</v>
      </c>
      <c r="B167" s="24" t="s">
        <v>21</v>
      </c>
      <c r="C167" s="30" t="s">
        <v>143</v>
      </c>
      <c r="D167" s="23" t="s">
        <v>16</v>
      </c>
      <c r="E167" s="37">
        <v>26.0</v>
      </c>
      <c r="F167" s="25">
        <v>250.0</v>
      </c>
      <c r="G167" s="29">
        <f t="shared" si="21"/>
        <v>6500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53">
        <f t="shared" si="22"/>
        <v>130</v>
      </c>
      <c r="B168" s="24" t="s">
        <v>21</v>
      </c>
      <c r="C168" s="30" t="s">
        <v>144</v>
      </c>
      <c r="D168" s="23" t="s">
        <v>16</v>
      </c>
      <c r="E168" s="37">
        <v>9.0</v>
      </c>
      <c r="F168" s="25">
        <v>270.0</v>
      </c>
      <c r="G168" s="29">
        <f t="shared" si="21"/>
        <v>2430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53">
        <f t="shared" si="22"/>
        <v>131</v>
      </c>
      <c r="B169" s="24" t="s">
        <v>21</v>
      </c>
      <c r="C169" s="30" t="s">
        <v>145</v>
      </c>
      <c r="D169" s="23" t="s">
        <v>16</v>
      </c>
      <c r="E169" s="37">
        <v>4.0</v>
      </c>
      <c r="F169" s="25">
        <v>190.0</v>
      </c>
      <c r="G169" s="29">
        <f t="shared" si="21"/>
        <v>760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53">
        <f t="shared" si="22"/>
        <v>132</v>
      </c>
      <c r="B170" s="24" t="s">
        <v>21</v>
      </c>
      <c r="C170" s="30" t="s">
        <v>146</v>
      </c>
      <c r="D170" s="23" t="s">
        <v>16</v>
      </c>
      <c r="E170" s="37">
        <v>2.0</v>
      </c>
      <c r="F170" s="25">
        <v>300.0</v>
      </c>
      <c r="G170" s="29">
        <f t="shared" si="21"/>
        <v>600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53">
        <f t="shared" si="22"/>
        <v>133</v>
      </c>
      <c r="B171" s="21" t="s">
        <v>12</v>
      </c>
      <c r="C171" s="47" t="s">
        <v>147</v>
      </c>
      <c r="D171" s="45" t="s">
        <v>16</v>
      </c>
      <c r="E171" s="24">
        <v>22.0</v>
      </c>
      <c r="F171" s="25">
        <v>4000.0</v>
      </c>
      <c r="G171" s="29">
        <f t="shared" si="21"/>
        <v>88000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53">
        <f t="shared" si="22"/>
        <v>134</v>
      </c>
      <c r="B172" s="24" t="s">
        <v>21</v>
      </c>
      <c r="C172" s="30" t="s">
        <v>148</v>
      </c>
      <c r="D172" s="23" t="s">
        <v>16</v>
      </c>
      <c r="E172" s="37">
        <v>22.0</v>
      </c>
      <c r="F172" s="25">
        <v>8000.0</v>
      </c>
      <c r="G172" s="29">
        <f t="shared" si="21"/>
        <v>176000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53">
        <f t="shared" si="22"/>
        <v>135</v>
      </c>
      <c r="B173" s="21" t="s">
        <v>12</v>
      </c>
      <c r="C173" s="47" t="s">
        <v>149</v>
      </c>
      <c r="D173" s="45" t="s">
        <v>16</v>
      </c>
      <c r="E173" s="24">
        <v>12.0</v>
      </c>
      <c r="F173" s="25">
        <v>3500.0</v>
      </c>
      <c r="G173" s="29">
        <f t="shared" si="21"/>
        <v>42000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53">
        <f t="shared" si="22"/>
        <v>136</v>
      </c>
      <c r="B174" s="24" t="s">
        <v>21</v>
      </c>
      <c r="C174" s="30" t="s">
        <v>150</v>
      </c>
      <c r="D174" s="23" t="s">
        <v>16</v>
      </c>
      <c r="E174" s="37">
        <v>12.0</v>
      </c>
      <c r="F174" s="25">
        <v>9000.0</v>
      </c>
      <c r="G174" s="29">
        <f t="shared" si="21"/>
        <v>108000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53">
        <f t="shared" si="22"/>
        <v>137</v>
      </c>
      <c r="B175" s="24" t="s">
        <v>21</v>
      </c>
      <c r="C175" s="30" t="s">
        <v>151</v>
      </c>
      <c r="D175" s="23" t="s">
        <v>16</v>
      </c>
      <c r="E175" s="37">
        <v>12.0</v>
      </c>
      <c r="F175" s="25">
        <v>900.0</v>
      </c>
      <c r="G175" s="29">
        <f t="shared" si="21"/>
        <v>10800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53">
        <f t="shared" si="22"/>
        <v>138</v>
      </c>
      <c r="B176" s="24" t="s">
        <v>21</v>
      </c>
      <c r="C176" s="30" t="s">
        <v>152</v>
      </c>
      <c r="D176" s="23" t="s">
        <v>16</v>
      </c>
      <c r="E176" s="37">
        <v>12.0</v>
      </c>
      <c r="F176" s="25">
        <v>250.0</v>
      </c>
      <c r="G176" s="29">
        <f t="shared" si="21"/>
        <v>3000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53">
        <f t="shared" si="22"/>
        <v>139</v>
      </c>
      <c r="B177" s="21" t="s">
        <v>12</v>
      </c>
      <c r="C177" s="47" t="s">
        <v>153</v>
      </c>
      <c r="D177" s="45" t="s">
        <v>16</v>
      </c>
      <c r="E177" s="24">
        <v>1.0</v>
      </c>
      <c r="F177" s="25">
        <v>5000.0</v>
      </c>
      <c r="G177" s="29">
        <f t="shared" si="21"/>
        <v>5000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53">
        <f t="shared" si="22"/>
        <v>140</v>
      </c>
      <c r="B178" s="24" t="s">
        <v>21</v>
      </c>
      <c r="C178" s="30" t="s">
        <v>154</v>
      </c>
      <c r="D178" s="23" t="s">
        <v>16</v>
      </c>
      <c r="E178" s="37">
        <v>1.0</v>
      </c>
      <c r="F178" s="25">
        <v>12500.0</v>
      </c>
      <c r="G178" s="29">
        <f t="shared" si="21"/>
        <v>12500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53">
        <f t="shared" si="22"/>
        <v>141</v>
      </c>
      <c r="B179" s="21" t="s">
        <v>12</v>
      </c>
      <c r="C179" s="47" t="s">
        <v>155</v>
      </c>
      <c r="D179" s="45" t="s">
        <v>16</v>
      </c>
      <c r="E179" s="24">
        <v>3.0</v>
      </c>
      <c r="F179" s="25">
        <v>3500.0</v>
      </c>
      <c r="G179" s="29">
        <f t="shared" si="21"/>
        <v>10500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53">
        <f t="shared" si="22"/>
        <v>142</v>
      </c>
      <c r="B180" s="24" t="s">
        <v>21</v>
      </c>
      <c r="C180" s="30" t="s">
        <v>156</v>
      </c>
      <c r="D180" s="23" t="s">
        <v>16</v>
      </c>
      <c r="E180" s="37">
        <v>3.0</v>
      </c>
      <c r="F180" s="25">
        <v>23000.0</v>
      </c>
      <c r="G180" s="29">
        <f t="shared" si="21"/>
        <v>69000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53">
        <f t="shared" si="22"/>
        <v>143</v>
      </c>
      <c r="B181" s="21" t="s">
        <v>12</v>
      </c>
      <c r="C181" s="47" t="s">
        <v>157</v>
      </c>
      <c r="D181" s="45" t="s">
        <v>16</v>
      </c>
      <c r="E181" s="24">
        <v>5.0</v>
      </c>
      <c r="F181" s="25">
        <v>560.0</v>
      </c>
      <c r="G181" s="29">
        <f t="shared" si="21"/>
        <v>2800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53">
        <f t="shared" si="22"/>
        <v>144</v>
      </c>
      <c r="B182" s="24" t="s">
        <v>21</v>
      </c>
      <c r="C182" s="30" t="s">
        <v>158</v>
      </c>
      <c r="D182" s="23" t="s">
        <v>16</v>
      </c>
      <c r="E182" s="37">
        <v>5.0</v>
      </c>
      <c r="F182" s="25">
        <v>425.0</v>
      </c>
      <c r="G182" s="29">
        <f t="shared" si="21"/>
        <v>2125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53">
        <f t="shared" si="22"/>
        <v>145</v>
      </c>
      <c r="B183" s="21" t="s">
        <v>12</v>
      </c>
      <c r="C183" s="47" t="s">
        <v>159</v>
      </c>
      <c r="D183" s="45" t="s">
        <v>16</v>
      </c>
      <c r="E183" s="24">
        <v>1.0</v>
      </c>
      <c r="F183" s="25">
        <v>560.0</v>
      </c>
      <c r="G183" s="29">
        <f t="shared" si="21"/>
        <v>560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53">
        <f t="shared" si="22"/>
        <v>146</v>
      </c>
      <c r="B184" s="24" t="s">
        <v>21</v>
      </c>
      <c r="C184" s="30" t="s">
        <v>160</v>
      </c>
      <c r="D184" s="23" t="s">
        <v>16</v>
      </c>
      <c r="E184" s="37">
        <v>1.0</v>
      </c>
      <c r="F184" s="25">
        <v>350.0</v>
      </c>
      <c r="G184" s="29">
        <f t="shared" si="21"/>
        <v>350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53">
        <f t="shared" si="22"/>
        <v>147</v>
      </c>
      <c r="B185" s="21" t="s">
        <v>12</v>
      </c>
      <c r="C185" s="47" t="s">
        <v>161</v>
      </c>
      <c r="D185" s="45" t="s">
        <v>16</v>
      </c>
      <c r="E185" s="24">
        <v>3.0</v>
      </c>
      <c r="F185" s="25">
        <v>850.0</v>
      </c>
      <c r="G185" s="29">
        <f t="shared" si="21"/>
        <v>2550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53">
        <f t="shared" si="22"/>
        <v>148</v>
      </c>
      <c r="B186" s="24" t="s">
        <v>21</v>
      </c>
      <c r="C186" s="30" t="s">
        <v>162</v>
      </c>
      <c r="D186" s="23" t="s">
        <v>16</v>
      </c>
      <c r="E186" s="37">
        <v>3.0</v>
      </c>
      <c r="F186" s="25">
        <v>8500.0</v>
      </c>
      <c r="G186" s="29">
        <f t="shared" si="21"/>
        <v>25500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53">
        <f t="shared" si="22"/>
        <v>149</v>
      </c>
      <c r="B187" s="21" t="s">
        <v>12</v>
      </c>
      <c r="C187" s="47" t="s">
        <v>163</v>
      </c>
      <c r="D187" s="45" t="s">
        <v>16</v>
      </c>
      <c r="E187" s="24">
        <v>1.0</v>
      </c>
      <c r="F187" s="25">
        <v>850.0</v>
      </c>
      <c r="G187" s="29">
        <f t="shared" si="21"/>
        <v>850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53">
        <f t="shared" si="22"/>
        <v>150</v>
      </c>
      <c r="B188" s="24" t="s">
        <v>21</v>
      </c>
      <c r="C188" s="30" t="s">
        <v>164</v>
      </c>
      <c r="D188" s="23" t="s">
        <v>16</v>
      </c>
      <c r="E188" s="37">
        <v>1.0</v>
      </c>
      <c r="F188" s="25">
        <v>7950.0</v>
      </c>
      <c r="G188" s="29">
        <f t="shared" si="21"/>
        <v>7950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53">
        <f t="shared" si="22"/>
        <v>151</v>
      </c>
      <c r="B189" s="21" t="s">
        <v>12</v>
      </c>
      <c r="C189" s="47" t="s">
        <v>165</v>
      </c>
      <c r="D189" s="45" t="s">
        <v>166</v>
      </c>
      <c r="E189" s="24">
        <v>2.0</v>
      </c>
      <c r="F189" s="25">
        <v>25000.0</v>
      </c>
      <c r="G189" s="29">
        <f t="shared" si="21"/>
        <v>50000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92.0" customHeight="1">
      <c r="A190" s="53">
        <f t="shared" si="22"/>
        <v>152</v>
      </c>
      <c r="B190" s="24" t="s">
        <v>21</v>
      </c>
      <c r="C190" s="30" t="s">
        <v>167</v>
      </c>
      <c r="D190" s="23" t="s">
        <v>16</v>
      </c>
      <c r="E190" s="37">
        <v>2.0</v>
      </c>
      <c r="F190" s="25">
        <v>30000.0</v>
      </c>
      <c r="G190" s="29">
        <f t="shared" si="21"/>
        <v>60000</v>
      </c>
      <c r="H190" s="7" t="s">
        <v>168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53">
        <f t="shared" si="22"/>
        <v>153</v>
      </c>
      <c r="B191" s="21" t="s">
        <v>12</v>
      </c>
      <c r="C191" s="47" t="s">
        <v>169</v>
      </c>
      <c r="D191" s="45" t="s">
        <v>16</v>
      </c>
      <c r="E191" s="24">
        <v>1.0</v>
      </c>
      <c r="F191" s="25">
        <v>2680.0</v>
      </c>
      <c r="G191" s="29">
        <f t="shared" si="21"/>
        <v>2680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53">
        <f t="shared" si="22"/>
        <v>154</v>
      </c>
      <c r="B192" s="24" t="s">
        <v>21</v>
      </c>
      <c r="C192" s="30" t="s">
        <v>170</v>
      </c>
      <c r="D192" s="23" t="s">
        <v>68</v>
      </c>
      <c r="E192" s="37">
        <v>0.5</v>
      </c>
      <c r="F192" s="25">
        <v>7600.0</v>
      </c>
      <c r="G192" s="29">
        <f t="shared" si="21"/>
        <v>3800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53">
        <f t="shared" si="22"/>
        <v>155</v>
      </c>
      <c r="B193" s="21" t="s">
        <v>12</v>
      </c>
      <c r="C193" s="47" t="s">
        <v>171</v>
      </c>
      <c r="D193" s="45" t="s">
        <v>16</v>
      </c>
      <c r="E193" s="24">
        <v>3.0</v>
      </c>
      <c r="F193" s="25">
        <v>1000.0</v>
      </c>
      <c r="G193" s="29">
        <f t="shared" si="21"/>
        <v>3000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53">
        <f t="shared" si="22"/>
        <v>156</v>
      </c>
      <c r="B194" s="24" t="s">
        <v>21</v>
      </c>
      <c r="C194" s="30" t="s">
        <v>172</v>
      </c>
      <c r="D194" s="23" t="s">
        <v>68</v>
      </c>
      <c r="E194" s="37">
        <v>2.0</v>
      </c>
      <c r="F194" s="25">
        <v>5900.0</v>
      </c>
      <c r="G194" s="29">
        <f t="shared" si="21"/>
        <v>11800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53">
        <f t="shared" si="22"/>
        <v>157</v>
      </c>
      <c r="B195" s="24" t="s">
        <v>21</v>
      </c>
      <c r="C195" s="30" t="s">
        <v>173</v>
      </c>
      <c r="D195" s="23" t="s">
        <v>68</v>
      </c>
      <c r="E195" s="37">
        <v>0.5</v>
      </c>
      <c r="F195" s="25">
        <v>5500.0</v>
      </c>
      <c r="G195" s="29">
        <f t="shared" si="21"/>
        <v>2750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54" t="s">
        <v>18</v>
      </c>
      <c r="B196" s="16"/>
      <c r="C196" s="16"/>
      <c r="D196" s="16"/>
      <c r="E196" s="16"/>
      <c r="F196" s="17"/>
      <c r="G196" s="36">
        <f>SUM(G154:G195)</f>
        <v>890890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52" t="s">
        <v>174</v>
      </c>
      <c r="B197" s="16"/>
      <c r="C197" s="16"/>
      <c r="D197" s="16"/>
      <c r="E197" s="16"/>
      <c r="F197" s="16"/>
      <c r="G197" s="1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53">
        <f>A195+1</f>
        <v>158</v>
      </c>
      <c r="B198" s="21" t="s">
        <v>12</v>
      </c>
      <c r="C198" s="47" t="s">
        <v>175</v>
      </c>
      <c r="D198" s="45" t="s">
        <v>50</v>
      </c>
      <c r="E198" s="24">
        <f>1*72*1.5+2.5*3</f>
        <v>115.5</v>
      </c>
      <c r="F198" s="25">
        <v>1300.0</v>
      </c>
      <c r="G198" s="29">
        <f t="shared" ref="G198:G217" si="23">F198*E198</f>
        <v>150150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21.75" customHeight="1">
      <c r="A199" s="53">
        <f t="shared" ref="A199:A217" si="24">A198+1</f>
        <v>159</v>
      </c>
      <c r="B199" s="21" t="s">
        <v>12</v>
      </c>
      <c r="C199" s="47" t="s">
        <v>176</v>
      </c>
      <c r="D199" s="45" t="s">
        <v>50</v>
      </c>
      <c r="E199" s="24">
        <f>80-16.8</f>
        <v>63.2</v>
      </c>
      <c r="F199" s="25">
        <v>1300.0</v>
      </c>
      <c r="G199" s="29">
        <f t="shared" si="23"/>
        <v>82160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23.25" customHeight="1">
      <c r="A200" s="53">
        <f t="shared" si="24"/>
        <v>160</v>
      </c>
      <c r="B200" s="24" t="s">
        <v>21</v>
      </c>
      <c r="C200" s="30" t="s">
        <v>177</v>
      </c>
      <c r="D200" s="23" t="s">
        <v>50</v>
      </c>
      <c r="E200" s="44">
        <v>63.2</v>
      </c>
      <c r="F200" s="25">
        <v>1500.0</v>
      </c>
      <c r="G200" s="29">
        <f t="shared" si="23"/>
        <v>94800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53">
        <f t="shared" si="24"/>
        <v>161</v>
      </c>
      <c r="B201" s="21" t="s">
        <v>12</v>
      </c>
      <c r="C201" s="47" t="s">
        <v>178</v>
      </c>
      <c r="D201" s="45" t="s">
        <v>68</v>
      </c>
      <c r="E201" s="24">
        <v>72.0</v>
      </c>
      <c r="F201" s="25">
        <v>1500.0</v>
      </c>
      <c r="G201" s="29">
        <f t="shared" si="23"/>
        <v>108000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53">
        <f t="shared" si="24"/>
        <v>162</v>
      </c>
      <c r="B202" s="24" t="s">
        <v>21</v>
      </c>
      <c r="C202" s="30" t="s">
        <v>179</v>
      </c>
      <c r="D202" s="23" t="s">
        <v>68</v>
      </c>
      <c r="E202" s="37">
        <v>72.0</v>
      </c>
      <c r="F202" s="25">
        <v>852.0</v>
      </c>
      <c r="G202" s="29">
        <f t="shared" si="23"/>
        <v>61344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40.5" customHeight="1">
      <c r="A203" s="53">
        <f t="shared" si="24"/>
        <v>163</v>
      </c>
      <c r="B203" s="24" t="s">
        <v>21</v>
      </c>
      <c r="C203" s="30" t="s">
        <v>180</v>
      </c>
      <c r="D203" s="23" t="s">
        <v>16</v>
      </c>
      <c r="E203" s="37">
        <v>25.0</v>
      </c>
      <c r="F203" s="25">
        <v>2600.0</v>
      </c>
      <c r="G203" s="29">
        <f t="shared" si="23"/>
        <v>65000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53">
        <f t="shared" si="24"/>
        <v>164</v>
      </c>
      <c r="B204" s="21" t="s">
        <v>12</v>
      </c>
      <c r="C204" s="47" t="s">
        <v>136</v>
      </c>
      <c r="D204" s="45" t="s">
        <v>16</v>
      </c>
      <c r="E204" s="24">
        <v>2.0</v>
      </c>
      <c r="F204" s="25">
        <v>350.0</v>
      </c>
      <c r="G204" s="29">
        <f t="shared" si="23"/>
        <v>700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53">
        <f t="shared" si="24"/>
        <v>165</v>
      </c>
      <c r="B205" s="24" t="s">
        <v>21</v>
      </c>
      <c r="C205" s="30" t="s">
        <v>181</v>
      </c>
      <c r="D205" s="23" t="s">
        <v>16</v>
      </c>
      <c r="E205" s="37">
        <v>1.0</v>
      </c>
      <c r="F205" s="25">
        <v>1500.0</v>
      </c>
      <c r="G205" s="29">
        <f t="shared" si="23"/>
        <v>1500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53">
        <f t="shared" si="24"/>
        <v>166</v>
      </c>
      <c r="B206" s="24" t="s">
        <v>21</v>
      </c>
      <c r="C206" s="30" t="s">
        <v>182</v>
      </c>
      <c r="D206" s="23" t="s">
        <v>16</v>
      </c>
      <c r="E206" s="37">
        <v>1.0</v>
      </c>
      <c r="F206" s="25">
        <v>1450.0</v>
      </c>
      <c r="G206" s="29">
        <f t="shared" si="23"/>
        <v>1450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53">
        <f t="shared" si="24"/>
        <v>167</v>
      </c>
      <c r="B207" s="21" t="s">
        <v>12</v>
      </c>
      <c r="C207" s="47" t="s">
        <v>183</v>
      </c>
      <c r="D207" s="45" t="s">
        <v>68</v>
      </c>
      <c r="E207" s="24">
        <f t="shared" ref="E207:E208" si="25">26+26</f>
        <v>52</v>
      </c>
      <c r="F207" s="25">
        <v>850.0</v>
      </c>
      <c r="G207" s="29">
        <f t="shared" si="23"/>
        <v>44200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53">
        <f t="shared" si="24"/>
        <v>168</v>
      </c>
      <c r="B208" s="24" t="s">
        <v>21</v>
      </c>
      <c r="C208" s="30" t="s">
        <v>184</v>
      </c>
      <c r="D208" s="23" t="s">
        <v>185</v>
      </c>
      <c r="E208" s="37">
        <f t="shared" si="25"/>
        <v>52</v>
      </c>
      <c r="F208" s="25">
        <v>3500.0</v>
      </c>
      <c r="G208" s="29">
        <f t="shared" si="23"/>
        <v>182000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53">
        <f t="shared" si="24"/>
        <v>169</v>
      </c>
      <c r="B209" s="24" t="s">
        <v>21</v>
      </c>
      <c r="C209" s="30" t="s">
        <v>186</v>
      </c>
      <c r="D209" s="23" t="s">
        <v>50</v>
      </c>
      <c r="E209" s="37">
        <v>0.5</v>
      </c>
      <c r="F209" s="25">
        <v>1200.0</v>
      </c>
      <c r="G209" s="29">
        <f t="shared" si="23"/>
        <v>600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53">
        <f t="shared" si="24"/>
        <v>170</v>
      </c>
      <c r="B210" s="21" t="s">
        <v>12</v>
      </c>
      <c r="C210" s="47" t="s">
        <v>187</v>
      </c>
      <c r="D210" s="45" t="s">
        <v>50</v>
      </c>
      <c r="E210" s="24">
        <v>0.5</v>
      </c>
      <c r="F210" s="25">
        <v>1500.0</v>
      </c>
      <c r="G210" s="29">
        <f t="shared" si="23"/>
        <v>750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53">
        <f t="shared" si="24"/>
        <v>171</v>
      </c>
      <c r="B211" s="24" t="s">
        <v>21</v>
      </c>
      <c r="C211" s="30" t="s">
        <v>186</v>
      </c>
      <c r="D211" s="23" t="s">
        <v>50</v>
      </c>
      <c r="E211" s="37">
        <v>0.5</v>
      </c>
      <c r="F211" s="25">
        <v>1200.0</v>
      </c>
      <c r="G211" s="29">
        <f t="shared" si="23"/>
        <v>600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53">
        <f t="shared" si="24"/>
        <v>172</v>
      </c>
      <c r="B212" s="21" t="s">
        <v>12</v>
      </c>
      <c r="C212" s="47" t="s">
        <v>188</v>
      </c>
      <c r="D212" s="45" t="s">
        <v>16</v>
      </c>
      <c r="E212" s="24">
        <v>3.0</v>
      </c>
      <c r="F212" s="25">
        <v>35000.0</v>
      </c>
      <c r="G212" s="29">
        <f t="shared" si="23"/>
        <v>105000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53">
        <f t="shared" si="24"/>
        <v>173</v>
      </c>
      <c r="B213" s="24" t="s">
        <v>21</v>
      </c>
      <c r="C213" s="30" t="s">
        <v>189</v>
      </c>
      <c r="D213" s="23" t="s">
        <v>16</v>
      </c>
      <c r="E213" s="37">
        <v>3.0</v>
      </c>
      <c r="F213" s="25">
        <v>18000.0</v>
      </c>
      <c r="G213" s="29">
        <f t="shared" si="23"/>
        <v>54000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9.5" customHeight="1">
      <c r="A214" s="53">
        <f t="shared" si="24"/>
        <v>174</v>
      </c>
      <c r="B214" s="24" t="s">
        <v>21</v>
      </c>
      <c r="C214" s="30" t="s">
        <v>190</v>
      </c>
      <c r="D214" s="23" t="s">
        <v>16</v>
      </c>
      <c r="E214" s="37">
        <v>3.0</v>
      </c>
      <c r="F214" s="25">
        <v>15000.0</v>
      </c>
      <c r="G214" s="29">
        <f t="shared" si="23"/>
        <v>45000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34.5" customHeight="1">
      <c r="A215" s="53">
        <f t="shared" si="24"/>
        <v>175</v>
      </c>
      <c r="B215" s="24" t="s">
        <v>21</v>
      </c>
      <c r="C215" s="30" t="s">
        <v>191</v>
      </c>
      <c r="D215" s="23" t="s">
        <v>16</v>
      </c>
      <c r="E215" s="37">
        <v>5.0</v>
      </c>
      <c r="F215" s="25">
        <v>3850.0</v>
      </c>
      <c r="G215" s="29">
        <f t="shared" si="23"/>
        <v>19250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53">
        <f t="shared" si="24"/>
        <v>176</v>
      </c>
      <c r="B216" s="21" t="s">
        <v>192</v>
      </c>
      <c r="C216" s="47" t="s">
        <v>193</v>
      </c>
      <c r="D216" s="45" t="s">
        <v>28</v>
      </c>
      <c r="E216" s="24">
        <v>120.0</v>
      </c>
      <c r="F216" s="25">
        <f>1500+2000</f>
        <v>3500</v>
      </c>
      <c r="G216" s="29">
        <f t="shared" si="23"/>
        <v>420000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53">
        <f t="shared" si="24"/>
        <v>177</v>
      </c>
      <c r="B217" s="21" t="s">
        <v>192</v>
      </c>
      <c r="C217" s="47" t="s">
        <v>194</v>
      </c>
      <c r="D217" s="45" t="s">
        <v>53</v>
      </c>
      <c r="E217" s="24">
        <v>2.0</v>
      </c>
      <c r="F217" s="25">
        <v>2000.0</v>
      </c>
      <c r="G217" s="29">
        <f t="shared" si="23"/>
        <v>4000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55" t="s">
        <v>18</v>
      </c>
      <c r="B218" s="16"/>
      <c r="C218" s="16"/>
      <c r="D218" s="16"/>
      <c r="E218" s="16"/>
      <c r="F218" s="17"/>
      <c r="G218" s="56">
        <f>SUM(G198:G217)</f>
        <v>1440504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52" t="s">
        <v>195</v>
      </c>
      <c r="B219" s="16"/>
      <c r="C219" s="16"/>
      <c r="D219" s="16"/>
      <c r="E219" s="16"/>
      <c r="F219" s="16"/>
      <c r="G219" s="1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53">
        <f>A217+1</f>
        <v>178</v>
      </c>
      <c r="B220" s="21" t="s">
        <v>12</v>
      </c>
      <c r="C220" s="47" t="s">
        <v>196</v>
      </c>
      <c r="D220" s="45" t="s">
        <v>68</v>
      </c>
      <c r="E220" s="24">
        <v>240.0</v>
      </c>
      <c r="F220" s="25">
        <v>1200.0</v>
      </c>
      <c r="G220" s="29">
        <f t="shared" ref="G220:G265" si="26">F220*E220</f>
        <v>288000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53">
        <f t="shared" ref="A221:A265" si="27">A220+1</f>
        <v>179</v>
      </c>
      <c r="B221" s="24" t="s">
        <v>21</v>
      </c>
      <c r="C221" s="30" t="s">
        <v>197</v>
      </c>
      <c r="D221" s="23" t="s">
        <v>68</v>
      </c>
      <c r="E221" s="37">
        <v>165.0</v>
      </c>
      <c r="F221" s="25">
        <v>850.0</v>
      </c>
      <c r="G221" s="29">
        <f t="shared" si="26"/>
        <v>140250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53">
        <f t="shared" si="27"/>
        <v>180</v>
      </c>
      <c r="B222" s="24" t="s">
        <v>21</v>
      </c>
      <c r="C222" s="30" t="s">
        <v>198</v>
      </c>
      <c r="D222" s="23" t="s">
        <v>68</v>
      </c>
      <c r="E222" s="37">
        <v>17.0</v>
      </c>
      <c r="F222" s="25">
        <v>820.0</v>
      </c>
      <c r="G222" s="29">
        <f t="shared" si="26"/>
        <v>13940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53">
        <f t="shared" si="27"/>
        <v>181</v>
      </c>
      <c r="B223" s="24" t="s">
        <v>21</v>
      </c>
      <c r="C223" s="30" t="s">
        <v>199</v>
      </c>
      <c r="D223" s="23" t="s">
        <v>68</v>
      </c>
      <c r="E223" s="37">
        <v>9.0</v>
      </c>
      <c r="F223" s="25">
        <v>756.0</v>
      </c>
      <c r="G223" s="29">
        <f t="shared" si="26"/>
        <v>6804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53">
        <f t="shared" si="27"/>
        <v>182</v>
      </c>
      <c r="B224" s="24" t="s">
        <v>21</v>
      </c>
      <c r="C224" s="30" t="s">
        <v>200</v>
      </c>
      <c r="D224" s="23" t="s">
        <v>68</v>
      </c>
      <c r="E224" s="37">
        <v>11.0</v>
      </c>
      <c r="F224" s="25">
        <v>680.0</v>
      </c>
      <c r="G224" s="29">
        <f t="shared" si="26"/>
        <v>7480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53">
        <f t="shared" si="27"/>
        <v>183</v>
      </c>
      <c r="B225" s="24" t="s">
        <v>21</v>
      </c>
      <c r="C225" s="30" t="s">
        <v>201</v>
      </c>
      <c r="D225" s="23" t="s">
        <v>68</v>
      </c>
      <c r="E225" s="37">
        <v>20.0</v>
      </c>
      <c r="F225" s="25">
        <v>500.0</v>
      </c>
      <c r="G225" s="29">
        <f t="shared" si="26"/>
        <v>10000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53">
        <f t="shared" si="27"/>
        <v>184</v>
      </c>
      <c r="B226" s="24" t="s">
        <v>21</v>
      </c>
      <c r="C226" s="30" t="s">
        <v>202</v>
      </c>
      <c r="D226" s="23" t="s">
        <v>68</v>
      </c>
      <c r="E226" s="37">
        <v>10.0</v>
      </c>
      <c r="F226" s="25">
        <v>460.0</v>
      </c>
      <c r="G226" s="29">
        <f t="shared" si="26"/>
        <v>4600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53">
        <f t="shared" si="27"/>
        <v>185</v>
      </c>
      <c r="B227" s="24" t="s">
        <v>21</v>
      </c>
      <c r="C227" s="30" t="s">
        <v>203</v>
      </c>
      <c r="D227" s="23" t="s">
        <v>68</v>
      </c>
      <c r="E227" s="37">
        <v>8.0</v>
      </c>
      <c r="F227" s="25">
        <v>290.0</v>
      </c>
      <c r="G227" s="29">
        <f t="shared" si="26"/>
        <v>2320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53">
        <f t="shared" si="27"/>
        <v>186</v>
      </c>
      <c r="B228" s="24" t="s">
        <v>21</v>
      </c>
      <c r="C228" s="30" t="s">
        <v>204</v>
      </c>
      <c r="D228" s="23" t="s">
        <v>16</v>
      </c>
      <c r="E228" s="37">
        <v>47.0</v>
      </c>
      <c r="F228" s="25">
        <v>85.0</v>
      </c>
      <c r="G228" s="29">
        <f t="shared" si="26"/>
        <v>3995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53">
        <f t="shared" si="27"/>
        <v>187</v>
      </c>
      <c r="B229" s="24" t="s">
        <v>21</v>
      </c>
      <c r="C229" s="30" t="s">
        <v>205</v>
      </c>
      <c r="D229" s="23" t="s">
        <v>16</v>
      </c>
      <c r="E229" s="37">
        <v>5.0</v>
      </c>
      <c r="F229" s="25">
        <v>74.0</v>
      </c>
      <c r="G229" s="29">
        <f t="shared" si="26"/>
        <v>370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53">
        <f t="shared" si="27"/>
        <v>188</v>
      </c>
      <c r="B230" s="24" t="s">
        <v>21</v>
      </c>
      <c r="C230" s="30" t="s">
        <v>206</v>
      </c>
      <c r="D230" s="23" t="s">
        <v>16</v>
      </c>
      <c r="E230" s="37">
        <v>4.0</v>
      </c>
      <c r="F230" s="25">
        <v>69.0</v>
      </c>
      <c r="G230" s="29">
        <f t="shared" si="26"/>
        <v>276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53">
        <f t="shared" si="27"/>
        <v>189</v>
      </c>
      <c r="B231" s="24" t="s">
        <v>21</v>
      </c>
      <c r="C231" s="30" t="s">
        <v>207</v>
      </c>
      <c r="D231" s="23" t="s">
        <v>16</v>
      </c>
      <c r="E231" s="37">
        <v>4.0</v>
      </c>
      <c r="F231" s="25">
        <v>65.0</v>
      </c>
      <c r="G231" s="29">
        <f t="shared" si="26"/>
        <v>260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53">
        <f t="shared" si="27"/>
        <v>190</v>
      </c>
      <c r="B232" s="24" t="s">
        <v>21</v>
      </c>
      <c r="C232" s="30" t="s">
        <v>208</v>
      </c>
      <c r="D232" s="23" t="s">
        <v>16</v>
      </c>
      <c r="E232" s="37">
        <v>22.0</v>
      </c>
      <c r="F232" s="25">
        <v>58.0</v>
      </c>
      <c r="G232" s="29">
        <f t="shared" si="26"/>
        <v>1276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53">
        <f t="shared" si="27"/>
        <v>191</v>
      </c>
      <c r="B233" s="21" t="s">
        <v>12</v>
      </c>
      <c r="C233" s="47" t="s">
        <v>209</v>
      </c>
      <c r="D233" s="45" t="s">
        <v>16</v>
      </c>
      <c r="E233" s="24">
        <f>16+12</f>
        <v>28</v>
      </c>
      <c r="F233" s="25">
        <v>510.0</v>
      </c>
      <c r="G233" s="29">
        <f t="shared" si="26"/>
        <v>14280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53">
        <f t="shared" si="27"/>
        <v>192</v>
      </c>
      <c r="B234" s="24" t="s">
        <v>21</v>
      </c>
      <c r="C234" s="30" t="s">
        <v>210</v>
      </c>
      <c r="D234" s="23" t="s">
        <v>16</v>
      </c>
      <c r="E234" s="37">
        <v>16.0</v>
      </c>
      <c r="F234" s="25">
        <v>450.0</v>
      </c>
      <c r="G234" s="29">
        <f t="shared" si="26"/>
        <v>7200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53">
        <f t="shared" si="27"/>
        <v>193</v>
      </c>
      <c r="B235" s="24" t="s">
        <v>21</v>
      </c>
      <c r="C235" s="30" t="s">
        <v>211</v>
      </c>
      <c r="D235" s="23" t="s">
        <v>16</v>
      </c>
      <c r="E235" s="37">
        <v>16.0</v>
      </c>
      <c r="F235" s="25">
        <v>575.0</v>
      </c>
      <c r="G235" s="29">
        <f t="shared" si="26"/>
        <v>9200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53">
        <f t="shared" si="27"/>
        <v>194</v>
      </c>
      <c r="B236" s="21" t="s">
        <v>12</v>
      </c>
      <c r="C236" s="47" t="s">
        <v>212</v>
      </c>
      <c r="D236" s="45" t="s">
        <v>68</v>
      </c>
      <c r="E236" s="24">
        <f>17+15+90</f>
        <v>122</v>
      </c>
      <c r="F236" s="25">
        <v>980.0</v>
      </c>
      <c r="G236" s="29">
        <f t="shared" si="26"/>
        <v>119560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53">
        <f t="shared" si="27"/>
        <v>195</v>
      </c>
      <c r="B237" s="24" t="s">
        <v>21</v>
      </c>
      <c r="C237" s="30" t="s">
        <v>213</v>
      </c>
      <c r="D237" s="23" t="s">
        <v>68</v>
      </c>
      <c r="E237" s="37">
        <v>17.0</v>
      </c>
      <c r="F237" s="25">
        <v>260.0</v>
      </c>
      <c r="G237" s="29">
        <f t="shared" si="26"/>
        <v>4420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53">
        <f t="shared" si="27"/>
        <v>196</v>
      </c>
      <c r="B238" s="24" t="s">
        <v>21</v>
      </c>
      <c r="C238" s="30" t="s">
        <v>214</v>
      </c>
      <c r="D238" s="23" t="s">
        <v>68</v>
      </c>
      <c r="E238" s="37">
        <v>15.0</v>
      </c>
      <c r="F238" s="25">
        <v>255.0</v>
      </c>
      <c r="G238" s="29">
        <f t="shared" si="26"/>
        <v>3825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53">
        <f t="shared" si="27"/>
        <v>197</v>
      </c>
      <c r="B239" s="24" t="s">
        <v>21</v>
      </c>
      <c r="C239" s="30" t="s">
        <v>215</v>
      </c>
      <c r="D239" s="23" t="s">
        <v>68</v>
      </c>
      <c r="E239" s="37">
        <v>90.0</v>
      </c>
      <c r="F239" s="25">
        <v>210.0</v>
      </c>
      <c r="G239" s="29">
        <f t="shared" si="26"/>
        <v>18900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53">
        <f t="shared" si="27"/>
        <v>198</v>
      </c>
      <c r="B240" s="21" t="s">
        <v>12</v>
      </c>
      <c r="C240" s="47" t="s">
        <v>216</v>
      </c>
      <c r="D240" s="45" t="s">
        <v>16</v>
      </c>
      <c r="E240" s="24">
        <v>2.0</v>
      </c>
      <c r="F240" s="25">
        <v>1800.0</v>
      </c>
      <c r="G240" s="29">
        <f t="shared" si="26"/>
        <v>3600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53">
        <f t="shared" si="27"/>
        <v>199</v>
      </c>
      <c r="B241" s="24" t="s">
        <v>21</v>
      </c>
      <c r="C241" s="30" t="s">
        <v>217</v>
      </c>
      <c r="D241" s="23" t="s">
        <v>16</v>
      </c>
      <c r="E241" s="37">
        <v>2.0</v>
      </c>
      <c r="F241" s="25">
        <v>12000.0</v>
      </c>
      <c r="G241" s="29">
        <f t="shared" si="26"/>
        <v>24000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53">
        <f t="shared" si="27"/>
        <v>200</v>
      </c>
      <c r="B242" s="21" t="s">
        <v>12</v>
      </c>
      <c r="C242" s="47" t="s">
        <v>218</v>
      </c>
      <c r="D242" s="45" t="s">
        <v>16</v>
      </c>
      <c r="E242" s="24">
        <v>48.0</v>
      </c>
      <c r="F242" s="25">
        <v>1500.0</v>
      </c>
      <c r="G242" s="29">
        <f t="shared" si="26"/>
        <v>72000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53">
        <f t="shared" si="27"/>
        <v>201</v>
      </c>
      <c r="B243" s="24" t="s">
        <v>21</v>
      </c>
      <c r="C243" s="30" t="s">
        <v>219</v>
      </c>
      <c r="D243" s="23" t="s">
        <v>16</v>
      </c>
      <c r="E243" s="37">
        <v>2.0</v>
      </c>
      <c r="F243" s="25">
        <v>1750.0</v>
      </c>
      <c r="G243" s="29">
        <f t="shared" si="26"/>
        <v>3500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53">
        <f t="shared" si="27"/>
        <v>202</v>
      </c>
      <c r="B244" s="24" t="s">
        <v>21</v>
      </c>
      <c r="C244" s="30" t="s">
        <v>220</v>
      </c>
      <c r="D244" s="23" t="s">
        <v>16</v>
      </c>
      <c r="E244" s="37">
        <v>8.0</v>
      </c>
      <c r="F244" s="25">
        <v>960.0</v>
      </c>
      <c r="G244" s="29">
        <f t="shared" si="26"/>
        <v>7680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53">
        <f t="shared" si="27"/>
        <v>203</v>
      </c>
      <c r="B245" s="24" t="s">
        <v>21</v>
      </c>
      <c r="C245" s="30" t="s">
        <v>221</v>
      </c>
      <c r="D245" s="23" t="s">
        <v>16</v>
      </c>
      <c r="E245" s="37">
        <v>2.0</v>
      </c>
      <c r="F245" s="25">
        <v>560.0</v>
      </c>
      <c r="G245" s="29">
        <f t="shared" si="26"/>
        <v>1120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53">
        <f t="shared" si="27"/>
        <v>204</v>
      </c>
      <c r="B246" s="24" t="s">
        <v>21</v>
      </c>
      <c r="C246" s="30" t="s">
        <v>222</v>
      </c>
      <c r="D246" s="23" t="s">
        <v>16</v>
      </c>
      <c r="E246" s="37">
        <v>14.0</v>
      </c>
      <c r="F246" s="25">
        <v>450.0</v>
      </c>
      <c r="G246" s="29">
        <f t="shared" si="26"/>
        <v>6300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53">
        <f t="shared" si="27"/>
        <v>205</v>
      </c>
      <c r="B247" s="24" t="s">
        <v>21</v>
      </c>
      <c r="C247" s="30" t="s">
        <v>223</v>
      </c>
      <c r="D247" s="23" t="s">
        <v>16</v>
      </c>
      <c r="E247" s="37">
        <v>22.0</v>
      </c>
      <c r="F247" s="25">
        <v>600.0</v>
      </c>
      <c r="G247" s="29">
        <f t="shared" si="26"/>
        <v>13200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53">
        <f t="shared" si="27"/>
        <v>206</v>
      </c>
      <c r="B248" s="21" t="s">
        <v>12</v>
      </c>
      <c r="C248" s="47" t="s">
        <v>224</v>
      </c>
      <c r="D248" s="45" t="s">
        <v>16</v>
      </c>
      <c r="E248" s="24">
        <v>1.0</v>
      </c>
      <c r="F248" s="25">
        <v>1700.0</v>
      </c>
      <c r="G248" s="29">
        <f t="shared" si="26"/>
        <v>1700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53">
        <f t="shared" si="27"/>
        <v>207</v>
      </c>
      <c r="B249" s="24" t="s">
        <v>21</v>
      </c>
      <c r="C249" s="30" t="s">
        <v>225</v>
      </c>
      <c r="D249" s="23" t="s">
        <v>16</v>
      </c>
      <c r="E249" s="37">
        <v>1.0</v>
      </c>
      <c r="F249" s="25">
        <v>5700.0</v>
      </c>
      <c r="G249" s="29">
        <f t="shared" si="26"/>
        <v>5700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53">
        <f t="shared" si="27"/>
        <v>208</v>
      </c>
      <c r="B250" s="21" t="s">
        <v>12</v>
      </c>
      <c r="C250" s="47" t="s">
        <v>226</v>
      </c>
      <c r="D250" s="45" t="s">
        <v>16</v>
      </c>
      <c r="E250" s="24">
        <v>12.0</v>
      </c>
      <c r="F250" s="25">
        <v>1700.0</v>
      </c>
      <c r="G250" s="29">
        <f t="shared" si="26"/>
        <v>20400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53">
        <f t="shared" si="27"/>
        <v>209</v>
      </c>
      <c r="B251" s="24" t="s">
        <v>21</v>
      </c>
      <c r="C251" s="30" t="s">
        <v>227</v>
      </c>
      <c r="D251" s="23" t="s">
        <v>16</v>
      </c>
      <c r="E251" s="37">
        <v>12.0</v>
      </c>
      <c r="F251" s="25">
        <v>7630.0</v>
      </c>
      <c r="G251" s="29">
        <f t="shared" si="26"/>
        <v>91560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53">
        <f t="shared" si="27"/>
        <v>210</v>
      </c>
      <c r="B252" s="24" t="s">
        <v>21</v>
      </c>
      <c r="C252" s="30" t="s">
        <v>228</v>
      </c>
      <c r="D252" s="23" t="s">
        <v>16</v>
      </c>
      <c r="E252" s="37">
        <v>23.0</v>
      </c>
      <c r="F252" s="25">
        <v>250.0</v>
      </c>
      <c r="G252" s="29">
        <f t="shared" si="26"/>
        <v>5750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53">
        <f t="shared" si="27"/>
        <v>211</v>
      </c>
      <c r="B253" s="21" t="s">
        <v>12</v>
      </c>
      <c r="C253" s="47" t="s">
        <v>229</v>
      </c>
      <c r="D253" s="45" t="s">
        <v>16</v>
      </c>
      <c r="E253" s="24">
        <v>90.0</v>
      </c>
      <c r="F253" s="25">
        <v>150.0</v>
      </c>
      <c r="G253" s="29">
        <f t="shared" si="26"/>
        <v>13500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53">
        <f t="shared" si="27"/>
        <v>212</v>
      </c>
      <c r="B254" s="24" t="s">
        <v>21</v>
      </c>
      <c r="C254" s="30" t="s">
        <v>230</v>
      </c>
      <c r="D254" s="23" t="s">
        <v>16</v>
      </c>
      <c r="E254" s="37">
        <v>3.0</v>
      </c>
      <c r="F254" s="25">
        <v>175.0</v>
      </c>
      <c r="G254" s="29">
        <f t="shared" si="26"/>
        <v>525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53">
        <f t="shared" si="27"/>
        <v>213</v>
      </c>
      <c r="B255" s="24" t="s">
        <v>21</v>
      </c>
      <c r="C255" s="30" t="s">
        <v>231</v>
      </c>
      <c r="D255" s="23" t="s">
        <v>16</v>
      </c>
      <c r="E255" s="37">
        <v>80.0</v>
      </c>
      <c r="F255" s="25">
        <v>150.0</v>
      </c>
      <c r="G255" s="29">
        <f t="shared" si="26"/>
        <v>12000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53">
        <f t="shared" si="27"/>
        <v>214</v>
      </c>
      <c r="B256" s="24" t="s">
        <v>21</v>
      </c>
      <c r="C256" s="30" t="s">
        <v>232</v>
      </c>
      <c r="D256" s="23" t="s">
        <v>16</v>
      </c>
      <c r="E256" s="37">
        <v>7.0</v>
      </c>
      <c r="F256" s="25">
        <v>350.0</v>
      </c>
      <c r="G256" s="29">
        <f t="shared" si="26"/>
        <v>2450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53">
        <f t="shared" si="27"/>
        <v>215</v>
      </c>
      <c r="B257" s="21" t="s">
        <v>12</v>
      </c>
      <c r="C257" s="47" t="s">
        <v>233</v>
      </c>
      <c r="D257" s="45" t="s">
        <v>68</v>
      </c>
      <c r="E257" s="24">
        <v>230.0</v>
      </c>
      <c r="F257" s="25">
        <v>95.0</v>
      </c>
      <c r="G257" s="29">
        <f t="shared" si="26"/>
        <v>21850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53">
        <f t="shared" si="27"/>
        <v>216</v>
      </c>
      <c r="B258" s="24" t="s">
        <v>21</v>
      </c>
      <c r="C258" s="30" t="s">
        <v>234</v>
      </c>
      <c r="D258" s="23" t="s">
        <v>68</v>
      </c>
      <c r="E258" s="37">
        <v>166.0</v>
      </c>
      <c r="F258" s="25">
        <v>155.0</v>
      </c>
      <c r="G258" s="29">
        <f t="shared" si="26"/>
        <v>25730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53">
        <f t="shared" si="27"/>
        <v>217</v>
      </c>
      <c r="B259" s="24" t="s">
        <v>21</v>
      </c>
      <c r="C259" s="30" t="s">
        <v>235</v>
      </c>
      <c r="D259" s="23" t="s">
        <v>68</v>
      </c>
      <c r="E259" s="37">
        <v>16.0</v>
      </c>
      <c r="F259" s="25">
        <v>120.0</v>
      </c>
      <c r="G259" s="29">
        <f t="shared" si="26"/>
        <v>1920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53">
        <f t="shared" si="27"/>
        <v>218</v>
      </c>
      <c r="B260" s="24" t="s">
        <v>21</v>
      </c>
      <c r="C260" s="30" t="s">
        <v>236</v>
      </c>
      <c r="D260" s="23" t="s">
        <v>68</v>
      </c>
      <c r="E260" s="37">
        <v>8.0</v>
      </c>
      <c r="F260" s="25">
        <v>78.0</v>
      </c>
      <c r="G260" s="29">
        <f t="shared" si="26"/>
        <v>624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53">
        <f t="shared" si="27"/>
        <v>219</v>
      </c>
      <c r="B261" s="24" t="s">
        <v>21</v>
      </c>
      <c r="C261" s="30" t="s">
        <v>237</v>
      </c>
      <c r="D261" s="23" t="s">
        <v>68</v>
      </c>
      <c r="E261" s="37">
        <v>10.0</v>
      </c>
      <c r="F261" s="25">
        <v>65.0</v>
      </c>
      <c r="G261" s="29">
        <f t="shared" si="26"/>
        <v>650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53">
        <f t="shared" si="27"/>
        <v>220</v>
      </c>
      <c r="B262" s="24" t="s">
        <v>21</v>
      </c>
      <c r="C262" s="30" t="s">
        <v>238</v>
      </c>
      <c r="D262" s="23" t="s">
        <v>68</v>
      </c>
      <c r="E262" s="37">
        <v>20.0</v>
      </c>
      <c r="F262" s="25">
        <v>52.0</v>
      </c>
      <c r="G262" s="29">
        <f t="shared" si="26"/>
        <v>1040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53">
        <f t="shared" si="27"/>
        <v>221</v>
      </c>
      <c r="B263" s="24" t="s">
        <v>21</v>
      </c>
      <c r="C263" s="30" t="s">
        <v>239</v>
      </c>
      <c r="D263" s="23" t="s">
        <v>68</v>
      </c>
      <c r="E263" s="37">
        <v>10.0</v>
      </c>
      <c r="F263" s="25">
        <v>45.0</v>
      </c>
      <c r="G263" s="29">
        <f t="shared" si="26"/>
        <v>450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53">
        <f t="shared" si="27"/>
        <v>222</v>
      </c>
      <c r="B264" s="21" t="s">
        <v>12</v>
      </c>
      <c r="C264" s="47" t="s">
        <v>240</v>
      </c>
      <c r="D264" s="45" t="s">
        <v>16</v>
      </c>
      <c r="E264" s="24">
        <v>1.0</v>
      </c>
      <c r="F264" s="25">
        <v>350.0</v>
      </c>
      <c r="G264" s="29">
        <f t="shared" si="26"/>
        <v>350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53">
        <f t="shared" si="27"/>
        <v>223</v>
      </c>
      <c r="B265" s="24" t="s">
        <v>21</v>
      </c>
      <c r="C265" s="30" t="s">
        <v>241</v>
      </c>
      <c r="D265" s="23" t="s">
        <v>16</v>
      </c>
      <c r="E265" s="37">
        <v>1.0</v>
      </c>
      <c r="F265" s="25">
        <v>780.0</v>
      </c>
      <c r="G265" s="29">
        <f t="shared" si="26"/>
        <v>780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54" t="s">
        <v>18</v>
      </c>
      <c r="B266" s="16"/>
      <c r="C266" s="16"/>
      <c r="D266" s="16"/>
      <c r="E266" s="16"/>
      <c r="F266" s="17"/>
      <c r="G266" s="36">
        <f>SUM(G220:G265)</f>
        <v>995335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52" t="s">
        <v>242</v>
      </c>
      <c r="B267" s="16"/>
      <c r="C267" s="16"/>
      <c r="D267" s="16"/>
      <c r="E267" s="16"/>
      <c r="F267" s="16"/>
      <c r="G267" s="1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53">
        <f>A265+1</f>
        <v>224</v>
      </c>
      <c r="B268" s="21" t="s">
        <v>12</v>
      </c>
      <c r="C268" s="47" t="s">
        <v>196</v>
      </c>
      <c r="D268" s="45" t="s">
        <v>68</v>
      </c>
      <c r="E268" s="24">
        <v>408.0</v>
      </c>
      <c r="F268" s="25">
        <v>1200.0</v>
      </c>
      <c r="G268" s="29">
        <f t="shared" ref="G268:G312" si="28">F268*E268</f>
        <v>489600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53">
        <f t="shared" ref="A269:A312" si="29">A268+1</f>
        <v>225</v>
      </c>
      <c r="B269" s="24" t="s">
        <v>21</v>
      </c>
      <c r="C269" s="30" t="s">
        <v>198</v>
      </c>
      <c r="D269" s="23" t="s">
        <v>68</v>
      </c>
      <c r="E269" s="37">
        <v>185.0</v>
      </c>
      <c r="F269" s="25">
        <v>820.0</v>
      </c>
      <c r="G269" s="29">
        <f t="shared" si="28"/>
        <v>151700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53">
        <f t="shared" si="29"/>
        <v>226</v>
      </c>
      <c r="B270" s="24" t="s">
        <v>21</v>
      </c>
      <c r="C270" s="30" t="s">
        <v>199</v>
      </c>
      <c r="D270" s="23" t="s">
        <v>68</v>
      </c>
      <c r="E270" s="37">
        <v>30.0</v>
      </c>
      <c r="F270" s="25">
        <v>756.0</v>
      </c>
      <c r="G270" s="29">
        <f t="shared" si="28"/>
        <v>22680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53">
        <f t="shared" si="29"/>
        <v>227</v>
      </c>
      <c r="B271" s="24" t="s">
        <v>21</v>
      </c>
      <c r="C271" s="30" t="s">
        <v>200</v>
      </c>
      <c r="D271" s="23" t="s">
        <v>68</v>
      </c>
      <c r="E271" s="37">
        <v>175.0</v>
      </c>
      <c r="F271" s="25">
        <v>680.0</v>
      </c>
      <c r="G271" s="29">
        <f t="shared" si="28"/>
        <v>119000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53">
        <f t="shared" si="29"/>
        <v>228</v>
      </c>
      <c r="B272" s="24" t="s">
        <v>21</v>
      </c>
      <c r="C272" s="30" t="s">
        <v>201</v>
      </c>
      <c r="D272" s="23" t="s">
        <v>68</v>
      </c>
      <c r="E272" s="37">
        <v>3.0</v>
      </c>
      <c r="F272" s="25">
        <v>500.0</v>
      </c>
      <c r="G272" s="29">
        <f t="shared" si="28"/>
        <v>1500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53">
        <f t="shared" si="29"/>
        <v>229</v>
      </c>
      <c r="B273" s="24" t="s">
        <v>21</v>
      </c>
      <c r="C273" s="30" t="s">
        <v>202</v>
      </c>
      <c r="D273" s="23" t="s">
        <v>68</v>
      </c>
      <c r="E273" s="37">
        <v>7.0</v>
      </c>
      <c r="F273" s="25">
        <v>460.0</v>
      </c>
      <c r="G273" s="29">
        <f t="shared" si="28"/>
        <v>3220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53">
        <f t="shared" si="29"/>
        <v>230</v>
      </c>
      <c r="B274" s="24" t="s">
        <v>21</v>
      </c>
      <c r="C274" s="30" t="s">
        <v>203</v>
      </c>
      <c r="D274" s="23" t="s">
        <v>68</v>
      </c>
      <c r="E274" s="37">
        <v>8.0</v>
      </c>
      <c r="F274" s="25">
        <v>290.0</v>
      </c>
      <c r="G274" s="29">
        <f t="shared" si="28"/>
        <v>2320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53">
        <f t="shared" si="29"/>
        <v>231</v>
      </c>
      <c r="B275" s="24" t="s">
        <v>21</v>
      </c>
      <c r="C275" s="30" t="s">
        <v>205</v>
      </c>
      <c r="D275" s="23" t="s">
        <v>16</v>
      </c>
      <c r="E275" s="37">
        <v>52.0</v>
      </c>
      <c r="F275" s="25">
        <v>74.0</v>
      </c>
      <c r="G275" s="29">
        <f t="shared" si="28"/>
        <v>3848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53">
        <f t="shared" si="29"/>
        <v>232</v>
      </c>
      <c r="B276" s="24" t="s">
        <v>21</v>
      </c>
      <c r="C276" s="30" t="s">
        <v>206</v>
      </c>
      <c r="D276" s="23" t="s">
        <v>16</v>
      </c>
      <c r="E276" s="37">
        <v>12.0</v>
      </c>
      <c r="F276" s="25">
        <v>69.0</v>
      </c>
      <c r="G276" s="29">
        <f t="shared" si="28"/>
        <v>828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53">
        <f t="shared" si="29"/>
        <v>233</v>
      </c>
      <c r="B277" s="24" t="s">
        <v>21</v>
      </c>
      <c r="C277" s="30" t="s">
        <v>207</v>
      </c>
      <c r="D277" s="23" t="s">
        <v>16</v>
      </c>
      <c r="E277" s="37">
        <v>50.0</v>
      </c>
      <c r="F277" s="25">
        <v>65.0</v>
      </c>
      <c r="G277" s="29">
        <f t="shared" si="28"/>
        <v>3250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53">
        <f t="shared" si="29"/>
        <v>234</v>
      </c>
      <c r="B278" s="24" t="s">
        <v>21</v>
      </c>
      <c r="C278" s="30" t="s">
        <v>208</v>
      </c>
      <c r="D278" s="23" t="s">
        <v>16</v>
      </c>
      <c r="E278" s="37">
        <v>8.0</v>
      </c>
      <c r="F278" s="25">
        <v>58.0</v>
      </c>
      <c r="G278" s="29">
        <f t="shared" si="28"/>
        <v>464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53">
        <f t="shared" si="29"/>
        <v>235</v>
      </c>
      <c r="B279" s="21" t="s">
        <v>12</v>
      </c>
      <c r="C279" s="47" t="s">
        <v>209</v>
      </c>
      <c r="D279" s="45" t="s">
        <v>16</v>
      </c>
      <c r="E279" s="24">
        <v>45.0</v>
      </c>
      <c r="F279" s="25">
        <v>510.0</v>
      </c>
      <c r="G279" s="29">
        <f t="shared" si="28"/>
        <v>22950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53">
        <f t="shared" si="29"/>
        <v>236</v>
      </c>
      <c r="B280" s="24" t="s">
        <v>21</v>
      </c>
      <c r="C280" s="30" t="s">
        <v>211</v>
      </c>
      <c r="D280" s="23" t="s">
        <v>16</v>
      </c>
      <c r="E280" s="37">
        <v>45.0</v>
      </c>
      <c r="F280" s="25">
        <v>575.0</v>
      </c>
      <c r="G280" s="29">
        <f t="shared" si="28"/>
        <v>25875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53">
        <f t="shared" si="29"/>
        <v>237</v>
      </c>
      <c r="B281" s="21" t="s">
        <v>12</v>
      </c>
      <c r="C281" s="47" t="s">
        <v>212</v>
      </c>
      <c r="D281" s="45" t="s">
        <v>68</v>
      </c>
      <c r="E281" s="24">
        <f>11+7+80</f>
        <v>98</v>
      </c>
      <c r="F281" s="25">
        <v>980.0</v>
      </c>
      <c r="G281" s="29">
        <f t="shared" si="28"/>
        <v>96040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53">
        <f t="shared" si="29"/>
        <v>238</v>
      </c>
      <c r="B282" s="24" t="s">
        <v>21</v>
      </c>
      <c r="C282" s="30" t="s">
        <v>213</v>
      </c>
      <c r="D282" s="23" t="s">
        <v>68</v>
      </c>
      <c r="E282" s="37">
        <v>11.0</v>
      </c>
      <c r="F282" s="25">
        <v>260.0</v>
      </c>
      <c r="G282" s="29">
        <f t="shared" si="28"/>
        <v>2860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53">
        <f t="shared" si="29"/>
        <v>239</v>
      </c>
      <c r="B283" s="24" t="s">
        <v>21</v>
      </c>
      <c r="C283" s="30" t="s">
        <v>214</v>
      </c>
      <c r="D283" s="23" t="s">
        <v>68</v>
      </c>
      <c r="E283" s="37">
        <v>7.0</v>
      </c>
      <c r="F283" s="25">
        <v>255.0</v>
      </c>
      <c r="G283" s="29">
        <f t="shared" si="28"/>
        <v>1785</v>
      </c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53">
        <f t="shared" si="29"/>
        <v>240</v>
      </c>
      <c r="B284" s="24" t="s">
        <v>21</v>
      </c>
      <c r="C284" s="30" t="s">
        <v>215</v>
      </c>
      <c r="D284" s="23" t="s">
        <v>68</v>
      </c>
      <c r="E284" s="37">
        <v>80.0</v>
      </c>
      <c r="F284" s="25">
        <v>210.0</v>
      </c>
      <c r="G284" s="29">
        <f t="shared" si="28"/>
        <v>16800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53">
        <f t="shared" si="29"/>
        <v>241</v>
      </c>
      <c r="B285" s="21" t="s">
        <v>12</v>
      </c>
      <c r="C285" s="47" t="s">
        <v>216</v>
      </c>
      <c r="D285" s="45" t="s">
        <v>16</v>
      </c>
      <c r="E285" s="24">
        <v>2.0</v>
      </c>
      <c r="F285" s="25">
        <v>1800.0</v>
      </c>
      <c r="G285" s="29">
        <f t="shared" si="28"/>
        <v>3600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53">
        <f t="shared" si="29"/>
        <v>242</v>
      </c>
      <c r="B286" s="24" t="s">
        <v>21</v>
      </c>
      <c r="C286" s="30" t="s">
        <v>243</v>
      </c>
      <c r="D286" s="23" t="s">
        <v>16</v>
      </c>
      <c r="E286" s="37">
        <v>2.0</v>
      </c>
      <c r="F286" s="25">
        <v>10860.0</v>
      </c>
      <c r="G286" s="29">
        <f t="shared" si="28"/>
        <v>21720</v>
      </c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53">
        <f t="shared" si="29"/>
        <v>243</v>
      </c>
      <c r="B287" s="21" t="s">
        <v>12</v>
      </c>
      <c r="C287" s="47" t="s">
        <v>218</v>
      </c>
      <c r="D287" s="45" t="s">
        <v>16</v>
      </c>
      <c r="E287" s="24">
        <v>46.0</v>
      </c>
      <c r="F287" s="25">
        <v>1500.0</v>
      </c>
      <c r="G287" s="29">
        <f t="shared" si="28"/>
        <v>69000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53">
        <f t="shared" si="29"/>
        <v>244</v>
      </c>
      <c r="B288" s="24" t="s">
        <v>21</v>
      </c>
      <c r="C288" s="30" t="s">
        <v>244</v>
      </c>
      <c r="D288" s="23" t="s">
        <v>16</v>
      </c>
      <c r="E288" s="37">
        <v>1.0</v>
      </c>
      <c r="F288" s="25">
        <v>1860.0</v>
      </c>
      <c r="G288" s="29">
        <f t="shared" si="28"/>
        <v>1860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53">
        <f t="shared" si="29"/>
        <v>245</v>
      </c>
      <c r="B289" s="24" t="s">
        <v>21</v>
      </c>
      <c r="C289" s="30" t="s">
        <v>219</v>
      </c>
      <c r="D289" s="23" t="s">
        <v>16</v>
      </c>
      <c r="E289" s="37">
        <v>2.0</v>
      </c>
      <c r="F289" s="25">
        <v>1750.0</v>
      </c>
      <c r="G289" s="29">
        <f t="shared" si="28"/>
        <v>3500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53">
        <f t="shared" si="29"/>
        <v>246</v>
      </c>
      <c r="B290" s="24" t="s">
        <v>21</v>
      </c>
      <c r="C290" s="30" t="s">
        <v>220</v>
      </c>
      <c r="D290" s="23" t="s">
        <v>16</v>
      </c>
      <c r="E290" s="37">
        <v>5.0</v>
      </c>
      <c r="F290" s="25">
        <v>960.0</v>
      </c>
      <c r="G290" s="29">
        <f t="shared" si="28"/>
        <v>4800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53">
        <f t="shared" si="29"/>
        <v>247</v>
      </c>
      <c r="B291" s="24" t="s">
        <v>21</v>
      </c>
      <c r="C291" s="30" t="s">
        <v>221</v>
      </c>
      <c r="D291" s="23" t="s">
        <v>16</v>
      </c>
      <c r="E291" s="37">
        <v>2.0</v>
      </c>
      <c r="F291" s="25">
        <v>560.0</v>
      </c>
      <c r="G291" s="29">
        <f t="shared" si="28"/>
        <v>1120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53">
        <f t="shared" si="29"/>
        <v>248</v>
      </c>
      <c r="B292" s="24" t="s">
        <v>21</v>
      </c>
      <c r="C292" s="30" t="s">
        <v>222</v>
      </c>
      <c r="D292" s="23" t="s">
        <v>16</v>
      </c>
      <c r="E292" s="37">
        <v>14.0</v>
      </c>
      <c r="F292" s="25">
        <v>450.0</v>
      </c>
      <c r="G292" s="29">
        <f t="shared" si="28"/>
        <v>6300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53">
        <f t="shared" si="29"/>
        <v>249</v>
      </c>
      <c r="B293" s="24" t="s">
        <v>21</v>
      </c>
      <c r="C293" s="30" t="s">
        <v>223</v>
      </c>
      <c r="D293" s="23" t="s">
        <v>16</v>
      </c>
      <c r="E293" s="37">
        <v>22.0</v>
      </c>
      <c r="F293" s="25">
        <v>600.0</v>
      </c>
      <c r="G293" s="29">
        <f t="shared" si="28"/>
        <v>13200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53">
        <f t="shared" si="29"/>
        <v>250</v>
      </c>
      <c r="B294" s="21" t="s">
        <v>12</v>
      </c>
      <c r="C294" s="47" t="s">
        <v>245</v>
      </c>
      <c r="D294" s="45" t="s">
        <v>16</v>
      </c>
      <c r="E294" s="24">
        <v>1.0</v>
      </c>
      <c r="F294" s="25">
        <v>1500.0</v>
      </c>
      <c r="G294" s="29">
        <f t="shared" si="28"/>
        <v>1500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53">
        <f t="shared" si="29"/>
        <v>251</v>
      </c>
      <c r="B295" s="24" t="s">
        <v>21</v>
      </c>
      <c r="C295" s="30" t="s">
        <v>246</v>
      </c>
      <c r="D295" s="23" t="s">
        <v>16</v>
      </c>
      <c r="E295" s="37">
        <v>1.0</v>
      </c>
      <c r="F295" s="25">
        <v>1750.0</v>
      </c>
      <c r="G295" s="29">
        <f t="shared" si="28"/>
        <v>1750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53">
        <f t="shared" si="29"/>
        <v>252</v>
      </c>
      <c r="B296" s="21" t="s">
        <v>12</v>
      </c>
      <c r="C296" s="47" t="s">
        <v>247</v>
      </c>
      <c r="D296" s="45" t="s">
        <v>16</v>
      </c>
      <c r="E296" s="24">
        <v>1.0</v>
      </c>
      <c r="F296" s="25">
        <v>6800.0</v>
      </c>
      <c r="G296" s="29">
        <f t="shared" si="28"/>
        <v>6800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53">
        <f t="shared" si="29"/>
        <v>253</v>
      </c>
      <c r="B297" s="24" t="s">
        <v>21</v>
      </c>
      <c r="C297" s="30" t="s">
        <v>248</v>
      </c>
      <c r="D297" s="23" t="s">
        <v>16</v>
      </c>
      <c r="E297" s="37">
        <v>1.0</v>
      </c>
      <c r="F297" s="25">
        <v>32500.0</v>
      </c>
      <c r="G297" s="29">
        <f t="shared" si="28"/>
        <v>32500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53">
        <f t="shared" si="29"/>
        <v>254</v>
      </c>
      <c r="B298" s="21" t="s">
        <v>12</v>
      </c>
      <c r="C298" s="47" t="s">
        <v>229</v>
      </c>
      <c r="D298" s="45" t="s">
        <v>16</v>
      </c>
      <c r="E298" s="24">
        <v>5.0</v>
      </c>
      <c r="F298" s="25">
        <v>150.0</v>
      </c>
      <c r="G298" s="29">
        <f t="shared" si="28"/>
        <v>750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53">
        <f t="shared" si="29"/>
        <v>255</v>
      </c>
      <c r="B299" s="24" t="s">
        <v>21</v>
      </c>
      <c r="C299" s="30" t="s">
        <v>230</v>
      </c>
      <c r="D299" s="23" t="s">
        <v>16</v>
      </c>
      <c r="E299" s="37">
        <v>2.0</v>
      </c>
      <c r="F299" s="25">
        <v>175.0</v>
      </c>
      <c r="G299" s="29">
        <f t="shared" si="28"/>
        <v>350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53">
        <f t="shared" si="29"/>
        <v>256</v>
      </c>
      <c r="B300" s="24" t="s">
        <v>21</v>
      </c>
      <c r="C300" s="30" t="s">
        <v>231</v>
      </c>
      <c r="D300" s="23" t="s">
        <v>16</v>
      </c>
      <c r="E300" s="37">
        <v>40.0</v>
      </c>
      <c r="F300" s="25">
        <v>150.0</v>
      </c>
      <c r="G300" s="29">
        <f t="shared" si="28"/>
        <v>6000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53">
        <f t="shared" si="29"/>
        <v>257</v>
      </c>
      <c r="B301" s="24" t="s">
        <v>21</v>
      </c>
      <c r="C301" s="30" t="s">
        <v>232</v>
      </c>
      <c r="D301" s="23" t="s">
        <v>16</v>
      </c>
      <c r="E301" s="37">
        <v>5.0</v>
      </c>
      <c r="F301" s="25">
        <v>350.0</v>
      </c>
      <c r="G301" s="29">
        <f t="shared" si="28"/>
        <v>1750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53">
        <f t="shared" si="29"/>
        <v>258</v>
      </c>
      <c r="B302" s="21" t="s">
        <v>12</v>
      </c>
      <c r="C302" s="47" t="s">
        <v>233</v>
      </c>
      <c r="D302" s="45" t="s">
        <v>68</v>
      </c>
      <c r="E302" s="24">
        <v>401.0</v>
      </c>
      <c r="F302" s="25">
        <v>95.0</v>
      </c>
      <c r="G302" s="29">
        <f t="shared" si="28"/>
        <v>38095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53">
        <f t="shared" si="29"/>
        <v>259</v>
      </c>
      <c r="B303" s="24" t="s">
        <v>21</v>
      </c>
      <c r="C303" s="30" t="s">
        <v>249</v>
      </c>
      <c r="D303" s="23" t="s">
        <v>68</v>
      </c>
      <c r="E303" s="37">
        <v>185.0</v>
      </c>
      <c r="F303" s="25">
        <v>125.0</v>
      </c>
      <c r="G303" s="29">
        <f t="shared" si="28"/>
        <v>23125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53">
        <f t="shared" si="29"/>
        <v>260</v>
      </c>
      <c r="B304" s="24" t="s">
        <v>21</v>
      </c>
      <c r="C304" s="30" t="s">
        <v>250</v>
      </c>
      <c r="D304" s="23" t="s">
        <v>68</v>
      </c>
      <c r="E304" s="37">
        <v>30.0</v>
      </c>
      <c r="F304" s="25">
        <v>84.0</v>
      </c>
      <c r="G304" s="29">
        <f t="shared" si="28"/>
        <v>2520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53">
        <f t="shared" si="29"/>
        <v>261</v>
      </c>
      <c r="B305" s="24" t="s">
        <v>21</v>
      </c>
      <c r="C305" s="30" t="s">
        <v>251</v>
      </c>
      <c r="D305" s="23" t="s">
        <v>68</v>
      </c>
      <c r="E305" s="37">
        <v>175.0</v>
      </c>
      <c r="F305" s="25">
        <v>67.0</v>
      </c>
      <c r="G305" s="29">
        <f t="shared" si="28"/>
        <v>11725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53">
        <f t="shared" si="29"/>
        <v>262</v>
      </c>
      <c r="B306" s="24" t="s">
        <v>21</v>
      </c>
      <c r="C306" s="30" t="s">
        <v>252</v>
      </c>
      <c r="D306" s="23" t="s">
        <v>68</v>
      </c>
      <c r="E306" s="37">
        <v>3.0</v>
      </c>
      <c r="F306" s="25">
        <v>59.0</v>
      </c>
      <c r="G306" s="29">
        <f t="shared" si="28"/>
        <v>177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53">
        <f t="shared" si="29"/>
        <v>263</v>
      </c>
      <c r="B307" s="24" t="s">
        <v>21</v>
      </c>
      <c r="C307" s="30" t="s">
        <v>253</v>
      </c>
      <c r="D307" s="23" t="s">
        <v>68</v>
      </c>
      <c r="E307" s="37">
        <v>8.0</v>
      </c>
      <c r="F307" s="25">
        <v>51.0</v>
      </c>
      <c r="G307" s="29">
        <f t="shared" si="28"/>
        <v>408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53">
        <f t="shared" si="29"/>
        <v>264</v>
      </c>
      <c r="B308" s="21" t="s">
        <v>12</v>
      </c>
      <c r="C308" s="47" t="s">
        <v>240</v>
      </c>
      <c r="D308" s="45" t="s">
        <v>16</v>
      </c>
      <c r="E308" s="24">
        <v>1.0</v>
      </c>
      <c r="F308" s="25">
        <v>350.0</v>
      </c>
      <c r="G308" s="29">
        <f t="shared" si="28"/>
        <v>350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53">
        <f t="shared" si="29"/>
        <v>265</v>
      </c>
      <c r="B309" s="24" t="s">
        <v>21</v>
      </c>
      <c r="C309" s="30" t="s">
        <v>241</v>
      </c>
      <c r="D309" s="23" t="s">
        <v>16</v>
      </c>
      <c r="E309" s="37">
        <v>1.0</v>
      </c>
      <c r="F309" s="25">
        <v>780.0</v>
      </c>
      <c r="G309" s="29">
        <f t="shared" si="28"/>
        <v>780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53">
        <f t="shared" si="29"/>
        <v>266</v>
      </c>
      <c r="B310" s="21" t="s">
        <v>12</v>
      </c>
      <c r="C310" s="47" t="s">
        <v>254</v>
      </c>
      <c r="D310" s="45" t="s">
        <v>16</v>
      </c>
      <c r="E310" s="24">
        <f>8+7</f>
        <v>15</v>
      </c>
      <c r="F310" s="25">
        <v>4800.0</v>
      </c>
      <c r="G310" s="29">
        <f t="shared" si="28"/>
        <v>72000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53">
        <f t="shared" si="29"/>
        <v>267</v>
      </c>
      <c r="B311" s="24" t="s">
        <v>21</v>
      </c>
      <c r="C311" s="30" t="s">
        <v>255</v>
      </c>
      <c r="D311" s="23" t="s">
        <v>16</v>
      </c>
      <c r="E311" s="37">
        <v>8.0</v>
      </c>
      <c r="F311" s="25">
        <v>25630.0</v>
      </c>
      <c r="G311" s="29">
        <f t="shared" si="28"/>
        <v>205040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53">
        <f t="shared" si="29"/>
        <v>268</v>
      </c>
      <c r="B312" s="24" t="s">
        <v>21</v>
      </c>
      <c r="C312" s="30" t="s">
        <v>256</v>
      </c>
      <c r="D312" s="23" t="s">
        <v>16</v>
      </c>
      <c r="E312" s="37">
        <v>7.0</v>
      </c>
      <c r="F312" s="25">
        <v>28900.0</v>
      </c>
      <c r="G312" s="29">
        <f t="shared" si="28"/>
        <v>202300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54" t="s">
        <v>18</v>
      </c>
      <c r="B313" s="16"/>
      <c r="C313" s="16"/>
      <c r="D313" s="16"/>
      <c r="E313" s="16"/>
      <c r="F313" s="17"/>
      <c r="G313" s="36">
        <f>SUM(G268:G312)</f>
        <v>1697740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52" t="s">
        <v>257</v>
      </c>
      <c r="B314" s="16"/>
      <c r="C314" s="16"/>
      <c r="D314" s="16"/>
      <c r="E314" s="16"/>
      <c r="F314" s="16"/>
      <c r="G314" s="1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53">
        <f>A312+1</f>
        <v>269</v>
      </c>
      <c r="B315" s="21" t="s">
        <v>12</v>
      </c>
      <c r="C315" s="47" t="s">
        <v>258</v>
      </c>
      <c r="D315" s="45" t="s">
        <v>68</v>
      </c>
      <c r="E315" s="24">
        <v>475.0</v>
      </c>
      <c r="F315" s="25">
        <v>1280.0</v>
      </c>
      <c r="G315" s="29">
        <f t="shared" ref="G315:G336" si="30">F315*E315</f>
        <v>608000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53">
        <f t="shared" ref="A316:A336" si="31">A315+1</f>
        <v>270</v>
      </c>
      <c r="B316" s="24" t="s">
        <v>21</v>
      </c>
      <c r="C316" s="30" t="s">
        <v>259</v>
      </c>
      <c r="D316" s="23" t="s">
        <v>68</v>
      </c>
      <c r="E316" s="37">
        <v>475.0</v>
      </c>
      <c r="F316" s="25">
        <v>1100.0</v>
      </c>
      <c r="G316" s="29">
        <f t="shared" si="30"/>
        <v>522500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53">
        <f t="shared" si="31"/>
        <v>271</v>
      </c>
      <c r="B317" s="24" t="s">
        <v>21</v>
      </c>
      <c r="C317" s="30" t="s">
        <v>260</v>
      </c>
      <c r="D317" s="23" t="s">
        <v>16</v>
      </c>
      <c r="E317" s="37">
        <v>80.0</v>
      </c>
      <c r="F317" s="25">
        <v>210.0</v>
      </c>
      <c r="G317" s="29">
        <f t="shared" si="30"/>
        <v>16800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53">
        <f t="shared" si="31"/>
        <v>272</v>
      </c>
      <c r="B318" s="21" t="s">
        <v>12</v>
      </c>
      <c r="C318" s="47" t="s">
        <v>261</v>
      </c>
      <c r="D318" s="45" t="s">
        <v>68</v>
      </c>
      <c r="E318" s="24">
        <v>125.0</v>
      </c>
      <c r="F318" s="25">
        <v>1080.0</v>
      </c>
      <c r="G318" s="29">
        <f t="shared" si="30"/>
        <v>135000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53">
        <f t="shared" si="31"/>
        <v>273</v>
      </c>
      <c r="B319" s="24" t="s">
        <v>21</v>
      </c>
      <c r="C319" s="30" t="s">
        <v>262</v>
      </c>
      <c r="D319" s="23" t="s">
        <v>68</v>
      </c>
      <c r="E319" s="37">
        <v>125.0</v>
      </c>
      <c r="F319" s="25">
        <v>650.0</v>
      </c>
      <c r="G319" s="29">
        <f t="shared" si="30"/>
        <v>81250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53">
        <f t="shared" si="31"/>
        <v>274</v>
      </c>
      <c r="B320" s="24" t="s">
        <v>21</v>
      </c>
      <c r="C320" s="30" t="s">
        <v>263</v>
      </c>
      <c r="D320" s="23" t="s">
        <v>16</v>
      </c>
      <c r="E320" s="37">
        <v>80.0</v>
      </c>
      <c r="F320" s="25">
        <v>123.0</v>
      </c>
      <c r="G320" s="29">
        <f t="shared" si="30"/>
        <v>9840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53">
        <f t="shared" si="31"/>
        <v>275</v>
      </c>
      <c r="B321" s="21" t="s">
        <v>12</v>
      </c>
      <c r="C321" s="47" t="s">
        <v>216</v>
      </c>
      <c r="D321" s="45" t="s">
        <v>16</v>
      </c>
      <c r="E321" s="24">
        <v>11.0</v>
      </c>
      <c r="F321" s="25">
        <v>1800.0</v>
      </c>
      <c r="G321" s="29">
        <f t="shared" si="30"/>
        <v>19800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53">
        <f t="shared" si="31"/>
        <v>276</v>
      </c>
      <c r="B322" s="24" t="s">
        <v>21</v>
      </c>
      <c r="C322" s="30" t="s">
        <v>264</v>
      </c>
      <c r="D322" s="23" t="s">
        <v>16</v>
      </c>
      <c r="E322" s="37">
        <v>11.0</v>
      </c>
      <c r="F322" s="25">
        <v>15600.0</v>
      </c>
      <c r="G322" s="29">
        <f t="shared" si="30"/>
        <v>171600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53">
        <f t="shared" si="31"/>
        <v>277</v>
      </c>
      <c r="B323" s="21" t="s">
        <v>12</v>
      </c>
      <c r="C323" s="47" t="s">
        <v>265</v>
      </c>
      <c r="D323" s="45" t="s">
        <v>16</v>
      </c>
      <c r="E323" s="24">
        <v>33.0</v>
      </c>
      <c r="F323" s="25">
        <v>1500.0</v>
      </c>
      <c r="G323" s="29">
        <f t="shared" si="30"/>
        <v>49500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53">
        <f t="shared" si="31"/>
        <v>278</v>
      </c>
      <c r="B324" s="24" t="s">
        <v>21</v>
      </c>
      <c r="C324" s="30" t="s">
        <v>266</v>
      </c>
      <c r="D324" s="23" t="s">
        <v>16</v>
      </c>
      <c r="E324" s="37">
        <v>33.0</v>
      </c>
      <c r="F324" s="25">
        <v>5600.0</v>
      </c>
      <c r="G324" s="29">
        <f t="shared" si="30"/>
        <v>184800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53">
        <f t="shared" si="31"/>
        <v>279</v>
      </c>
      <c r="B325" s="21" t="s">
        <v>12</v>
      </c>
      <c r="C325" s="47" t="s">
        <v>267</v>
      </c>
      <c r="D325" s="45" t="s">
        <v>16</v>
      </c>
      <c r="E325" s="24">
        <v>33.0</v>
      </c>
      <c r="F325" s="25">
        <v>2800.0</v>
      </c>
      <c r="G325" s="29">
        <f t="shared" si="30"/>
        <v>92400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62.25" customHeight="1">
      <c r="A326" s="53">
        <f t="shared" si="31"/>
        <v>280</v>
      </c>
      <c r="B326" s="24" t="s">
        <v>21</v>
      </c>
      <c r="C326" s="30" t="s">
        <v>268</v>
      </c>
      <c r="D326" s="23" t="s">
        <v>16</v>
      </c>
      <c r="E326" s="37">
        <v>33.0</v>
      </c>
      <c r="F326" s="25">
        <v>2300.0</v>
      </c>
      <c r="G326" s="29">
        <f t="shared" si="30"/>
        <v>75900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53">
        <f t="shared" si="31"/>
        <v>281</v>
      </c>
      <c r="B327" s="24" t="s">
        <v>21</v>
      </c>
      <c r="C327" s="30" t="s">
        <v>269</v>
      </c>
      <c r="D327" s="23" t="s">
        <v>16</v>
      </c>
      <c r="E327" s="37">
        <v>33.0</v>
      </c>
      <c r="F327" s="25">
        <v>120.0</v>
      </c>
      <c r="G327" s="29">
        <f t="shared" si="30"/>
        <v>3960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53">
        <f t="shared" si="31"/>
        <v>282</v>
      </c>
      <c r="B328" s="24" t="s">
        <v>21</v>
      </c>
      <c r="C328" s="30" t="s">
        <v>270</v>
      </c>
      <c r="D328" s="23" t="s">
        <v>16</v>
      </c>
      <c r="E328" s="37">
        <v>33.0</v>
      </c>
      <c r="F328" s="25">
        <v>350.0</v>
      </c>
      <c r="G328" s="29">
        <f t="shared" si="30"/>
        <v>11550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53">
        <f t="shared" si="31"/>
        <v>283</v>
      </c>
      <c r="B329" s="24" t="s">
        <v>21</v>
      </c>
      <c r="C329" s="30" t="s">
        <v>271</v>
      </c>
      <c r="D329" s="23" t="s">
        <v>16</v>
      </c>
      <c r="E329" s="37">
        <v>33.0</v>
      </c>
      <c r="F329" s="25">
        <v>2680.0</v>
      </c>
      <c r="G329" s="29">
        <f t="shared" si="30"/>
        <v>88440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53">
        <f t="shared" si="31"/>
        <v>284</v>
      </c>
      <c r="B330" s="24" t="s">
        <v>21</v>
      </c>
      <c r="C330" s="30" t="s">
        <v>272</v>
      </c>
      <c r="D330" s="23" t="s">
        <v>16</v>
      </c>
      <c r="E330" s="37">
        <v>66.0</v>
      </c>
      <c r="F330" s="25">
        <v>1560.0</v>
      </c>
      <c r="G330" s="29">
        <f t="shared" si="30"/>
        <v>102960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53">
        <f t="shared" si="31"/>
        <v>285</v>
      </c>
      <c r="B331" s="21" t="s">
        <v>12</v>
      </c>
      <c r="C331" s="47" t="s">
        <v>209</v>
      </c>
      <c r="D331" s="45" t="s">
        <v>16</v>
      </c>
      <c r="E331" s="24">
        <v>40.0</v>
      </c>
      <c r="F331" s="25">
        <v>510.0</v>
      </c>
      <c r="G331" s="29">
        <f t="shared" si="30"/>
        <v>20400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53">
        <f t="shared" si="31"/>
        <v>286</v>
      </c>
      <c r="B332" s="24" t="s">
        <v>21</v>
      </c>
      <c r="C332" s="30" t="s">
        <v>210</v>
      </c>
      <c r="D332" s="23" t="s">
        <v>16</v>
      </c>
      <c r="E332" s="37">
        <v>40.0</v>
      </c>
      <c r="F332" s="25">
        <v>450.0</v>
      </c>
      <c r="G332" s="29">
        <f t="shared" si="30"/>
        <v>18000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21.75" customHeight="1">
      <c r="A333" s="53">
        <f t="shared" si="31"/>
        <v>287</v>
      </c>
      <c r="B333" s="21" t="s">
        <v>12</v>
      </c>
      <c r="C333" s="47" t="s">
        <v>273</v>
      </c>
      <c r="D333" s="45" t="s">
        <v>68</v>
      </c>
      <c r="E333" s="24">
        <v>50.0</v>
      </c>
      <c r="F333" s="25">
        <v>290.0</v>
      </c>
      <c r="G333" s="29">
        <f t="shared" si="30"/>
        <v>14500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53">
        <f t="shared" si="31"/>
        <v>288</v>
      </c>
      <c r="B334" s="24" t="s">
        <v>21</v>
      </c>
      <c r="C334" s="30" t="s">
        <v>274</v>
      </c>
      <c r="D334" s="23" t="s">
        <v>68</v>
      </c>
      <c r="E334" s="37">
        <v>50.0</v>
      </c>
      <c r="F334" s="25">
        <v>355.0</v>
      </c>
      <c r="G334" s="29">
        <f t="shared" si="30"/>
        <v>17750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53">
        <f t="shared" si="31"/>
        <v>289</v>
      </c>
      <c r="B335" s="21" t="s">
        <v>12</v>
      </c>
      <c r="C335" s="47" t="s">
        <v>275</v>
      </c>
      <c r="D335" s="45" t="s">
        <v>68</v>
      </c>
      <c r="E335" s="24">
        <f>475+125</f>
        <v>600</v>
      </c>
      <c r="F335" s="25">
        <v>260.0</v>
      </c>
      <c r="G335" s="29">
        <f t="shared" si="30"/>
        <v>156000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53">
        <f t="shared" si="31"/>
        <v>290</v>
      </c>
      <c r="B336" s="24" t="s">
        <v>21</v>
      </c>
      <c r="C336" s="30" t="s">
        <v>276</v>
      </c>
      <c r="D336" s="23" t="s">
        <v>30</v>
      </c>
      <c r="E336" s="37">
        <v>15.0</v>
      </c>
      <c r="F336" s="25">
        <v>190.0</v>
      </c>
      <c r="G336" s="29">
        <f t="shared" si="30"/>
        <v>2850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57"/>
      <c r="B337" s="16"/>
      <c r="C337" s="16"/>
      <c r="D337" s="16"/>
      <c r="E337" s="17"/>
      <c r="F337" s="25" t="s">
        <v>18</v>
      </c>
      <c r="G337" s="36">
        <f>SUM(G315:G336)</f>
        <v>2403800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55" t="s">
        <v>277</v>
      </c>
      <c r="B338" s="16"/>
      <c r="C338" s="16"/>
      <c r="D338" s="16"/>
      <c r="E338" s="16"/>
      <c r="F338" s="17"/>
      <c r="G338" s="58">
        <f>G337+G313+G266+G218+G196+G152</f>
        <v>46229667.54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53">
        <f>A336+1</f>
        <v>291</v>
      </c>
      <c r="B339" s="24"/>
      <c r="C339" s="30" t="s">
        <v>278</v>
      </c>
      <c r="D339" s="23" t="s">
        <v>279</v>
      </c>
      <c r="E339" s="37">
        <v>15.0</v>
      </c>
      <c r="F339" s="25">
        <f>G338*15%</f>
        <v>6934450.132</v>
      </c>
      <c r="G339" s="25">
        <f t="shared" ref="G339:G340" si="32">F339</f>
        <v>6934450.132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53">
        <f t="shared" ref="A340:A345" si="33">A339+1</f>
        <v>292</v>
      </c>
      <c r="B340" s="24"/>
      <c r="C340" s="30" t="s">
        <v>280</v>
      </c>
      <c r="D340" s="23" t="s">
        <v>279</v>
      </c>
      <c r="E340" s="37">
        <v>3.0</v>
      </c>
      <c r="F340" s="25">
        <f>G338*3%</f>
        <v>1386890.026</v>
      </c>
      <c r="G340" s="25">
        <f t="shared" si="32"/>
        <v>1386890.026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53">
        <f t="shared" si="33"/>
        <v>293</v>
      </c>
      <c r="B341" s="24"/>
      <c r="C341" s="30" t="s">
        <v>281</v>
      </c>
      <c r="D341" s="23" t="s">
        <v>166</v>
      </c>
      <c r="E341" s="37">
        <v>1.0</v>
      </c>
      <c r="F341" s="25">
        <v>6000.0</v>
      </c>
      <c r="G341" s="25">
        <f t="shared" ref="G341:G345" si="34">F341*E341</f>
        <v>6000</v>
      </c>
      <c r="H341" s="7" t="s">
        <v>282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53">
        <f t="shared" si="33"/>
        <v>294</v>
      </c>
      <c r="B342" s="24"/>
      <c r="C342" s="30" t="s">
        <v>283</v>
      </c>
      <c r="D342" s="23" t="s">
        <v>166</v>
      </c>
      <c r="E342" s="37">
        <v>1.0</v>
      </c>
      <c r="F342" s="25">
        <v>45000.0</v>
      </c>
      <c r="G342" s="25">
        <f t="shared" si="34"/>
        <v>45000</v>
      </c>
      <c r="H342" s="7" t="s">
        <v>282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53">
        <f t="shared" si="33"/>
        <v>295</v>
      </c>
      <c r="B343" s="24"/>
      <c r="C343" s="30" t="s">
        <v>284</v>
      </c>
      <c r="D343" s="23" t="s">
        <v>166</v>
      </c>
      <c r="E343" s="37">
        <v>1.0</v>
      </c>
      <c r="F343" s="25">
        <v>10000.0</v>
      </c>
      <c r="G343" s="25">
        <f t="shared" si="34"/>
        <v>10000</v>
      </c>
      <c r="H343" s="7" t="s">
        <v>282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53">
        <f t="shared" si="33"/>
        <v>296</v>
      </c>
      <c r="B344" s="24"/>
      <c r="C344" s="30" t="s">
        <v>285</v>
      </c>
      <c r="D344" s="23" t="s">
        <v>166</v>
      </c>
      <c r="E344" s="37">
        <v>1.0</v>
      </c>
      <c r="F344" s="25">
        <v>4000.0</v>
      </c>
      <c r="G344" s="25">
        <f t="shared" si="34"/>
        <v>4000</v>
      </c>
      <c r="H344" s="7" t="s">
        <v>282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53">
        <f t="shared" si="33"/>
        <v>297</v>
      </c>
      <c r="B345" s="24"/>
      <c r="C345" s="30" t="s">
        <v>286</v>
      </c>
      <c r="D345" s="23" t="s">
        <v>287</v>
      </c>
      <c r="E345" s="37">
        <v>1.0</v>
      </c>
      <c r="F345" s="25">
        <v>30000.0</v>
      </c>
      <c r="G345" s="25">
        <f t="shared" si="34"/>
        <v>30000</v>
      </c>
      <c r="H345" s="7" t="s">
        <v>288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53"/>
      <c r="B346" s="13"/>
      <c r="C346" s="39"/>
      <c r="D346" s="59"/>
      <c r="E346" s="13"/>
      <c r="F346" s="60">
        <f>SUM(F21:F110)+SUM(F111:F345)</f>
        <v>9804574.108</v>
      </c>
      <c r="G346" s="61">
        <f>G345+G344+G343+G342+G341+G340+G339+G338</f>
        <v>54646007.7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62"/>
      <c r="B347" s="63"/>
      <c r="C347" s="64"/>
      <c r="D347" s="65"/>
      <c r="E347" s="63"/>
      <c r="F347" s="66"/>
      <c r="G347" s="6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62"/>
      <c r="B348" s="65"/>
      <c r="C348" s="64"/>
      <c r="D348" s="65"/>
      <c r="E348" s="65"/>
      <c r="F348" s="66"/>
      <c r="G348" s="66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69.75" customHeight="1">
      <c r="A349" s="62"/>
      <c r="B349" s="67" t="s">
        <v>289</v>
      </c>
      <c r="E349" s="63"/>
      <c r="F349" s="66"/>
      <c r="G349" s="66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54.75" customHeight="1">
      <c r="A350" s="1"/>
      <c r="B350" s="68" t="s">
        <v>290</v>
      </c>
      <c r="C350" s="69"/>
      <c r="D350" s="1" t="s">
        <v>291</v>
      </c>
      <c r="E350" s="70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71" t="s">
        <v>292</v>
      </c>
      <c r="C351" s="71" t="s">
        <v>293</v>
      </c>
      <c r="D351" s="1"/>
      <c r="E351" s="72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73"/>
      <c r="C352" s="73"/>
      <c r="D352" s="1"/>
      <c r="E352" s="72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74"/>
      <c r="B354" s="1"/>
      <c r="C354" s="1"/>
      <c r="D354" s="1"/>
      <c r="E354" s="1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A$14:$G$346"/>
  <customSheetViews>
    <customSheetView guid="{C1FE8306-DC52-472F-8B5F-C345C429B986}" filter="1" showAutoFilter="1">
      <autoFilter ref="$A$6:$H$139"/>
      <extLst>
        <ext uri="GoogleSheetsCustomDataVersion1">
          <go:sheetsCustomData xmlns:go="http://customooxmlschemas.google.com/" filterViewId="1037314135"/>
        </ext>
      </extLst>
    </customSheetView>
    <customSheetView guid="{FCAED4A2-1827-4082-BFC3-5BB2FDFAB3F6}" filter="1" showAutoFilter="1">
      <autoFilter ref="$A$13:$G$145"/>
      <extLst>
        <ext uri="GoogleSheetsCustomDataVersion1">
          <go:sheetsCustomData xmlns:go="http://customooxmlschemas.google.com/" filterViewId="1041201828"/>
        </ext>
      </extLst>
    </customSheetView>
    <customSheetView guid="{B9139B01-76AB-4BFE-8E1D-4D6A6015E0BD}" filter="1" showAutoFilter="1">
      <autoFilter ref="$A$6:$G$136"/>
      <extLst>
        <ext uri="GoogleSheetsCustomDataVersion1">
          <go:sheetsCustomData xmlns:go="http://customooxmlschemas.google.com/" filterViewId="109900751"/>
        </ext>
      </extLst>
    </customSheetView>
    <customSheetView guid="{AC5FBAB0-14C4-4B79-8AF6-71C9DC97CBE7}" filter="1" showAutoFilter="1">
      <autoFilter ref="$A$6:$H$136"/>
      <extLst>
        <ext uri="GoogleSheetsCustomDataVersion1">
          <go:sheetsCustomData xmlns:go="http://customooxmlschemas.google.com/" filterViewId="275652617"/>
        </ext>
      </extLst>
    </customSheetView>
    <customSheetView guid="{CAFDBE91-0974-4ACC-9440-4CBF545E2365}" filter="1" showAutoFilter="1">
      <autoFilter ref="$A$6:$H$139"/>
      <extLst>
        <ext uri="GoogleSheetsCustomDataVersion1">
          <go:sheetsCustomData xmlns:go="http://customooxmlschemas.google.com/" filterViewId="515121617"/>
        </ext>
      </extLst>
    </customSheetView>
  </customSheetViews>
  <mergeCells count="41">
    <mergeCell ref="D12:D13"/>
    <mergeCell ref="E12:E13"/>
    <mergeCell ref="F12:F13"/>
    <mergeCell ref="G12:G13"/>
    <mergeCell ref="A4:C4"/>
    <mergeCell ref="A5:C5"/>
    <mergeCell ref="A9:G9"/>
    <mergeCell ref="A10:G10"/>
    <mergeCell ref="A12:A13"/>
    <mergeCell ref="B12:B13"/>
    <mergeCell ref="C12:C13"/>
    <mergeCell ref="A15:G15"/>
    <mergeCell ref="A19:F19"/>
    <mergeCell ref="B20:G20"/>
    <mergeCell ref="A28:G28"/>
    <mergeCell ref="A34:G34"/>
    <mergeCell ref="A42:G42"/>
    <mergeCell ref="A45:G45"/>
    <mergeCell ref="A72:G72"/>
    <mergeCell ref="A76:F76"/>
    <mergeCell ref="A77:G77"/>
    <mergeCell ref="A80:F80"/>
    <mergeCell ref="A81:G81"/>
    <mergeCell ref="A109:F109"/>
    <mergeCell ref="A110:G110"/>
    <mergeCell ref="A122:F122"/>
    <mergeCell ref="A123:G123"/>
    <mergeCell ref="A151:F151"/>
    <mergeCell ref="A152:F152"/>
    <mergeCell ref="A153:G153"/>
    <mergeCell ref="A196:F196"/>
    <mergeCell ref="A197:G197"/>
    <mergeCell ref="A337:E337"/>
    <mergeCell ref="B349:D349"/>
    <mergeCell ref="A218:F218"/>
    <mergeCell ref="A219:G219"/>
    <mergeCell ref="A266:F266"/>
    <mergeCell ref="A267:G267"/>
    <mergeCell ref="A313:F313"/>
    <mergeCell ref="A314:G314"/>
    <mergeCell ref="A338:F338"/>
  </mergeCells>
  <printOptions/>
  <pageMargins bottom="0.75" footer="0.0" header="0.0" left="0.7" right="0.7" top="0.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2018-01-31T09:18:55Z</dcterms:created>
  <dc:creator>user</dc:creator>
</cp:coreProperties>
</file>